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4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6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7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8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drawings/drawing9.xml" ContentType="application/vnd.openxmlformats-officedocument.drawing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drawings/drawing10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drawings/drawing11.xml" ContentType="application/vnd.openxmlformats-officedocument.drawing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drawings/drawing12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Lacombe\Desktop\Grain size and componentry\"/>
    </mc:Choice>
  </mc:AlternateContent>
  <xr:revisionPtr revIDLastSave="0" documentId="13_ncr:1_{454DE6D1-CD3C-4650-9D3F-B44F4F8B24D7}" xr6:coauthVersionLast="47" xr6:coauthVersionMax="47" xr10:uidLastSave="{00000000-0000-0000-0000-000000000000}"/>
  <bookViews>
    <workbookView xWindow="-110" yWindow="-110" windowWidth="19420" windowHeight="10420" firstSheet="7" activeTab="10" xr2:uid="{00000000-000D-0000-FFFF-FFFF00000000}"/>
  </bookViews>
  <sheets>
    <sheet name="Resume" sheetId="2" r:id="rId1"/>
    <sheet name="Blank" sheetId="3" r:id="rId2"/>
    <sheet name="MAY210717_5" sheetId="45" r:id="rId3"/>
    <sheet name="MAY210717_5_aggr" sheetId="48" r:id="rId4"/>
    <sheet name="MAY210717_5_no_aggr" sheetId="49" r:id="rId5"/>
    <sheet name="MAY210717_6" sheetId="46" r:id="rId6"/>
    <sheet name="MAY210717_6_aggr" sheetId="50" r:id="rId7"/>
    <sheet name="MAY210717_6_no_aggr" sheetId="51" r:id="rId8"/>
    <sheet name="MAY210717_7" sheetId="47" r:id="rId9"/>
    <sheet name="MAY210717_7_aggr" sheetId="53" r:id="rId10"/>
    <sheet name="MAY210717_7_no_aggr" sheetId="54" r:id="rId11"/>
    <sheet name="MAY190403_2" sheetId="4" state="hidden" r:id="rId12"/>
  </sheets>
  <definedNames>
    <definedName name="cum_tot_2" localSheetId="11">MAY190403_2!$E$7:$E$33</definedName>
    <definedName name="cum_tot_2" localSheetId="2">MAY210717_5!$E$7:$E$33</definedName>
    <definedName name="cum_tot_2" localSheetId="3">MAY210717_5_aggr!$E$7:$E$33</definedName>
    <definedName name="cum_tot_2" localSheetId="4">MAY210717_5_no_aggr!$E$7:$E$33</definedName>
    <definedName name="cum_tot_2" localSheetId="5">MAY210717_6!$E$7:$E$33</definedName>
    <definedName name="cum_tot_2" localSheetId="6">MAY210717_6_aggr!$E$7:$E$33</definedName>
    <definedName name="cum_tot_2" localSheetId="7">MAY210717_6_no_aggr!$E$7:$E$33</definedName>
    <definedName name="cum_tot_2" localSheetId="8">MAY210717_7!$E$7:$E$33</definedName>
    <definedName name="cum_tot_2" localSheetId="9">MAY210717_7_aggr!$E$7:$E$33</definedName>
    <definedName name="cum_tot_2" localSheetId="10">MAY210717_7_no_aggr!$E$7:$E$33</definedName>
    <definedName name="cum_tot_2">Blank!$E$7:$E$33</definedName>
    <definedName name="phi" localSheetId="11">MAY190403_2!$B$7:$B$33</definedName>
    <definedName name="phi" localSheetId="2">MAY210717_5!$B$7:$B$33</definedName>
    <definedName name="phi" localSheetId="3">MAY210717_5_aggr!$B$7:$B$33</definedName>
    <definedName name="phi" localSheetId="4">MAY210717_5_no_aggr!$B$7:$B$33</definedName>
    <definedName name="phi" localSheetId="5">MAY210717_6!$B$7:$B$33</definedName>
    <definedName name="phi" localSheetId="6">MAY210717_6_aggr!$B$7:$B$33</definedName>
    <definedName name="phi" localSheetId="7">MAY210717_6_no_aggr!$B$7:$B$33</definedName>
    <definedName name="phi" localSheetId="8">MAY210717_7!$B$7:$B$33</definedName>
    <definedName name="phi" localSheetId="9">MAY210717_7_aggr!$B$7:$B$33</definedName>
    <definedName name="phi" localSheetId="10">MAY210717_7_no_aggr!$B$7:$B$33</definedName>
    <definedName name="phi">Blank!$B$7:$B$33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34" i="54" l="1"/>
  <c r="N34" i="54"/>
  <c r="M34" i="54"/>
  <c r="L34" i="54"/>
  <c r="K34" i="54"/>
  <c r="J34" i="54"/>
  <c r="I34" i="54"/>
  <c r="H34" i="54"/>
  <c r="O34" i="53"/>
  <c r="N34" i="53"/>
  <c r="M34" i="53"/>
  <c r="L34" i="53"/>
  <c r="K34" i="53"/>
  <c r="J34" i="53"/>
  <c r="I34" i="53"/>
  <c r="H34" i="53"/>
  <c r="O34" i="47"/>
  <c r="N34" i="47"/>
  <c r="M34" i="47"/>
  <c r="L34" i="47"/>
  <c r="K34" i="47"/>
  <c r="J34" i="47"/>
  <c r="I34" i="47"/>
  <c r="H34" i="47"/>
  <c r="O34" i="51"/>
  <c r="N34" i="51"/>
  <c r="M34" i="51"/>
  <c r="L34" i="51"/>
  <c r="K34" i="51"/>
  <c r="J34" i="51"/>
  <c r="I34" i="51"/>
  <c r="H34" i="51"/>
  <c r="O34" i="50"/>
  <c r="N34" i="50"/>
  <c r="M34" i="50"/>
  <c r="L34" i="50"/>
  <c r="K34" i="50"/>
  <c r="J34" i="50"/>
  <c r="I34" i="50"/>
  <c r="H34" i="50"/>
  <c r="O34" i="46"/>
  <c r="N34" i="46"/>
  <c r="M34" i="46"/>
  <c r="L34" i="46"/>
  <c r="K34" i="46"/>
  <c r="J34" i="46"/>
  <c r="I34" i="46"/>
  <c r="H34" i="46"/>
  <c r="O34" i="49"/>
  <c r="N34" i="49"/>
  <c r="M34" i="49"/>
  <c r="L34" i="49"/>
  <c r="K34" i="49"/>
  <c r="J34" i="49"/>
  <c r="I34" i="49"/>
  <c r="H34" i="49"/>
  <c r="O34" i="48"/>
  <c r="N34" i="48"/>
  <c r="M34" i="48"/>
  <c r="L34" i="48"/>
  <c r="K34" i="48"/>
  <c r="J34" i="48"/>
  <c r="I34" i="48"/>
  <c r="H34" i="48"/>
  <c r="O34" i="45"/>
  <c r="N34" i="45"/>
  <c r="M34" i="45"/>
  <c r="L34" i="45"/>
  <c r="K34" i="45"/>
  <c r="J34" i="45"/>
  <c r="I34" i="45"/>
  <c r="H34" i="45"/>
  <c r="O34" i="3"/>
  <c r="N34" i="3"/>
  <c r="M34" i="3"/>
  <c r="L34" i="3"/>
  <c r="K34" i="3"/>
  <c r="J34" i="3"/>
  <c r="I34" i="3"/>
  <c r="H34" i="3"/>
  <c r="Q10" i="53"/>
  <c r="C99" i="54"/>
  <c r="C98" i="54"/>
  <c r="B79" i="54"/>
  <c r="B78" i="54"/>
  <c r="B77" i="54"/>
  <c r="U33" i="54"/>
  <c r="S33" i="54"/>
  <c r="AA33" i="54" s="1"/>
  <c r="P33" i="54"/>
  <c r="X33" i="54" s="1"/>
  <c r="G33" i="54"/>
  <c r="R33" i="54" s="1"/>
  <c r="AC33" i="54" s="1"/>
  <c r="D33" i="54"/>
  <c r="R32" i="54"/>
  <c r="AC32" i="54" s="1"/>
  <c r="P32" i="54"/>
  <c r="X32" i="54" s="1"/>
  <c r="G32" i="54"/>
  <c r="D32" i="54"/>
  <c r="AA31" i="54"/>
  <c r="Y31" i="54"/>
  <c r="AJ31" i="54" s="1"/>
  <c r="W31" i="54"/>
  <c r="S31" i="54"/>
  <c r="P31" i="54"/>
  <c r="X31" i="54" s="1"/>
  <c r="G31" i="54"/>
  <c r="R31" i="54" s="1"/>
  <c r="AC31" i="54" s="1"/>
  <c r="D31" i="54"/>
  <c r="E79" i="54" s="1"/>
  <c r="Y30" i="54"/>
  <c r="AJ30" i="54" s="1"/>
  <c r="S30" i="54"/>
  <c r="R30" i="54"/>
  <c r="AC30" i="54" s="1"/>
  <c r="P30" i="54"/>
  <c r="X30" i="54" s="1"/>
  <c r="G30" i="54"/>
  <c r="D30" i="54"/>
  <c r="P29" i="54"/>
  <c r="Y29" i="54" s="1"/>
  <c r="G29" i="54"/>
  <c r="R29" i="54" s="1"/>
  <c r="AC29" i="54" s="1"/>
  <c r="D29" i="54"/>
  <c r="P28" i="54"/>
  <c r="Y28" i="54" s="1"/>
  <c r="G28" i="54"/>
  <c r="R28" i="54" s="1"/>
  <c r="AC28" i="54" s="1"/>
  <c r="D28" i="54"/>
  <c r="X27" i="54"/>
  <c r="P27" i="54"/>
  <c r="Y27" i="54" s="1"/>
  <c r="G27" i="54"/>
  <c r="R27" i="54" s="1"/>
  <c r="AC27" i="54" s="1"/>
  <c r="D27" i="54"/>
  <c r="P26" i="54"/>
  <c r="Y26" i="54" s="1"/>
  <c r="G26" i="54"/>
  <c r="R26" i="54" s="1"/>
  <c r="AC26" i="54" s="1"/>
  <c r="D26" i="54"/>
  <c r="Y25" i="54"/>
  <c r="W25" i="54"/>
  <c r="P25" i="54"/>
  <c r="X25" i="54" s="1"/>
  <c r="G25" i="54"/>
  <c r="R25" i="54" s="1"/>
  <c r="AC25" i="54" s="1"/>
  <c r="D25" i="54"/>
  <c r="R24" i="54"/>
  <c r="AC24" i="54" s="1"/>
  <c r="P24" i="54"/>
  <c r="Y24" i="54" s="1"/>
  <c r="G24" i="54"/>
  <c r="D24" i="54"/>
  <c r="Y23" i="54"/>
  <c r="X23" i="54"/>
  <c r="R23" i="54"/>
  <c r="AC23" i="54" s="1"/>
  <c r="P23" i="54"/>
  <c r="W23" i="54" s="1"/>
  <c r="G23" i="54"/>
  <c r="D23" i="54"/>
  <c r="R22" i="54"/>
  <c r="AC22" i="54" s="1"/>
  <c r="P22" i="54"/>
  <c r="Y22" i="54" s="1"/>
  <c r="G22" i="54"/>
  <c r="D22" i="54"/>
  <c r="X21" i="54"/>
  <c r="W21" i="54"/>
  <c r="P21" i="54"/>
  <c r="V21" i="54" s="1"/>
  <c r="G21" i="54"/>
  <c r="R21" i="54" s="1"/>
  <c r="AC21" i="54" s="1"/>
  <c r="D21" i="54"/>
  <c r="P20" i="54"/>
  <c r="G20" i="54"/>
  <c r="R20" i="54" s="1"/>
  <c r="AC20" i="54" s="1"/>
  <c r="D20" i="54"/>
  <c r="Z19" i="54"/>
  <c r="X19" i="54"/>
  <c r="V19" i="54"/>
  <c r="U19" i="54"/>
  <c r="S19" i="54"/>
  <c r="P19" i="54"/>
  <c r="Y19" i="54" s="1"/>
  <c r="G19" i="54"/>
  <c r="R19" i="54" s="1"/>
  <c r="AC19" i="54" s="1"/>
  <c r="D19" i="54"/>
  <c r="Z18" i="54"/>
  <c r="T18" i="54"/>
  <c r="R18" i="54"/>
  <c r="AC18" i="54" s="1"/>
  <c r="P18" i="54"/>
  <c r="Y18" i="54" s="1"/>
  <c r="G18" i="54"/>
  <c r="D18" i="54"/>
  <c r="R17" i="54"/>
  <c r="AC17" i="54" s="1"/>
  <c r="P17" i="54"/>
  <c r="Y17" i="54" s="1"/>
  <c r="G17" i="54"/>
  <c r="D17" i="54"/>
  <c r="P16" i="54"/>
  <c r="G16" i="54"/>
  <c r="R16" i="54" s="1"/>
  <c r="AC16" i="54" s="1"/>
  <c r="D16" i="54"/>
  <c r="T15" i="54"/>
  <c r="P15" i="54"/>
  <c r="X15" i="54" s="1"/>
  <c r="G15" i="54"/>
  <c r="R15" i="54" s="1"/>
  <c r="AC15" i="54" s="1"/>
  <c r="D15" i="54"/>
  <c r="P14" i="54"/>
  <c r="G14" i="54"/>
  <c r="R14" i="54" s="1"/>
  <c r="AC14" i="54" s="1"/>
  <c r="D14" i="54"/>
  <c r="Z13" i="54"/>
  <c r="T13" i="54"/>
  <c r="P13" i="54"/>
  <c r="X13" i="54" s="1"/>
  <c r="G13" i="54"/>
  <c r="R13" i="54" s="1"/>
  <c r="AC13" i="54" s="1"/>
  <c r="D13" i="54"/>
  <c r="P12" i="54"/>
  <c r="G12" i="54"/>
  <c r="R12" i="54" s="1"/>
  <c r="AC12" i="54" s="1"/>
  <c r="D12" i="54"/>
  <c r="Z11" i="54"/>
  <c r="P11" i="54"/>
  <c r="X11" i="54" s="1"/>
  <c r="G11" i="54"/>
  <c r="R11" i="54" s="1"/>
  <c r="AC11" i="54" s="1"/>
  <c r="D11" i="54"/>
  <c r="P10" i="54"/>
  <c r="G10" i="54"/>
  <c r="R10" i="54" s="1"/>
  <c r="AC10" i="54" s="1"/>
  <c r="D10" i="54"/>
  <c r="R9" i="54"/>
  <c r="AC9" i="54" s="1"/>
  <c r="P9" i="54"/>
  <c r="X9" i="54" s="1"/>
  <c r="G9" i="54"/>
  <c r="D9" i="54"/>
  <c r="P8" i="54"/>
  <c r="G8" i="54"/>
  <c r="R8" i="54" s="1"/>
  <c r="AC8" i="54" s="1"/>
  <c r="D8" i="54"/>
  <c r="T7" i="54"/>
  <c r="P7" i="54"/>
  <c r="X7" i="54" s="1"/>
  <c r="G7" i="54"/>
  <c r="R7" i="54" s="1"/>
  <c r="AC7" i="54" s="1"/>
  <c r="D7" i="54"/>
  <c r="E7" i="54" s="1"/>
  <c r="E8" i="54" s="1"/>
  <c r="E9" i="54" s="1"/>
  <c r="E10" i="54" s="1"/>
  <c r="E11" i="54" s="1"/>
  <c r="E12" i="54" s="1"/>
  <c r="E13" i="54" s="1"/>
  <c r="E14" i="54" s="1"/>
  <c r="E15" i="54" s="1"/>
  <c r="E16" i="54" s="1"/>
  <c r="E17" i="54" s="1"/>
  <c r="E18" i="54" s="1"/>
  <c r="E19" i="54" s="1"/>
  <c r="E20" i="54" s="1"/>
  <c r="AH4" i="54"/>
  <c r="Z4" i="54"/>
  <c r="AK4" i="54" s="1"/>
  <c r="Y4" i="54"/>
  <c r="AJ4" i="54" s="1"/>
  <c r="X4" i="54"/>
  <c r="AI4" i="54" s="1"/>
  <c r="W4" i="54"/>
  <c r="V4" i="54"/>
  <c r="AG4" i="54" s="1"/>
  <c r="U4" i="54"/>
  <c r="AF4" i="54" s="1"/>
  <c r="T4" i="54"/>
  <c r="AE4" i="54" s="1"/>
  <c r="S4" i="54"/>
  <c r="AD4" i="54" s="1"/>
  <c r="R4" i="54"/>
  <c r="AC4" i="54" s="1"/>
  <c r="B4" i="54"/>
  <c r="D2" i="54"/>
  <c r="H2" i="54" s="1"/>
  <c r="C99" i="53"/>
  <c r="C98" i="53"/>
  <c r="B79" i="53"/>
  <c r="B78" i="53"/>
  <c r="B77" i="53"/>
  <c r="R33" i="53"/>
  <c r="AC33" i="53" s="1"/>
  <c r="Q33" i="53"/>
  <c r="P33" i="53"/>
  <c r="U33" i="53" s="1"/>
  <c r="G33" i="53"/>
  <c r="D33" i="53"/>
  <c r="X32" i="53"/>
  <c r="T32" i="53"/>
  <c r="Q32" i="53"/>
  <c r="P32" i="53"/>
  <c r="Z32" i="53" s="1"/>
  <c r="G32" i="53"/>
  <c r="R32" i="53" s="1"/>
  <c r="AC32" i="53" s="1"/>
  <c r="D32" i="53"/>
  <c r="Q31" i="53"/>
  <c r="P31" i="53"/>
  <c r="Z31" i="53" s="1"/>
  <c r="G31" i="53"/>
  <c r="R31" i="53" s="1"/>
  <c r="AC31" i="53" s="1"/>
  <c r="D31" i="53"/>
  <c r="Q30" i="53"/>
  <c r="P30" i="53"/>
  <c r="Z30" i="53" s="1"/>
  <c r="G30" i="53"/>
  <c r="R30" i="53" s="1"/>
  <c r="AC30" i="53" s="1"/>
  <c r="D30" i="53"/>
  <c r="W29" i="53"/>
  <c r="Q29" i="53"/>
  <c r="P29" i="53"/>
  <c r="X29" i="53" s="1"/>
  <c r="G29" i="53"/>
  <c r="R29" i="53" s="1"/>
  <c r="AC29" i="53" s="1"/>
  <c r="D29" i="53"/>
  <c r="Q28" i="53"/>
  <c r="P28" i="53"/>
  <c r="Y28" i="53" s="1"/>
  <c r="G28" i="53"/>
  <c r="R28" i="53" s="1"/>
  <c r="AC28" i="53" s="1"/>
  <c r="D28" i="53"/>
  <c r="Q27" i="53"/>
  <c r="P27" i="53"/>
  <c r="Z27" i="53" s="1"/>
  <c r="G27" i="53"/>
  <c r="R27" i="53" s="1"/>
  <c r="AC27" i="53" s="1"/>
  <c r="D27" i="53"/>
  <c r="Q26" i="53"/>
  <c r="P26" i="53"/>
  <c r="X26" i="53" s="1"/>
  <c r="G26" i="53"/>
  <c r="R26" i="53" s="1"/>
  <c r="AC26" i="53" s="1"/>
  <c r="D26" i="53"/>
  <c r="R25" i="53"/>
  <c r="AC25" i="53" s="1"/>
  <c r="Q25" i="53"/>
  <c r="P25" i="53"/>
  <c r="Z25" i="53" s="1"/>
  <c r="G25" i="53"/>
  <c r="D25" i="53"/>
  <c r="AC24" i="53"/>
  <c r="Q24" i="53"/>
  <c r="P24" i="53"/>
  <c r="U24" i="53" s="1"/>
  <c r="G24" i="53"/>
  <c r="R24" i="53" s="1"/>
  <c r="D24" i="53"/>
  <c r="R23" i="53"/>
  <c r="AC23" i="53" s="1"/>
  <c r="Q23" i="53"/>
  <c r="P23" i="53"/>
  <c r="Z23" i="53" s="1"/>
  <c r="G23" i="53"/>
  <c r="D23" i="53"/>
  <c r="V22" i="53"/>
  <c r="S22" i="53"/>
  <c r="AA22" i="53" s="1"/>
  <c r="Q22" i="53"/>
  <c r="P22" i="53"/>
  <c r="Z22" i="53" s="1"/>
  <c r="G22" i="53"/>
  <c r="R22" i="53" s="1"/>
  <c r="AC22" i="53" s="1"/>
  <c r="D22" i="53"/>
  <c r="X21" i="53"/>
  <c r="V21" i="53"/>
  <c r="U21" i="53"/>
  <c r="Q21" i="53"/>
  <c r="P21" i="53"/>
  <c r="Z21" i="53" s="1"/>
  <c r="G21" i="53"/>
  <c r="R21" i="53" s="1"/>
  <c r="AC21" i="53" s="1"/>
  <c r="D21" i="53"/>
  <c r="Y20" i="53"/>
  <c r="V20" i="53"/>
  <c r="R20" i="53"/>
  <c r="AC20" i="53" s="1"/>
  <c r="Q20" i="53"/>
  <c r="P20" i="53"/>
  <c r="Z20" i="53" s="1"/>
  <c r="G20" i="53"/>
  <c r="D20" i="53"/>
  <c r="X19" i="53"/>
  <c r="W19" i="53"/>
  <c r="Q19" i="53"/>
  <c r="P19" i="53"/>
  <c r="Z19" i="53" s="1"/>
  <c r="G19" i="53"/>
  <c r="R19" i="53" s="1"/>
  <c r="AC19" i="53" s="1"/>
  <c r="D19" i="53"/>
  <c r="Q18" i="53"/>
  <c r="P18" i="53"/>
  <c r="Z18" i="53" s="1"/>
  <c r="G18" i="53"/>
  <c r="R18" i="53" s="1"/>
  <c r="AC18" i="53" s="1"/>
  <c r="D18" i="53"/>
  <c r="X17" i="53"/>
  <c r="W17" i="53"/>
  <c r="V17" i="53"/>
  <c r="U17" i="53"/>
  <c r="R17" i="53"/>
  <c r="AC17" i="53" s="1"/>
  <c r="Q17" i="53"/>
  <c r="P17" i="53"/>
  <c r="Z17" i="53" s="1"/>
  <c r="G17" i="53"/>
  <c r="D17" i="53"/>
  <c r="Y16" i="53"/>
  <c r="V16" i="53"/>
  <c r="Q16" i="53"/>
  <c r="P16" i="53"/>
  <c r="Z16" i="53" s="1"/>
  <c r="G16" i="53"/>
  <c r="R16" i="53" s="1"/>
  <c r="AC16" i="53" s="1"/>
  <c r="D16" i="53"/>
  <c r="X15" i="53"/>
  <c r="U15" i="53"/>
  <c r="Q15" i="53"/>
  <c r="P15" i="53"/>
  <c r="Z15" i="53" s="1"/>
  <c r="G15" i="53"/>
  <c r="R15" i="53" s="1"/>
  <c r="AC15" i="53" s="1"/>
  <c r="D15" i="53"/>
  <c r="Z14" i="53"/>
  <c r="U14" i="53"/>
  <c r="T14" i="53"/>
  <c r="S14" i="53"/>
  <c r="Q14" i="53"/>
  <c r="P14" i="53"/>
  <c r="Y14" i="53" s="1"/>
  <c r="G14" i="53"/>
  <c r="R14" i="53" s="1"/>
  <c r="AC14" i="53" s="1"/>
  <c r="D14" i="53"/>
  <c r="Q13" i="53"/>
  <c r="P13" i="53"/>
  <c r="T13" i="53" s="1"/>
  <c r="G13" i="53"/>
  <c r="R13" i="53" s="1"/>
  <c r="AC13" i="53" s="1"/>
  <c r="D13" i="53"/>
  <c r="Y12" i="53"/>
  <c r="W12" i="53"/>
  <c r="U12" i="53"/>
  <c r="Q12" i="53"/>
  <c r="P12" i="53"/>
  <c r="Z12" i="53" s="1"/>
  <c r="G12" i="53"/>
  <c r="R12" i="53" s="1"/>
  <c r="AC12" i="53" s="1"/>
  <c r="D12" i="53"/>
  <c r="S11" i="53"/>
  <c r="Q11" i="53"/>
  <c r="P11" i="53"/>
  <c r="U11" i="53" s="1"/>
  <c r="G11" i="53"/>
  <c r="R11" i="53" s="1"/>
  <c r="AC11" i="53" s="1"/>
  <c r="D11" i="53"/>
  <c r="P10" i="53"/>
  <c r="Z10" i="53" s="1"/>
  <c r="G10" i="53"/>
  <c r="R10" i="53" s="1"/>
  <c r="AC10" i="53" s="1"/>
  <c r="D10" i="53"/>
  <c r="Q9" i="53"/>
  <c r="P9" i="53"/>
  <c r="W9" i="53" s="1"/>
  <c r="G9" i="53"/>
  <c r="R9" i="53" s="1"/>
  <c r="AC9" i="53" s="1"/>
  <c r="D9" i="53"/>
  <c r="Z8" i="53"/>
  <c r="U8" i="53"/>
  <c r="T8" i="53"/>
  <c r="Q8" i="53"/>
  <c r="P8" i="53"/>
  <c r="Y8" i="53" s="1"/>
  <c r="G8" i="53"/>
  <c r="R8" i="53" s="1"/>
  <c r="AC8" i="53" s="1"/>
  <c r="D8" i="53"/>
  <c r="R7" i="53"/>
  <c r="AC7" i="53" s="1"/>
  <c r="Q7" i="53"/>
  <c r="P7" i="53"/>
  <c r="Y7" i="53" s="1"/>
  <c r="G7" i="53"/>
  <c r="D7" i="53"/>
  <c r="AK4" i="53"/>
  <c r="Z4" i="53"/>
  <c r="Y4" i="53"/>
  <c r="AJ4" i="53" s="1"/>
  <c r="X4" i="53"/>
  <c r="AI4" i="53" s="1"/>
  <c r="W4" i="53"/>
  <c r="AH4" i="53" s="1"/>
  <c r="V4" i="53"/>
  <c r="AG4" i="53" s="1"/>
  <c r="U4" i="53"/>
  <c r="AF4" i="53" s="1"/>
  <c r="T4" i="53"/>
  <c r="AE4" i="53" s="1"/>
  <c r="S4" i="53"/>
  <c r="AD4" i="53" s="1"/>
  <c r="R4" i="53"/>
  <c r="AC4" i="53" s="1"/>
  <c r="D2" i="53"/>
  <c r="H2" i="53" s="1"/>
  <c r="B4" i="51"/>
  <c r="D32" i="46"/>
  <c r="Q10" i="50"/>
  <c r="C99" i="51"/>
  <c r="C98" i="51"/>
  <c r="B79" i="51"/>
  <c r="B78" i="51"/>
  <c r="B77" i="51"/>
  <c r="Y33" i="51"/>
  <c r="X33" i="51"/>
  <c r="V33" i="51"/>
  <c r="P33" i="51"/>
  <c r="Z33" i="51" s="1"/>
  <c r="G33" i="51"/>
  <c r="R33" i="51" s="1"/>
  <c r="AC33" i="51" s="1"/>
  <c r="D33" i="51"/>
  <c r="X32" i="51"/>
  <c r="W32" i="51"/>
  <c r="U32" i="51"/>
  <c r="P32" i="51"/>
  <c r="V32" i="51" s="1"/>
  <c r="G32" i="51"/>
  <c r="R32" i="51" s="1"/>
  <c r="AC32" i="51" s="1"/>
  <c r="D32" i="51"/>
  <c r="Z31" i="51"/>
  <c r="Y31" i="51"/>
  <c r="X31" i="51"/>
  <c r="W31" i="51"/>
  <c r="V31" i="51"/>
  <c r="T31" i="51"/>
  <c r="P31" i="51"/>
  <c r="U31" i="51" s="1"/>
  <c r="G31" i="51"/>
  <c r="R31" i="51" s="1"/>
  <c r="AC31" i="51" s="1"/>
  <c r="D31" i="51"/>
  <c r="Z30" i="51"/>
  <c r="Y30" i="51"/>
  <c r="X30" i="51"/>
  <c r="W30" i="51"/>
  <c r="V30" i="51"/>
  <c r="U30" i="51"/>
  <c r="S30" i="51"/>
  <c r="P30" i="51"/>
  <c r="T30" i="51" s="1"/>
  <c r="G30" i="51"/>
  <c r="R30" i="51" s="1"/>
  <c r="AC30" i="51" s="1"/>
  <c r="D30" i="51"/>
  <c r="U29" i="51"/>
  <c r="T29" i="51"/>
  <c r="P29" i="51"/>
  <c r="S29" i="51" s="1"/>
  <c r="G29" i="51"/>
  <c r="R29" i="51" s="1"/>
  <c r="AC29" i="51" s="1"/>
  <c r="D29" i="51"/>
  <c r="Z28" i="51"/>
  <c r="Y28" i="51"/>
  <c r="X28" i="51"/>
  <c r="W28" i="51"/>
  <c r="V28" i="51"/>
  <c r="U28" i="51"/>
  <c r="T28" i="51"/>
  <c r="S28" i="51"/>
  <c r="AF28" i="51" s="1"/>
  <c r="P28" i="51"/>
  <c r="G28" i="51"/>
  <c r="R28" i="51" s="1"/>
  <c r="AC28" i="51" s="1"/>
  <c r="D28" i="51"/>
  <c r="P27" i="51"/>
  <c r="Z27" i="51" s="1"/>
  <c r="G27" i="51"/>
  <c r="R27" i="51" s="1"/>
  <c r="AC27" i="51" s="1"/>
  <c r="D27" i="51"/>
  <c r="P26" i="51"/>
  <c r="Z26" i="51" s="1"/>
  <c r="G26" i="51"/>
  <c r="R26" i="51" s="1"/>
  <c r="AC26" i="51" s="1"/>
  <c r="D26" i="51"/>
  <c r="Z25" i="51"/>
  <c r="W25" i="51"/>
  <c r="V25" i="51"/>
  <c r="U25" i="51"/>
  <c r="P25" i="51"/>
  <c r="Y25" i="51" s="1"/>
  <c r="G25" i="51"/>
  <c r="R25" i="51" s="1"/>
  <c r="AC25" i="51" s="1"/>
  <c r="D25" i="51"/>
  <c r="Z24" i="51"/>
  <c r="Y24" i="51"/>
  <c r="V24" i="51"/>
  <c r="U24" i="51"/>
  <c r="T24" i="51"/>
  <c r="P24" i="51"/>
  <c r="X24" i="51" s="1"/>
  <c r="G24" i="51"/>
  <c r="R24" i="51" s="1"/>
  <c r="AC24" i="51" s="1"/>
  <c r="D24" i="51"/>
  <c r="Z23" i="51"/>
  <c r="Y23" i="51"/>
  <c r="X23" i="51"/>
  <c r="AI23" i="51" s="1"/>
  <c r="V23" i="51"/>
  <c r="U23" i="51"/>
  <c r="T23" i="51"/>
  <c r="S23" i="51"/>
  <c r="P23" i="51"/>
  <c r="W23" i="51" s="1"/>
  <c r="AH23" i="51" s="1"/>
  <c r="G23" i="51"/>
  <c r="R23" i="51" s="1"/>
  <c r="AC23" i="51" s="1"/>
  <c r="D23" i="51"/>
  <c r="Z22" i="51"/>
  <c r="Y22" i="51"/>
  <c r="W22" i="51"/>
  <c r="P22" i="51"/>
  <c r="X22" i="51" s="1"/>
  <c r="G22" i="51"/>
  <c r="R22" i="51" s="1"/>
  <c r="AC22" i="51" s="1"/>
  <c r="D22" i="51"/>
  <c r="Y21" i="51"/>
  <c r="X21" i="51"/>
  <c r="V21" i="51"/>
  <c r="R21" i="51"/>
  <c r="AC21" i="51" s="1"/>
  <c r="P21" i="51"/>
  <c r="W21" i="51" s="1"/>
  <c r="G21" i="51"/>
  <c r="D21" i="51"/>
  <c r="R20" i="51"/>
  <c r="AC20" i="51" s="1"/>
  <c r="P20" i="51"/>
  <c r="V20" i="51" s="1"/>
  <c r="G20" i="51"/>
  <c r="D20" i="51"/>
  <c r="P19" i="51"/>
  <c r="S19" i="51" s="1"/>
  <c r="G19" i="51"/>
  <c r="R19" i="51" s="1"/>
  <c r="AC19" i="51" s="1"/>
  <c r="D19" i="51"/>
  <c r="X18" i="51"/>
  <c r="W18" i="51"/>
  <c r="U18" i="51"/>
  <c r="T18" i="51"/>
  <c r="S18" i="51"/>
  <c r="P18" i="51"/>
  <c r="Z18" i="51" s="1"/>
  <c r="G18" i="51"/>
  <c r="R18" i="51" s="1"/>
  <c r="AC18" i="51" s="1"/>
  <c r="D18" i="51"/>
  <c r="R17" i="51"/>
  <c r="AC17" i="51" s="1"/>
  <c r="P17" i="51"/>
  <c r="Y17" i="51" s="1"/>
  <c r="G17" i="51"/>
  <c r="D17" i="51"/>
  <c r="R16" i="51"/>
  <c r="AC16" i="51" s="1"/>
  <c r="P16" i="51"/>
  <c r="Z16" i="51" s="1"/>
  <c r="G16" i="51"/>
  <c r="D16" i="51"/>
  <c r="R15" i="51"/>
  <c r="AC15" i="51" s="1"/>
  <c r="P15" i="51"/>
  <c r="Z15" i="51" s="1"/>
  <c r="G15" i="51"/>
  <c r="D15" i="51"/>
  <c r="P14" i="51"/>
  <c r="Z14" i="51" s="1"/>
  <c r="G14" i="51"/>
  <c r="R14" i="51" s="1"/>
  <c r="AC14" i="51" s="1"/>
  <c r="D14" i="51"/>
  <c r="P13" i="51"/>
  <c r="Z13" i="51" s="1"/>
  <c r="G13" i="51"/>
  <c r="R13" i="51" s="1"/>
  <c r="AC13" i="51" s="1"/>
  <c r="D13" i="51"/>
  <c r="X12" i="51"/>
  <c r="R12" i="51"/>
  <c r="AC12" i="51" s="1"/>
  <c r="P12" i="51"/>
  <c r="Z12" i="51" s="1"/>
  <c r="G12" i="51"/>
  <c r="D12" i="51"/>
  <c r="R11" i="51"/>
  <c r="AC11" i="51" s="1"/>
  <c r="P11" i="51"/>
  <c r="Z11" i="51" s="1"/>
  <c r="G11" i="51"/>
  <c r="D11" i="51"/>
  <c r="X10" i="51"/>
  <c r="R10" i="51"/>
  <c r="AC10" i="51" s="1"/>
  <c r="P10" i="51"/>
  <c r="Z10" i="51" s="1"/>
  <c r="G10" i="51"/>
  <c r="D10" i="51"/>
  <c r="P9" i="51"/>
  <c r="G9" i="51"/>
  <c r="R9" i="51" s="1"/>
  <c r="AC9" i="51" s="1"/>
  <c r="D9" i="51"/>
  <c r="P8" i="51"/>
  <c r="Y8" i="51" s="1"/>
  <c r="G8" i="51"/>
  <c r="R8" i="51" s="1"/>
  <c r="AC8" i="51" s="1"/>
  <c r="D8" i="51"/>
  <c r="Y7" i="51"/>
  <c r="P7" i="51"/>
  <c r="X7" i="51" s="1"/>
  <c r="G7" i="51"/>
  <c r="R7" i="51" s="1"/>
  <c r="AC7" i="51" s="1"/>
  <c r="D7" i="51"/>
  <c r="AF4" i="51"/>
  <c r="AE4" i="51"/>
  <c r="Z4" i="51"/>
  <c r="AK4" i="51" s="1"/>
  <c r="Y4" i="51"/>
  <c r="AJ4" i="51" s="1"/>
  <c r="X4" i="51"/>
  <c r="AI4" i="51" s="1"/>
  <c r="W4" i="51"/>
  <c r="AH4" i="51" s="1"/>
  <c r="V4" i="51"/>
  <c r="AG4" i="51" s="1"/>
  <c r="U4" i="51"/>
  <c r="T4" i="51"/>
  <c r="S4" i="51"/>
  <c r="AD4" i="51" s="1"/>
  <c r="R4" i="51"/>
  <c r="AC4" i="51" s="1"/>
  <c r="D2" i="51"/>
  <c r="H2" i="51" s="1"/>
  <c r="C99" i="50"/>
  <c r="C98" i="50"/>
  <c r="B79" i="50"/>
  <c r="B78" i="50"/>
  <c r="B77" i="50"/>
  <c r="Y33" i="50"/>
  <c r="P33" i="50"/>
  <c r="G33" i="50"/>
  <c r="R33" i="50" s="1"/>
  <c r="AC33" i="50" s="1"/>
  <c r="D33" i="50"/>
  <c r="Y32" i="50"/>
  <c r="R32" i="50"/>
  <c r="AC32" i="50" s="1"/>
  <c r="P32" i="50"/>
  <c r="T32" i="50" s="1"/>
  <c r="G32" i="50"/>
  <c r="D32" i="50"/>
  <c r="AC31" i="50"/>
  <c r="P31" i="50"/>
  <c r="Z31" i="50" s="1"/>
  <c r="G31" i="50"/>
  <c r="R31" i="50" s="1"/>
  <c r="D31" i="50"/>
  <c r="P30" i="50"/>
  <c r="Y30" i="50" s="1"/>
  <c r="G30" i="50"/>
  <c r="R30" i="50" s="1"/>
  <c r="AC30" i="50" s="1"/>
  <c r="D30" i="50"/>
  <c r="X29" i="50"/>
  <c r="P29" i="50"/>
  <c r="Y29" i="50" s="1"/>
  <c r="G29" i="50"/>
  <c r="R29" i="50" s="1"/>
  <c r="AC29" i="50" s="1"/>
  <c r="D29" i="50"/>
  <c r="P28" i="50"/>
  <c r="Z28" i="50" s="1"/>
  <c r="G28" i="50"/>
  <c r="R28" i="50" s="1"/>
  <c r="AC28" i="50" s="1"/>
  <c r="D28" i="50"/>
  <c r="V27" i="50"/>
  <c r="T27" i="50"/>
  <c r="R27" i="50"/>
  <c r="AC27" i="50" s="1"/>
  <c r="P27" i="50"/>
  <c r="Z27" i="50" s="1"/>
  <c r="G27" i="50"/>
  <c r="D27" i="50"/>
  <c r="P26" i="50"/>
  <c r="U26" i="50" s="1"/>
  <c r="G26" i="50"/>
  <c r="R26" i="50" s="1"/>
  <c r="AC26" i="50" s="1"/>
  <c r="D26" i="50"/>
  <c r="P25" i="50"/>
  <c r="Z25" i="50" s="1"/>
  <c r="G25" i="50"/>
  <c r="R25" i="50" s="1"/>
  <c r="AC25" i="50" s="1"/>
  <c r="D25" i="50"/>
  <c r="Z24" i="50"/>
  <c r="U24" i="50"/>
  <c r="S24" i="50"/>
  <c r="AA24" i="50" s="1"/>
  <c r="P24" i="50"/>
  <c r="V24" i="50" s="1"/>
  <c r="G24" i="50"/>
  <c r="R24" i="50" s="1"/>
  <c r="AC24" i="50" s="1"/>
  <c r="D24" i="50"/>
  <c r="P23" i="50"/>
  <c r="Z23" i="50" s="1"/>
  <c r="G23" i="50"/>
  <c r="R23" i="50" s="1"/>
  <c r="AC23" i="50" s="1"/>
  <c r="D23" i="50"/>
  <c r="P22" i="50"/>
  <c r="Z22" i="50" s="1"/>
  <c r="G22" i="50"/>
  <c r="R22" i="50" s="1"/>
  <c r="AC22" i="50" s="1"/>
  <c r="D22" i="50"/>
  <c r="S21" i="50"/>
  <c r="P21" i="50"/>
  <c r="Z21" i="50" s="1"/>
  <c r="G21" i="50"/>
  <c r="R21" i="50" s="1"/>
  <c r="AC21" i="50" s="1"/>
  <c r="D21" i="50"/>
  <c r="P20" i="50"/>
  <c r="W20" i="50" s="1"/>
  <c r="G20" i="50"/>
  <c r="R20" i="50" s="1"/>
  <c r="AC20" i="50" s="1"/>
  <c r="D20" i="50"/>
  <c r="AC19" i="50"/>
  <c r="P19" i="50"/>
  <c r="Z19" i="50" s="1"/>
  <c r="G19" i="50"/>
  <c r="R19" i="50" s="1"/>
  <c r="D19" i="50"/>
  <c r="R18" i="50"/>
  <c r="AC18" i="50" s="1"/>
  <c r="P18" i="50"/>
  <c r="Y18" i="50" s="1"/>
  <c r="G18" i="50"/>
  <c r="D18" i="50"/>
  <c r="Y17" i="50"/>
  <c r="X17" i="50"/>
  <c r="T17" i="50"/>
  <c r="P17" i="50"/>
  <c r="V17" i="50" s="1"/>
  <c r="G17" i="50"/>
  <c r="R17" i="50" s="1"/>
  <c r="AC17" i="50" s="1"/>
  <c r="D17" i="50"/>
  <c r="W16" i="50"/>
  <c r="U16" i="50"/>
  <c r="S16" i="50"/>
  <c r="P16" i="50"/>
  <c r="V16" i="50" s="1"/>
  <c r="G16" i="50"/>
  <c r="R16" i="50" s="1"/>
  <c r="AC16" i="50" s="1"/>
  <c r="D16" i="50"/>
  <c r="X15" i="50"/>
  <c r="P15" i="50"/>
  <c r="S15" i="50" s="1"/>
  <c r="G15" i="50"/>
  <c r="R15" i="50" s="1"/>
  <c r="AC15" i="50" s="1"/>
  <c r="D15" i="50"/>
  <c r="X14" i="50"/>
  <c r="P14" i="50"/>
  <c r="T14" i="50" s="1"/>
  <c r="G14" i="50"/>
  <c r="R14" i="50" s="1"/>
  <c r="AC14" i="50" s="1"/>
  <c r="D14" i="50"/>
  <c r="Y13" i="50"/>
  <c r="P13" i="50"/>
  <c r="X13" i="50" s="1"/>
  <c r="G13" i="50"/>
  <c r="R13" i="50" s="1"/>
  <c r="AC13" i="50" s="1"/>
  <c r="D13" i="50"/>
  <c r="P12" i="50"/>
  <c r="G12" i="50"/>
  <c r="R12" i="50" s="1"/>
  <c r="AC12" i="50" s="1"/>
  <c r="D12" i="50"/>
  <c r="P11" i="50"/>
  <c r="W11" i="50" s="1"/>
  <c r="G11" i="50"/>
  <c r="R11" i="50" s="1"/>
  <c r="AC11" i="50" s="1"/>
  <c r="D11" i="50"/>
  <c r="R10" i="50"/>
  <c r="AC10" i="50" s="1"/>
  <c r="P10" i="50"/>
  <c r="X10" i="50" s="1"/>
  <c r="G10" i="50"/>
  <c r="D10" i="50"/>
  <c r="Z9" i="50"/>
  <c r="X9" i="50"/>
  <c r="T9" i="50"/>
  <c r="P9" i="50"/>
  <c r="V9" i="50" s="1"/>
  <c r="G9" i="50"/>
  <c r="R9" i="50" s="1"/>
  <c r="AC9" i="50" s="1"/>
  <c r="D9" i="50"/>
  <c r="P8" i="50"/>
  <c r="W8" i="50" s="1"/>
  <c r="G8" i="50"/>
  <c r="R8" i="50" s="1"/>
  <c r="AC8" i="50" s="1"/>
  <c r="D8" i="50"/>
  <c r="Y7" i="50"/>
  <c r="P7" i="50"/>
  <c r="U7" i="50" s="1"/>
  <c r="G7" i="50"/>
  <c r="R7" i="50" s="1"/>
  <c r="AC7" i="50" s="1"/>
  <c r="D7" i="50"/>
  <c r="E7" i="50" s="1"/>
  <c r="AG4" i="50"/>
  <c r="Z4" i="50"/>
  <c r="AK4" i="50" s="1"/>
  <c r="Y4" i="50"/>
  <c r="AJ4" i="50" s="1"/>
  <c r="X4" i="50"/>
  <c r="AI4" i="50" s="1"/>
  <c r="W4" i="50"/>
  <c r="AH4" i="50" s="1"/>
  <c r="V4" i="50"/>
  <c r="U4" i="50"/>
  <c r="AF4" i="50" s="1"/>
  <c r="T4" i="50"/>
  <c r="AE4" i="50" s="1"/>
  <c r="S4" i="50"/>
  <c r="AD4" i="50" s="1"/>
  <c r="R4" i="50"/>
  <c r="AC4" i="50" s="1"/>
  <c r="Q27" i="50"/>
  <c r="D2" i="50"/>
  <c r="H2" i="50" s="1"/>
  <c r="C99" i="49"/>
  <c r="C98" i="49"/>
  <c r="B79" i="49"/>
  <c r="B78" i="49"/>
  <c r="B77" i="49"/>
  <c r="Y33" i="49"/>
  <c r="X33" i="49"/>
  <c r="V33" i="49"/>
  <c r="R33" i="49"/>
  <c r="AC33" i="49" s="1"/>
  <c r="P33" i="49"/>
  <c r="U33" i="49" s="1"/>
  <c r="G33" i="49"/>
  <c r="D33" i="49"/>
  <c r="AA32" i="49"/>
  <c r="Z32" i="49"/>
  <c r="X32" i="49"/>
  <c r="W32" i="49"/>
  <c r="S32" i="49"/>
  <c r="P32" i="49"/>
  <c r="V32" i="49" s="1"/>
  <c r="G32" i="49"/>
  <c r="R32" i="49" s="1"/>
  <c r="AC32" i="49" s="1"/>
  <c r="D32" i="49"/>
  <c r="P31" i="49"/>
  <c r="Z31" i="49" s="1"/>
  <c r="G31" i="49"/>
  <c r="R31" i="49" s="1"/>
  <c r="AC31" i="49" s="1"/>
  <c r="D31" i="49"/>
  <c r="P30" i="49"/>
  <c r="Z30" i="49" s="1"/>
  <c r="G30" i="49"/>
  <c r="R30" i="49" s="1"/>
  <c r="AC30" i="49" s="1"/>
  <c r="D30" i="49"/>
  <c r="Z29" i="49"/>
  <c r="R29" i="49"/>
  <c r="AC29" i="49" s="1"/>
  <c r="P29" i="49"/>
  <c r="Y29" i="49" s="1"/>
  <c r="G29" i="49"/>
  <c r="D29" i="49"/>
  <c r="S28" i="49"/>
  <c r="R28" i="49"/>
  <c r="AC28" i="49" s="1"/>
  <c r="P28" i="49"/>
  <c r="Z28" i="49" s="1"/>
  <c r="G28" i="49"/>
  <c r="D28" i="49"/>
  <c r="S27" i="49"/>
  <c r="P27" i="49"/>
  <c r="Z27" i="49" s="1"/>
  <c r="G27" i="49"/>
  <c r="R27" i="49" s="1"/>
  <c r="AC27" i="49" s="1"/>
  <c r="D27" i="49"/>
  <c r="R26" i="49"/>
  <c r="AC26" i="49" s="1"/>
  <c r="P26" i="49"/>
  <c r="Z26" i="49" s="1"/>
  <c r="G26" i="49"/>
  <c r="D26" i="49"/>
  <c r="Z25" i="49"/>
  <c r="S25" i="49"/>
  <c r="P25" i="49"/>
  <c r="T25" i="49" s="1"/>
  <c r="G25" i="49"/>
  <c r="R25" i="49" s="1"/>
  <c r="AC25" i="49" s="1"/>
  <c r="D25" i="49"/>
  <c r="AA24" i="49"/>
  <c r="X24" i="49"/>
  <c r="W24" i="49"/>
  <c r="S24" i="49"/>
  <c r="P24" i="49"/>
  <c r="Y24" i="49" s="1"/>
  <c r="G24" i="49"/>
  <c r="R24" i="49" s="1"/>
  <c r="AC24" i="49" s="1"/>
  <c r="D24" i="49"/>
  <c r="P23" i="49"/>
  <c r="V23" i="49" s="1"/>
  <c r="G23" i="49"/>
  <c r="R23" i="49" s="1"/>
  <c r="AC23" i="49" s="1"/>
  <c r="D23" i="49"/>
  <c r="Y22" i="49"/>
  <c r="V22" i="49"/>
  <c r="P22" i="49"/>
  <c r="W22" i="49" s="1"/>
  <c r="G22" i="49"/>
  <c r="R22" i="49" s="1"/>
  <c r="AC22" i="49" s="1"/>
  <c r="D22" i="49"/>
  <c r="P21" i="49"/>
  <c r="W21" i="49" s="1"/>
  <c r="G21" i="49"/>
  <c r="R21" i="49" s="1"/>
  <c r="AC21" i="49" s="1"/>
  <c r="D21" i="49"/>
  <c r="Y20" i="49"/>
  <c r="X20" i="49"/>
  <c r="P20" i="49"/>
  <c r="W20" i="49" s="1"/>
  <c r="G20" i="49"/>
  <c r="R20" i="49" s="1"/>
  <c r="AC20" i="49" s="1"/>
  <c r="D20" i="49"/>
  <c r="Y19" i="49"/>
  <c r="X19" i="49"/>
  <c r="P19" i="49"/>
  <c r="W19" i="49" s="1"/>
  <c r="G19" i="49"/>
  <c r="R19" i="49" s="1"/>
  <c r="AC19" i="49" s="1"/>
  <c r="D19" i="49"/>
  <c r="Y18" i="49"/>
  <c r="X18" i="49"/>
  <c r="V18" i="49"/>
  <c r="P18" i="49"/>
  <c r="W18" i="49" s="1"/>
  <c r="G18" i="49"/>
  <c r="R18" i="49" s="1"/>
  <c r="AC18" i="49" s="1"/>
  <c r="D18" i="49"/>
  <c r="Y17" i="49"/>
  <c r="P17" i="49"/>
  <c r="W17" i="49" s="1"/>
  <c r="G17" i="49"/>
  <c r="R17" i="49" s="1"/>
  <c r="AC17" i="49" s="1"/>
  <c r="D17" i="49"/>
  <c r="Y16" i="49"/>
  <c r="V16" i="49"/>
  <c r="P16" i="49"/>
  <c r="W16" i="49" s="1"/>
  <c r="G16" i="49"/>
  <c r="R16" i="49" s="1"/>
  <c r="AC16" i="49" s="1"/>
  <c r="D16" i="49"/>
  <c r="X15" i="49"/>
  <c r="P15" i="49"/>
  <c r="W15" i="49" s="1"/>
  <c r="G15" i="49"/>
  <c r="R15" i="49" s="1"/>
  <c r="AC15" i="49" s="1"/>
  <c r="D15" i="49"/>
  <c r="R14" i="49"/>
  <c r="AC14" i="49" s="1"/>
  <c r="P14" i="49"/>
  <c r="U14" i="49" s="1"/>
  <c r="G14" i="49"/>
  <c r="D14" i="49"/>
  <c r="X13" i="49"/>
  <c r="U13" i="49"/>
  <c r="P13" i="49"/>
  <c r="V13" i="49" s="1"/>
  <c r="G13" i="49"/>
  <c r="R13" i="49" s="1"/>
  <c r="AC13" i="49" s="1"/>
  <c r="D13" i="49"/>
  <c r="P12" i="49"/>
  <c r="Z12" i="49" s="1"/>
  <c r="G12" i="49"/>
  <c r="R12" i="49" s="1"/>
  <c r="AC12" i="49" s="1"/>
  <c r="D12" i="49"/>
  <c r="P11" i="49"/>
  <c r="Z11" i="49" s="1"/>
  <c r="G11" i="49"/>
  <c r="R11" i="49" s="1"/>
  <c r="AC11" i="49" s="1"/>
  <c r="D11" i="49"/>
  <c r="R10" i="49"/>
  <c r="AC10" i="49" s="1"/>
  <c r="P10" i="49"/>
  <c r="Y10" i="49" s="1"/>
  <c r="G10" i="49"/>
  <c r="D10" i="49"/>
  <c r="S9" i="49"/>
  <c r="R9" i="49"/>
  <c r="AC9" i="49" s="1"/>
  <c r="P9" i="49"/>
  <c r="Z9" i="49" s="1"/>
  <c r="G9" i="49"/>
  <c r="D9" i="49"/>
  <c r="AC8" i="49"/>
  <c r="S8" i="49"/>
  <c r="R8" i="49"/>
  <c r="P8" i="49"/>
  <c r="T8" i="49" s="1"/>
  <c r="G8" i="49"/>
  <c r="D8" i="49"/>
  <c r="AA7" i="49"/>
  <c r="Z7" i="49"/>
  <c r="X7" i="49"/>
  <c r="S7" i="49"/>
  <c r="R7" i="49"/>
  <c r="AC7" i="49" s="1"/>
  <c r="P7" i="49"/>
  <c r="Y7" i="49" s="1"/>
  <c r="AJ7" i="49" s="1"/>
  <c r="G7" i="49"/>
  <c r="D7" i="49"/>
  <c r="AK4" i="49"/>
  <c r="AG4" i="49"/>
  <c r="Z4" i="49"/>
  <c r="Y4" i="49"/>
  <c r="AJ4" i="49" s="1"/>
  <c r="X4" i="49"/>
  <c r="AI4" i="49" s="1"/>
  <c r="W4" i="49"/>
  <c r="AH4" i="49" s="1"/>
  <c r="V4" i="49"/>
  <c r="U4" i="49"/>
  <c r="AF4" i="49" s="1"/>
  <c r="T4" i="49"/>
  <c r="AE4" i="49" s="1"/>
  <c r="S4" i="49"/>
  <c r="AD4" i="49" s="1"/>
  <c r="R4" i="49"/>
  <c r="AC4" i="49" s="1"/>
  <c r="D2" i="49"/>
  <c r="H2" i="49" s="1"/>
  <c r="Q33" i="48"/>
  <c r="Q8" i="48"/>
  <c r="Q9" i="48"/>
  <c r="Q10" i="48"/>
  <c r="Q11" i="48"/>
  <c r="Q12" i="48"/>
  <c r="Q13" i="48"/>
  <c r="Q14" i="48"/>
  <c r="Q15" i="48"/>
  <c r="Q16" i="48"/>
  <c r="Q17" i="48"/>
  <c r="Q18" i="48"/>
  <c r="Q19" i="48"/>
  <c r="Q20" i="48"/>
  <c r="Q21" i="48"/>
  <c r="Q22" i="48"/>
  <c r="Q23" i="48"/>
  <c r="Q24" i="48"/>
  <c r="Q25" i="48"/>
  <c r="Q26" i="48"/>
  <c r="Q27" i="48"/>
  <c r="Q28" i="48"/>
  <c r="Q29" i="48"/>
  <c r="Q30" i="48"/>
  <c r="Q31" i="48"/>
  <c r="Q32" i="48"/>
  <c r="Q7" i="48"/>
  <c r="C99" i="48"/>
  <c r="C98" i="48"/>
  <c r="B79" i="48"/>
  <c r="B78" i="48"/>
  <c r="B77" i="48"/>
  <c r="P33" i="48"/>
  <c r="V33" i="48" s="1"/>
  <c r="G33" i="48"/>
  <c r="R33" i="48" s="1"/>
  <c r="AC33" i="48" s="1"/>
  <c r="D33" i="48"/>
  <c r="X32" i="48"/>
  <c r="P32" i="48"/>
  <c r="V32" i="48" s="1"/>
  <c r="G32" i="48"/>
  <c r="R32" i="48" s="1"/>
  <c r="AC32" i="48" s="1"/>
  <c r="D32" i="48"/>
  <c r="X31" i="48"/>
  <c r="P31" i="48"/>
  <c r="V31" i="48" s="1"/>
  <c r="G31" i="48"/>
  <c r="R31" i="48" s="1"/>
  <c r="AC31" i="48" s="1"/>
  <c r="D31" i="48"/>
  <c r="Z30" i="48"/>
  <c r="P30" i="48"/>
  <c r="X30" i="48" s="1"/>
  <c r="G30" i="48"/>
  <c r="R30" i="48" s="1"/>
  <c r="AC30" i="48" s="1"/>
  <c r="D30" i="48"/>
  <c r="P29" i="48"/>
  <c r="X29" i="48" s="1"/>
  <c r="G29" i="48"/>
  <c r="R29" i="48" s="1"/>
  <c r="AC29" i="48" s="1"/>
  <c r="D29" i="48"/>
  <c r="P28" i="48"/>
  <c r="X28" i="48" s="1"/>
  <c r="G28" i="48"/>
  <c r="R28" i="48" s="1"/>
  <c r="AC28" i="48" s="1"/>
  <c r="D28" i="48"/>
  <c r="P27" i="48"/>
  <c r="V27" i="48" s="1"/>
  <c r="G27" i="48"/>
  <c r="R27" i="48" s="1"/>
  <c r="AC27" i="48" s="1"/>
  <c r="D27" i="48"/>
  <c r="W26" i="48"/>
  <c r="P26" i="48"/>
  <c r="V26" i="48" s="1"/>
  <c r="G26" i="48"/>
  <c r="R26" i="48" s="1"/>
  <c r="AC26" i="48" s="1"/>
  <c r="D26" i="48"/>
  <c r="W25" i="48"/>
  <c r="P25" i="48"/>
  <c r="X25" i="48" s="1"/>
  <c r="G25" i="48"/>
  <c r="R25" i="48" s="1"/>
  <c r="AC25" i="48" s="1"/>
  <c r="D25" i="48"/>
  <c r="W24" i="48"/>
  <c r="P24" i="48"/>
  <c r="X24" i="48" s="1"/>
  <c r="G24" i="48"/>
  <c r="R24" i="48" s="1"/>
  <c r="AC24" i="48" s="1"/>
  <c r="D24" i="48"/>
  <c r="Z23" i="48"/>
  <c r="W23" i="48"/>
  <c r="P23" i="48"/>
  <c r="X23" i="48" s="1"/>
  <c r="G23" i="48"/>
  <c r="R23" i="48" s="1"/>
  <c r="AC23" i="48" s="1"/>
  <c r="D23" i="48"/>
  <c r="W22" i="48"/>
  <c r="P22" i="48"/>
  <c r="V22" i="48" s="1"/>
  <c r="G22" i="48"/>
  <c r="R22" i="48" s="1"/>
  <c r="AC22" i="48" s="1"/>
  <c r="D22" i="48"/>
  <c r="P21" i="48"/>
  <c r="U21" i="48" s="1"/>
  <c r="G21" i="48"/>
  <c r="R21" i="48" s="1"/>
  <c r="AC21" i="48" s="1"/>
  <c r="D21" i="48"/>
  <c r="X20" i="48"/>
  <c r="V20" i="48"/>
  <c r="U20" i="48"/>
  <c r="P20" i="48"/>
  <c r="S20" i="48" s="1"/>
  <c r="G20" i="48"/>
  <c r="R20" i="48" s="1"/>
  <c r="AC20" i="48" s="1"/>
  <c r="D20" i="48"/>
  <c r="Y19" i="48"/>
  <c r="U19" i="48"/>
  <c r="T19" i="48"/>
  <c r="S19" i="48"/>
  <c r="P19" i="48"/>
  <c r="V19" i="48" s="1"/>
  <c r="G19" i="48"/>
  <c r="R19" i="48" s="1"/>
  <c r="AC19" i="48" s="1"/>
  <c r="D19" i="48"/>
  <c r="Z18" i="48"/>
  <c r="X18" i="48"/>
  <c r="T18" i="48"/>
  <c r="R18" i="48"/>
  <c r="AC18" i="48" s="1"/>
  <c r="P18" i="48"/>
  <c r="U18" i="48" s="1"/>
  <c r="G18" i="48"/>
  <c r="D18" i="48"/>
  <c r="Y17" i="48"/>
  <c r="X17" i="48"/>
  <c r="V17" i="48"/>
  <c r="P17" i="48"/>
  <c r="Z17" i="48" s="1"/>
  <c r="G17" i="48"/>
  <c r="R17" i="48" s="1"/>
  <c r="AC17" i="48" s="1"/>
  <c r="D17" i="48"/>
  <c r="P16" i="48"/>
  <c r="G16" i="48"/>
  <c r="R16" i="48" s="1"/>
  <c r="AC16" i="48" s="1"/>
  <c r="D16" i="48"/>
  <c r="W15" i="48"/>
  <c r="P15" i="48"/>
  <c r="Z15" i="48" s="1"/>
  <c r="G15" i="48"/>
  <c r="R15" i="48" s="1"/>
  <c r="AC15" i="48" s="1"/>
  <c r="D15" i="48"/>
  <c r="W14" i="48"/>
  <c r="V14" i="48"/>
  <c r="T14" i="48"/>
  <c r="P14" i="48"/>
  <c r="Z14" i="48" s="1"/>
  <c r="G14" i="48"/>
  <c r="R14" i="48" s="1"/>
  <c r="AC14" i="48" s="1"/>
  <c r="D14" i="48"/>
  <c r="P13" i="48"/>
  <c r="Z13" i="48" s="1"/>
  <c r="G13" i="48"/>
  <c r="R13" i="48" s="1"/>
  <c r="AC13" i="48" s="1"/>
  <c r="D13" i="48"/>
  <c r="S12" i="48"/>
  <c r="P12" i="48"/>
  <c r="Z12" i="48" s="1"/>
  <c r="G12" i="48"/>
  <c r="R12" i="48" s="1"/>
  <c r="AC12" i="48" s="1"/>
  <c r="D12" i="48"/>
  <c r="AC11" i="48"/>
  <c r="W11" i="48"/>
  <c r="U11" i="48"/>
  <c r="P11" i="48"/>
  <c r="Z11" i="48" s="1"/>
  <c r="G11" i="48"/>
  <c r="R11" i="48" s="1"/>
  <c r="D11" i="48"/>
  <c r="AC10" i="48"/>
  <c r="U10" i="48"/>
  <c r="T10" i="48"/>
  <c r="P10" i="48"/>
  <c r="Z10" i="48" s="1"/>
  <c r="G10" i="48"/>
  <c r="R10" i="48" s="1"/>
  <c r="D10" i="48"/>
  <c r="W9" i="48"/>
  <c r="U9" i="48"/>
  <c r="T9" i="48"/>
  <c r="P9" i="48"/>
  <c r="Z9" i="48" s="1"/>
  <c r="G9" i="48"/>
  <c r="R9" i="48" s="1"/>
  <c r="AC9" i="48" s="1"/>
  <c r="D9" i="48"/>
  <c r="V8" i="48"/>
  <c r="S8" i="48"/>
  <c r="P8" i="48"/>
  <c r="Z8" i="48" s="1"/>
  <c r="G8" i="48"/>
  <c r="R8" i="48" s="1"/>
  <c r="AC8" i="48" s="1"/>
  <c r="D8" i="48"/>
  <c r="W7" i="48"/>
  <c r="V7" i="48"/>
  <c r="U7" i="48"/>
  <c r="S7" i="48"/>
  <c r="AA7" i="48" s="1"/>
  <c r="P7" i="48"/>
  <c r="T7" i="48" s="1"/>
  <c r="G7" i="48"/>
  <c r="R7" i="48" s="1"/>
  <c r="AC7" i="48" s="1"/>
  <c r="D7" i="48"/>
  <c r="Z4" i="48"/>
  <c r="AK4" i="48" s="1"/>
  <c r="Y4" i="48"/>
  <c r="AJ4" i="48" s="1"/>
  <c r="X4" i="48"/>
  <c r="AI4" i="48" s="1"/>
  <c r="W4" i="48"/>
  <c r="AH4" i="48" s="1"/>
  <c r="V4" i="48"/>
  <c r="AG4" i="48" s="1"/>
  <c r="U4" i="48"/>
  <c r="AF4" i="48" s="1"/>
  <c r="T4" i="48"/>
  <c r="AE4" i="48" s="1"/>
  <c r="S4" i="48"/>
  <c r="AD4" i="48" s="1"/>
  <c r="R4" i="48"/>
  <c r="AC4" i="48" s="1"/>
  <c r="D2" i="48"/>
  <c r="H2" i="48" s="1"/>
  <c r="AD7" i="49" l="1"/>
  <c r="AL7" i="49" s="1"/>
  <c r="AK7" i="49"/>
  <c r="W28" i="48"/>
  <c r="V10" i="48"/>
  <c r="T13" i="48"/>
  <c r="AH13" i="48" s="1"/>
  <c r="Y21" i="48"/>
  <c r="Z28" i="48"/>
  <c r="AK28" i="48" s="1"/>
  <c r="W33" i="48"/>
  <c r="X21" i="49"/>
  <c r="S26" i="49"/>
  <c r="AA26" i="49" s="1"/>
  <c r="E79" i="49"/>
  <c r="X16" i="50"/>
  <c r="Z17" i="50"/>
  <c r="W27" i="50"/>
  <c r="W30" i="50"/>
  <c r="X15" i="51"/>
  <c r="S17" i="51"/>
  <c r="AA17" i="51" s="1"/>
  <c r="W20" i="51"/>
  <c r="Z21" i="51"/>
  <c r="AH21" i="51" s="1"/>
  <c r="S26" i="51"/>
  <c r="T27" i="51"/>
  <c r="V29" i="51"/>
  <c r="AH30" i="51"/>
  <c r="Y32" i="51"/>
  <c r="V8" i="53"/>
  <c r="V15" i="53"/>
  <c r="Y19" i="53"/>
  <c r="W22" i="53"/>
  <c r="AH22" i="53" s="1"/>
  <c r="V24" i="53"/>
  <c r="T9" i="54"/>
  <c r="AE9" i="54" s="1"/>
  <c r="S17" i="54"/>
  <c r="S32" i="54"/>
  <c r="W33" i="54"/>
  <c r="S9" i="48"/>
  <c r="AA9" i="48" s="1"/>
  <c r="W10" i="48"/>
  <c r="U13" i="48"/>
  <c r="Z21" i="48"/>
  <c r="X33" i="48"/>
  <c r="Y21" i="49"/>
  <c r="AE25" i="49"/>
  <c r="T26" i="49"/>
  <c r="Y16" i="50"/>
  <c r="X8" i="51"/>
  <c r="T17" i="51"/>
  <c r="S25" i="51"/>
  <c r="AG25" i="51" s="1"/>
  <c r="T26" i="51"/>
  <c r="U27" i="51"/>
  <c r="W29" i="51"/>
  <c r="AI30" i="51"/>
  <c r="Z32" i="51"/>
  <c r="AK32" i="51" s="1"/>
  <c r="W8" i="53"/>
  <c r="AH8" i="53" s="1"/>
  <c r="U18" i="53"/>
  <c r="X22" i="53"/>
  <c r="Y24" i="53"/>
  <c r="Z9" i="54"/>
  <c r="T17" i="54"/>
  <c r="U29" i="54"/>
  <c r="U32" i="54"/>
  <c r="Y33" i="54"/>
  <c r="AJ33" i="54" s="1"/>
  <c r="V13" i="48"/>
  <c r="T20" i="48"/>
  <c r="Z26" i="48"/>
  <c r="AK26" i="48" s="1"/>
  <c r="W31" i="48"/>
  <c r="W66" i="49"/>
  <c r="X17" i="49"/>
  <c r="U26" i="49"/>
  <c r="S8" i="50"/>
  <c r="W15" i="50"/>
  <c r="Z16" i="50"/>
  <c r="X13" i="51"/>
  <c r="V17" i="51"/>
  <c r="S24" i="51"/>
  <c r="AG24" i="51" s="1"/>
  <c r="T25" i="51"/>
  <c r="U26" i="51"/>
  <c r="V27" i="51"/>
  <c r="AH28" i="51"/>
  <c r="X29" i="51"/>
  <c r="X8" i="53"/>
  <c r="V18" i="53"/>
  <c r="Y22" i="53"/>
  <c r="T26" i="53"/>
  <c r="Z17" i="54"/>
  <c r="W27" i="54"/>
  <c r="W32" i="54"/>
  <c r="AH32" i="54" s="1"/>
  <c r="AI33" i="51"/>
  <c r="W17" i="51"/>
  <c r="AK23" i="51"/>
  <c r="V26" i="51"/>
  <c r="W27" i="51"/>
  <c r="AI28" i="51"/>
  <c r="Y29" i="51"/>
  <c r="AF29" i="51" s="1"/>
  <c r="X18" i="53"/>
  <c r="Z26" i="53"/>
  <c r="AD31" i="54"/>
  <c r="AL31" i="54" s="1"/>
  <c r="Y32" i="54"/>
  <c r="AJ32" i="54" s="1"/>
  <c r="S27" i="51"/>
  <c r="AD19" i="48"/>
  <c r="V9" i="48"/>
  <c r="AG9" i="48" s="1"/>
  <c r="T12" i="48"/>
  <c r="AK12" i="48" s="1"/>
  <c r="S15" i="48"/>
  <c r="S18" i="48"/>
  <c r="Z24" i="48"/>
  <c r="W29" i="48"/>
  <c r="T7" i="49"/>
  <c r="AE7" i="49" s="1"/>
  <c r="Y15" i="49"/>
  <c r="T24" i="49"/>
  <c r="U25" i="49"/>
  <c r="W26" i="49"/>
  <c r="AH26" i="49" s="1"/>
  <c r="T27" i="49"/>
  <c r="AE27" i="49" s="1"/>
  <c r="U29" i="49"/>
  <c r="AF29" i="49" s="1"/>
  <c r="AG32" i="49"/>
  <c r="T33" i="49"/>
  <c r="V10" i="50"/>
  <c r="T24" i="50"/>
  <c r="V31" i="50"/>
  <c r="X11" i="51"/>
  <c r="Z17" i="51"/>
  <c r="T19" i="51"/>
  <c r="S22" i="51"/>
  <c r="AK22" i="51" s="1"/>
  <c r="W26" i="51"/>
  <c r="AH26" i="51" s="1"/>
  <c r="X27" i="51"/>
  <c r="AI27" i="51" s="1"/>
  <c r="Z29" i="51"/>
  <c r="AK29" i="51" s="1"/>
  <c r="AK33" i="51"/>
  <c r="Z7" i="54"/>
  <c r="Z15" i="54"/>
  <c r="T19" i="54"/>
  <c r="T21" i="54"/>
  <c r="U31" i="54"/>
  <c r="AF31" i="54" s="1"/>
  <c r="AI32" i="54"/>
  <c r="X23" i="49"/>
  <c r="E77" i="48"/>
  <c r="U12" i="48"/>
  <c r="T15" i="48"/>
  <c r="Z29" i="48"/>
  <c r="U7" i="49"/>
  <c r="AF7" i="49" s="1"/>
  <c r="U24" i="49"/>
  <c r="V25" i="49"/>
  <c r="X26" i="49"/>
  <c r="X27" i="49"/>
  <c r="V29" i="49"/>
  <c r="E8" i="50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W10" i="50"/>
  <c r="AF24" i="50"/>
  <c r="W31" i="50"/>
  <c r="S16" i="51"/>
  <c r="U19" i="51"/>
  <c r="AE19" i="51" s="1"/>
  <c r="S21" i="51"/>
  <c r="T22" i="51"/>
  <c r="X26" i="51"/>
  <c r="AI26" i="51" s="1"/>
  <c r="Y27" i="51"/>
  <c r="S33" i="51"/>
  <c r="AF33" i="51" s="1"/>
  <c r="S13" i="48"/>
  <c r="E77" i="49"/>
  <c r="W13" i="48"/>
  <c r="X66" i="49"/>
  <c r="AD25" i="49"/>
  <c r="AL25" i="49" s="1"/>
  <c r="V26" i="49"/>
  <c r="AG26" i="49" s="1"/>
  <c r="T8" i="48"/>
  <c r="S11" i="48"/>
  <c r="V12" i="48"/>
  <c r="U15" i="48"/>
  <c r="S17" i="48"/>
  <c r="V18" i="48"/>
  <c r="W19" i="48"/>
  <c r="AG19" i="48" s="1"/>
  <c r="Y20" i="48"/>
  <c r="Z22" i="48"/>
  <c r="W27" i="48"/>
  <c r="V7" i="49"/>
  <c r="AG7" i="49" s="1"/>
  <c r="W13" i="49"/>
  <c r="V20" i="49"/>
  <c r="X22" i="49"/>
  <c r="V24" i="49"/>
  <c r="Y25" i="49"/>
  <c r="AJ25" i="49" s="1"/>
  <c r="Y26" i="49"/>
  <c r="AD26" i="49" s="1"/>
  <c r="AL26" i="49" s="1"/>
  <c r="X29" i="49"/>
  <c r="U32" i="49"/>
  <c r="W33" i="49"/>
  <c r="W24" i="50"/>
  <c r="U7" i="51"/>
  <c r="AF7" i="51" s="1"/>
  <c r="V16" i="51"/>
  <c r="V19" i="51"/>
  <c r="T21" i="51"/>
  <c r="U22" i="51"/>
  <c r="W24" i="51"/>
  <c r="AH24" i="51" s="1"/>
  <c r="X25" i="51"/>
  <c r="AI25" i="51" s="1"/>
  <c r="Y26" i="51"/>
  <c r="S32" i="51"/>
  <c r="AF32" i="51" s="1"/>
  <c r="T33" i="51"/>
  <c r="S16" i="53"/>
  <c r="U20" i="53"/>
  <c r="AK32" i="49"/>
  <c r="AH32" i="51"/>
  <c r="AH31" i="51"/>
  <c r="U8" i="48"/>
  <c r="T11" i="48"/>
  <c r="W12" i="48"/>
  <c r="S14" i="48"/>
  <c r="V15" i="48"/>
  <c r="U17" i="48"/>
  <c r="W18" i="48"/>
  <c r="AH18" i="48" s="1"/>
  <c r="X19" i="48"/>
  <c r="Z20" i="48"/>
  <c r="Z27" i="48"/>
  <c r="W32" i="48"/>
  <c r="W7" i="49"/>
  <c r="AH7" i="49" s="1"/>
  <c r="S9" i="50"/>
  <c r="AA9" i="50" s="1"/>
  <c r="S17" i="50"/>
  <c r="Y24" i="50"/>
  <c r="AG24" i="50" s="1"/>
  <c r="X14" i="51"/>
  <c r="Y16" i="51"/>
  <c r="Y19" i="51"/>
  <c r="U21" i="51"/>
  <c r="AJ21" i="51" s="1"/>
  <c r="V22" i="51"/>
  <c r="AG22" i="51" s="1"/>
  <c r="S31" i="51"/>
  <c r="AF31" i="51" s="1"/>
  <c r="T32" i="51"/>
  <c r="AE32" i="51" s="1"/>
  <c r="U33" i="51"/>
  <c r="AI7" i="49"/>
  <c r="AK24" i="50"/>
  <c r="AH22" i="51"/>
  <c r="AF30" i="51"/>
  <c r="T11" i="53"/>
  <c r="W16" i="53"/>
  <c r="Y17" i="53"/>
  <c r="S19" i="53"/>
  <c r="AD19" i="53" s="1"/>
  <c r="W20" i="53"/>
  <c r="V25" i="53"/>
  <c r="Z29" i="53"/>
  <c r="W18" i="54"/>
  <c r="U30" i="54"/>
  <c r="AF30" i="54" s="1"/>
  <c r="AI33" i="54"/>
  <c r="X14" i="53"/>
  <c r="V21" i="48"/>
  <c r="W8" i="48"/>
  <c r="S10" i="48"/>
  <c r="AG10" i="48" s="1"/>
  <c r="V11" i="48"/>
  <c r="AA11" i="48" s="1"/>
  <c r="U14" i="48"/>
  <c r="AD14" i="48" s="1"/>
  <c r="AL14" i="48" s="1"/>
  <c r="W17" i="48"/>
  <c r="Y18" i="48"/>
  <c r="Z19" i="48"/>
  <c r="Z25" i="48"/>
  <c r="W30" i="48"/>
  <c r="X16" i="49"/>
  <c r="E78" i="49"/>
  <c r="Z24" i="49"/>
  <c r="Y32" i="49"/>
  <c r="AH32" i="49" s="1"/>
  <c r="Z33" i="49"/>
  <c r="Z7" i="50"/>
  <c r="W9" i="50"/>
  <c r="AH9" i="50" s="1"/>
  <c r="Y14" i="50"/>
  <c r="T16" i="50"/>
  <c r="W17" i="50"/>
  <c r="AJ23" i="51"/>
  <c r="W33" i="51"/>
  <c r="S8" i="53"/>
  <c r="AK8" i="53" s="1"/>
  <c r="Z9" i="53"/>
  <c r="X11" i="53"/>
  <c r="X16" i="53"/>
  <c r="V19" i="53"/>
  <c r="AG19" i="53" s="1"/>
  <c r="X20" i="53"/>
  <c r="V27" i="53"/>
  <c r="T11" i="54"/>
  <c r="W30" i="54"/>
  <c r="AH30" i="54" s="1"/>
  <c r="E78" i="54"/>
  <c r="E77" i="53"/>
  <c r="AJ8" i="53"/>
  <c r="AD8" i="53"/>
  <c r="AL8" i="53" s="1"/>
  <c r="S10" i="53"/>
  <c r="AA10" i="53" s="1"/>
  <c r="T10" i="53"/>
  <c r="AE10" i="53" s="1"/>
  <c r="Y15" i="53"/>
  <c r="Y18" i="53"/>
  <c r="Y21" i="53"/>
  <c r="W24" i="53"/>
  <c r="S28" i="53"/>
  <c r="AA28" i="53" s="1"/>
  <c r="S32" i="53"/>
  <c r="AI32" i="53" s="1"/>
  <c r="W7" i="53"/>
  <c r="T9" i="53"/>
  <c r="V10" i="53"/>
  <c r="U32" i="53"/>
  <c r="U10" i="53"/>
  <c r="U9" i="53"/>
  <c r="W10" i="53"/>
  <c r="W13" i="53"/>
  <c r="AK22" i="53"/>
  <c r="V32" i="53"/>
  <c r="AA8" i="53"/>
  <c r="V9" i="53"/>
  <c r="Y10" i="53"/>
  <c r="S26" i="53"/>
  <c r="AJ26" i="53" s="1"/>
  <c r="T27" i="53"/>
  <c r="AE27" i="53" s="1"/>
  <c r="W32" i="53"/>
  <c r="S12" i="53"/>
  <c r="S15" i="53"/>
  <c r="T16" i="53"/>
  <c r="S17" i="53"/>
  <c r="S18" i="53"/>
  <c r="T19" i="53"/>
  <c r="S20" i="53"/>
  <c r="S21" i="53"/>
  <c r="T22" i="53"/>
  <c r="AE22" i="53" s="1"/>
  <c r="U26" i="53"/>
  <c r="AF26" i="53" s="1"/>
  <c r="X27" i="53"/>
  <c r="AI27" i="53" s="1"/>
  <c r="T29" i="53"/>
  <c r="Y32" i="53"/>
  <c r="AJ32" i="53" s="1"/>
  <c r="X33" i="53"/>
  <c r="T12" i="53"/>
  <c r="T15" i="53"/>
  <c r="U16" i="53"/>
  <c r="T17" i="53"/>
  <c r="T18" i="53"/>
  <c r="AA18" i="53" s="1"/>
  <c r="U19" i="53"/>
  <c r="T20" i="53"/>
  <c r="T21" i="53"/>
  <c r="U22" i="53"/>
  <c r="AF22" i="53" s="1"/>
  <c r="W26" i="53"/>
  <c r="Y27" i="53"/>
  <c r="V29" i="53"/>
  <c r="Y33" i="53"/>
  <c r="T25" i="53"/>
  <c r="Y26" i="53"/>
  <c r="AE8" i="53"/>
  <c r="AF8" i="53"/>
  <c r="W15" i="53"/>
  <c r="W18" i="53"/>
  <c r="W21" i="53"/>
  <c r="AG15" i="53"/>
  <c r="AJ22" i="53"/>
  <c r="E78" i="53"/>
  <c r="E79" i="53"/>
  <c r="C71" i="54"/>
  <c r="E21" i="54"/>
  <c r="E22" i="54" s="1"/>
  <c r="E23" i="54" s="1"/>
  <c r="C70" i="54"/>
  <c r="C69" i="54"/>
  <c r="AF19" i="54"/>
  <c r="AJ28" i="53"/>
  <c r="E7" i="53"/>
  <c r="E8" i="53" s="1"/>
  <c r="E9" i="53" s="1"/>
  <c r="E10" i="53" s="1"/>
  <c r="E11" i="53" s="1"/>
  <c r="E12" i="53" s="1"/>
  <c r="E13" i="53" s="1"/>
  <c r="E14" i="53" s="1"/>
  <c r="E15" i="53" s="1"/>
  <c r="E16" i="53" s="1"/>
  <c r="E17" i="53" s="1"/>
  <c r="E18" i="53" s="1"/>
  <c r="E19" i="53" s="1"/>
  <c r="E20" i="53" s="1"/>
  <c r="Z7" i="53"/>
  <c r="X9" i="53"/>
  <c r="V11" i="53"/>
  <c r="U13" i="53"/>
  <c r="V14" i="53"/>
  <c r="AK14" i="53" s="1"/>
  <c r="T23" i="53"/>
  <c r="Y25" i="53"/>
  <c r="AJ25" i="53" s="1"/>
  <c r="W25" i="53"/>
  <c r="AH25" i="53" s="1"/>
  <c r="T31" i="53"/>
  <c r="H83" i="53"/>
  <c r="W7" i="54"/>
  <c r="W9" i="54"/>
  <c r="W11" i="54"/>
  <c r="W13" i="54"/>
  <c r="W15" i="54"/>
  <c r="X17" i="54"/>
  <c r="S22" i="54"/>
  <c r="AJ22" i="54" s="1"/>
  <c r="S24" i="54"/>
  <c r="AJ24" i="54" s="1"/>
  <c r="S26" i="54"/>
  <c r="U28" i="54"/>
  <c r="AF33" i="54"/>
  <c r="Y9" i="53"/>
  <c r="X10" i="53"/>
  <c r="W11" i="53"/>
  <c r="V12" i="53"/>
  <c r="V13" i="53"/>
  <c r="W14" i="53"/>
  <c r="U23" i="53"/>
  <c r="U31" i="53"/>
  <c r="X18" i="54"/>
  <c r="V18" i="54"/>
  <c r="U22" i="54"/>
  <c r="AF22" i="54" s="1"/>
  <c r="U24" i="54"/>
  <c r="AF24" i="54" s="1"/>
  <c r="U26" i="54"/>
  <c r="W28" i="54"/>
  <c r="X29" i="54"/>
  <c r="V29" i="54"/>
  <c r="T29" i="54"/>
  <c r="Z29" i="54"/>
  <c r="AH33" i="54"/>
  <c r="AI22" i="53"/>
  <c r="V23" i="53"/>
  <c r="X30" i="53"/>
  <c r="T30" i="53"/>
  <c r="V31" i="53"/>
  <c r="Y8" i="54"/>
  <c r="U8" i="54"/>
  <c r="S8" i="54"/>
  <c r="Y10" i="54"/>
  <c r="U10" i="54"/>
  <c r="S10" i="54"/>
  <c r="Y12" i="54"/>
  <c r="U12" i="54"/>
  <c r="S12" i="54"/>
  <c r="Y14" i="54"/>
  <c r="AJ14" i="54" s="1"/>
  <c r="U14" i="54"/>
  <c r="S14" i="54"/>
  <c r="Z16" i="54"/>
  <c r="V16" i="54"/>
  <c r="T16" i="54"/>
  <c r="T20" i="54"/>
  <c r="Z20" i="54"/>
  <c r="X20" i="54"/>
  <c r="W22" i="54"/>
  <c r="AH22" i="54" s="1"/>
  <c r="W24" i="54"/>
  <c r="AH24" i="54" s="1"/>
  <c r="W26" i="54"/>
  <c r="B83" i="53"/>
  <c r="H81" i="53"/>
  <c r="B81" i="53"/>
  <c r="Y11" i="53"/>
  <c r="X12" i="53"/>
  <c r="X13" i="53"/>
  <c r="W23" i="53"/>
  <c r="S25" i="53"/>
  <c r="U28" i="53"/>
  <c r="AF28" i="53" s="1"/>
  <c r="X31" i="53"/>
  <c r="S18" i="54"/>
  <c r="S20" i="54"/>
  <c r="X22" i="54"/>
  <c r="AI22" i="54" s="1"/>
  <c r="X24" i="54"/>
  <c r="AI24" i="54" s="1"/>
  <c r="X26" i="54"/>
  <c r="S29" i="54"/>
  <c r="AJ29" i="54" s="1"/>
  <c r="Z11" i="53"/>
  <c r="Y13" i="53"/>
  <c r="X23" i="53"/>
  <c r="Z24" i="53"/>
  <c r="X24" i="53"/>
  <c r="W27" i="53"/>
  <c r="U27" i="53"/>
  <c r="W28" i="53"/>
  <c r="S30" i="53"/>
  <c r="Y31" i="53"/>
  <c r="T8" i="54"/>
  <c r="T10" i="54"/>
  <c r="T12" i="54"/>
  <c r="T14" i="54"/>
  <c r="S16" i="54"/>
  <c r="U20" i="54"/>
  <c r="V23" i="54"/>
  <c r="T23" i="54"/>
  <c r="AE23" i="54" s="1"/>
  <c r="Z23" i="54"/>
  <c r="V25" i="54"/>
  <c r="T25" i="54"/>
  <c r="Z25" i="54"/>
  <c r="V27" i="54"/>
  <c r="AG27" i="54" s="1"/>
  <c r="T27" i="54"/>
  <c r="Z27" i="54"/>
  <c r="S7" i="53"/>
  <c r="AH7" i="53" s="1"/>
  <c r="Z13" i="53"/>
  <c r="AG22" i="53"/>
  <c r="U25" i="53"/>
  <c r="X28" i="53"/>
  <c r="AI28" i="53" s="1"/>
  <c r="U30" i="53"/>
  <c r="S33" i="53"/>
  <c r="AI33" i="53" s="1"/>
  <c r="E77" i="54"/>
  <c r="V8" i="54"/>
  <c r="V10" i="54"/>
  <c r="V12" i="54"/>
  <c r="V14" i="54"/>
  <c r="U16" i="54"/>
  <c r="U18" i="54"/>
  <c r="V20" i="54"/>
  <c r="U21" i="54"/>
  <c r="S21" i="54"/>
  <c r="Y21" i="54"/>
  <c r="W29" i="54"/>
  <c r="AI30" i="54"/>
  <c r="T7" i="53"/>
  <c r="S24" i="53"/>
  <c r="AD26" i="53"/>
  <c r="AL26" i="53" s="1"/>
  <c r="V30" i="53"/>
  <c r="T33" i="53"/>
  <c r="W8" i="54"/>
  <c r="AH8" i="54" s="1"/>
  <c r="W10" i="54"/>
  <c r="W12" i="54"/>
  <c r="W14" i="54"/>
  <c r="W16" i="54"/>
  <c r="W20" i="54"/>
  <c r="S23" i="54"/>
  <c r="AH23" i="54" s="1"/>
  <c r="S25" i="54"/>
  <c r="S27" i="54"/>
  <c r="AH27" i="54" s="1"/>
  <c r="U7" i="53"/>
  <c r="S9" i="53"/>
  <c r="AF9" i="53" s="1"/>
  <c r="T24" i="53"/>
  <c r="X25" i="53"/>
  <c r="S27" i="53"/>
  <c r="AK27" i="53" s="1"/>
  <c r="Y29" i="53"/>
  <c r="U29" i="53"/>
  <c r="S29" i="53"/>
  <c r="W30" i="53"/>
  <c r="V33" i="53"/>
  <c r="E81" i="53"/>
  <c r="X8" i="54"/>
  <c r="X10" i="54"/>
  <c r="X12" i="54"/>
  <c r="X14" i="54"/>
  <c r="X16" i="54"/>
  <c r="W17" i="54"/>
  <c r="U17" i="54"/>
  <c r="Y20" i="54"/>
  <c r="U23" i="54"/>
  <c r="AF23" i="54" s="1"/>
  <c r="U25" i="54"/>
  <c r="U27" i="54"/>
  <c r="AD30" i="54"/>
  <c r="AL30" i="54" s="1"/>
  <c r="AI31" i="54"/>
  <c r="V7" i="53"/>
  <c r="Y30" i="53"/>
  <c r="W33" i="53"/>
  <c r="B82" i="53"/>
  <c r="H83" i="54"/>
  <c r="E83" i="54"/>
  <c r="B83" i="54"/>
  <c r="H82" i="54"/>
  <c r="Y7" i="54"/>
  <c r="E82" i="54"/>
  <c r="B82" i="54"/>
  <c r="H81" i="54"/>
  <c r="E81" i="54"/>
  <c r="U7" i="54"/>
  <c r="B81" i="54"/>
  <c r="S7" i="54"/>
  <c r="Z8" i="54"/>
  <c r="AK8" i="54" s="1"/>
  <c r="Y9" i="54"/>
  <c r="U9" i="54"/>
  <c r="S9" i="54"/>
  <c r="AI9" i="54" s="1"/>
  <c r="Z10" i="54"/>
  <c r="Y11" i="54"/>
  <c r="U11" i="54"/>
  <c r="AF11" i="54" s="1"/>
  <c r="S11" i="54"/>
  <c r="AI11" i="54" s="1"/>
  <c r="Z12" i="54"/>
  <c r="Y13" i="54"/>
  <c r="U13" i="54"/>
  <c r="S13" i="54"/>
  <c r="AK13" i="54" s="1"/>
  <c r="Z14" i="54"/>
  <c r="Y15" i="54"/>
  <c r="U15" i="54"/>
  <c r="S15" i="54"/>
  <c r="Y16" i="54"/>
  <c r="AJ16" i="54" s="1"/>
  <c r="S23" i="53"/>
  <c r="Y23" i="53"/>
  <c r="W31" i="53"/>
  <c r="S31" i="53"/>
  <c r="E82" i="53"/>
  <c r="AI23" i="54"/>
  <c r="X28" i="54"/>
  <c r="AI28" i="54" s="1"/>
  <c r="V28" i="54"/>
  <c r="AG28" i="54" s="1"/>
  <c r="T28" i="54"/>
  <c r="AE28" i="54" s="1"/>
  <c r="Z28" i="54"/>
  <c r="X7" i="53"/>
  <c r="S13" i="53"/>
  <c r="AD22" i="53"/>
  <c r="AL22" i="53" s="1"/>
  <c r="H82" i="53"/>
  <c r="V22" i="54"/>
  <c r="AG22" i="54" s="1"/>
  <c r="T22" i="54"/>
  <c r="AE22" i="54" s="1"/>
  <c r="Z22" i="54"/>
  <c r="AK22" i="54" s="1"/>
  <c r="V24" i="54"/>
  <c r="AG24" i="54" s="1"/>
  <c r="T24" i="54"/>
  <c r="AE24" i="54" s="1"/>
  <c r="Z24" i="54"/>
  <c r="AK24" i="54" s="1"/>
  <c r="V26" i="54"/>
  <c r="T26" i="54"/>
  <c r="Z26" i="54"/>
  <c r="Z28" i="53"/>
  <c r="AK28" i="53" s="1"/>
  <c r="V28" i="53"/>
  <c r="AG28" i="53" s="1"/>
  <c r="T28" i="53"/>
  <c r="AE28" i="53" s="1"/>
  <c r="Z33" i="53"/>
  <c r="E83" i="53"/>
  <c r="V7" i="54"/>
  <c r="V9" i="54"/>
  <c r="V11" i="54"/>
  <c r="AG11" i="54" s="1"/>
  <c r="V13" i="54"/>
  <c r="V15" i="54"/>
  <c r="V17" i="54"/>
  <c r="Z21" i="54"/>
  <c r="S28" i="54"/>
  <c r="AJ28" i="54" s="1"/>
  <c r="AA30" i="54"/>
  <c r="AH31" i="54"/>
  <c r="AF32" i="54"/>
  <c r="AD33" i="54"/>
  <c r="AL33" i="54" s="1"/>
  <c r="V26" i="53"/>
  <c r="W19" i="54"/>
  <c r="AH19" i="54" s="1"/>
  <c r="Z30" i="54"/>
  <c r="AK30" i="54" s="1"/>
  <c r="Z31" i="54"/>
  <c r="AK31" i="54" s="1"/>
  <c r="Z32" i="54"/>
  <c r="AK32" i="54" s="1"/>
  <c r="Z33" i="54"/>
  <c r="AK33" i="54" s="1"/>
  <c r="T30" i="54"/>
  <c r="AE30" i="54" s="1"/>
  <c r="T31" i="54"/>
  <c r="AE31" i="54" s="1"/>
  <c r="T32" i="54"/>
  <c r="AE32" i="54" s="1"/>
  <c r="T33" i="54"/>
  <c r="AE33" i="54" s="1"/>
  <c r="V30" i="54"/>
  <c r="AG30" i="54" s="1"/>
  <c r="V31" i="54"/>
  <c r="AG31" i="54" s="1"/>
  <c r="V32" i="54"/>
  <c r="AG32" i="54" s="1"/>
  <c r="V33" i="54"/>
  <c r="AG33" i="54" s="1"/>
  <c r="E78" i="51"/>
  <c r="E77" i="51"/>
  <c r="E79" i="51"/>
  <c r="Q15" i="50"/>
  <c r="Q29" i="50"/>
  <c r="Q7" i="50"/>
  <c r="Q30" i="50"/>
  <c r="Q11" i="50"/>
  <c r="Q16" i="50"/>
  <c r="Q17" i="50"/>
  <c r="Q26" i="50"/>
  <c r="Q28" i="50"/>
  <c r="E79" i="50"/>
  <c r="Q33" i="50"/>
  <c r="Q12" i="50"/>
  <c r="T7" i="50"/>
  <c r="AE7" i="50" s="1"/>
  <c r="Z8" i="50"/>
  <c r="V13" i="50"/>
  <c r="V14" i="50"/>
  <c r="U15" i="50"/>
  <c r="X24" i="50"/>
  <c r="AI24" i="50" s="1"/>
  <c r="X25" i="50"/>
  <c r="AI25" i="50" s="1"/>
  <c r="S27" i="50"/>
  <c r="AA27" i="50" s="1"/>
  <c r="W32" i="50"/>
  <c r="W18" i="50"/>
  <c r="S7" i="50"/>
  <c r="AD7" i="50" s="1"/>
  <c r="AL7" i="50" s="1"/>
  <c r="Y8" i="50"/>
  <c r="AD8" i="50" s="1"/>
  <c r="AL8" i="50" s="1"/>
  <c r="U13" i="50"/>
  <c r="U14" i="50"/>
  <c r="T15" i="50"/>
  <c r="Z18" i="50"/>
  <c r="W21" i="50"/>
  <c r="AH24" i="50"/>
  <c r="T25" i="50"/>
  <c r="AE25" i="50" s="1"/>
  <c r="V32" i="50"/>
  <c r="AG32" i="50" s="1"/>
  <c r="U11" i="50"/>
  <c r="W13" i="50"/>
  <c r="W14" i="50"/>
  <c r="V15" i="50"/>
  <c r="AK16" i="50"/>
  <c r="AJ24" i="50"/>
  <c r="Y25" i="50"/>
  <c r="X32" i="50"/>
  <c r="AG9" i="50"/>
  <c r="Z14" i="50"/>
  <c r="Y15" i="50"/>
  <c r="U17" i="50"/>
  <c r="AF17" i="50" s="1"/>
  <c r="S18" i="50"/>
  <c r="AD18" i="50" s="1"/>
  <c r="T19" i="50"/>
  <c r="X20" i="50"/>
  <c r="T22" i="50"/>
  <c r="T23" i="50"/>
  <c r="X31" i="50"/>
  <c r="Z13" i="50"/>
  <c r="S19" i="50"/>
  <c r="S22" i="50"/>
  <c r="AI22" i="50" s="1"/>
  <c r="S23" i="50"/>
  <c r="AA23" i="50" s="1"/>
  <c r="Z32" i="50"/>
  <c r="Z15" i="50"/>
  <c r="AK15" i="50" s="1"/>
  <c r="AH16" i="50"/>
  <c r="T18" i="50"/>
  <c r="U19" i="50"/>
  <c r="U22" i="50"/>
  <c r="U23" i="50"/>
  <c r="U18" i="50"/>
  <c r="AF18" i="50" s="1"/>
  <c r="V19" i="50"/>
  <c r="V22" i="50"/>
  <c r="V23" i="50"/>
  <c r="V18" i="50"/>
  <c r="W19" i="50"/>
  <c r="W22" i="50"/>
  <c r="W23" i="50"/>
  <c r="X19" i="50"/>
  <c r="X22" i="50"/>
  <c r="X23" i="50"/>
  <c r="T8" i="50"/>
  <c r="AI9" i="50"/>
  <c r="S13" i="50"/>
  <c r="AI13" i="50" s="1"/>
  <c r="S14" i="50"/>
  <c r="AF14" i="50" s="1"/>
  <c r="X18" i="50"/>
  <c r="Y19" i="50"/>
  <c r="U21" i="50"/>
  <c r="AD21" i="50" s="1"/>
  <c r="Y22" i="50"/>
  <c r="AF22" i="50" s="1"/>
  <c r="Y23" i="50"/>
  <c r="X30" i="50"/>
  <c r="X8" i="50"/>
  <c r="Y9" i="50"/>
  <c r="AJ9" i="50" s="1"/>
  <c r="T13" i="50"/>
  <c r="V21" i="50"/>
  <c r="S25" i="50"/>
  <c r="AA25" i="50" s="1"/>
  <c r="U32" i="50"/>
  <c r="Q18" i="50"/>
  <c r="Q9" i="50"/>
  <c r="E78" i="50"/>
  <c r="Q24" i="50"/>
  <c r="C70" i="50"/>
  <c r="C71" i="50"/>
  <c r="C69" i="50"/>
  <c r="E21" i="50"/>
  <c r="E22" i="50" s="1"/>
  <c r="E23" i="50" s="1"/>
  <c r="W12" i="50"/>
  <c r="S12" i="50"/>
  <c r="Y12" i="50"/>
  <c r="X12" i="50"/>
  <c r="AE9" i="50"/>
  <c r="V11" i="50"/>
  <c r="AH13" i="50"/>
  <c r="AK17" i="50"/>
  <c r="T26" i="50"/>
  <c r="T12" i="50"/>
  <c r="AJ16" i="50"/>
  <c r="Z20" i="50"/>
  <c r="V20" i="50"/>
  <c r="U20" i="50"/>
  <c r="AH20" i="50" s="1"/>
  <c r="T20" i="50"/>
  <c r="S20" i="50"/>
  <c r="AD25" i="50"/>
  <c r="AL25" i="50" s="1"/>
  <c r="S33" i="50"/>
  <c r="AJ33" i="50" s="1"/>
  <c r="Z33" i="50"/>
  <c r="X33" i="50"/>
  <c r="W33" i="50"/>
  <c r="V33" i="50"/>
  <c r="U33" i="50"/>
  <c r="T33" i="50"/>
  <c r="Y28" i="50"/>
  <c r="AA8" i="50"/>
  <c r="U12" i="50"/>
  <c r="AK7" i="50"/>
  <c r="AK9" i="50"/>
  <c r="V12" i="50"/>
  <c r="AD16" i="50"/>
  <c r="Z12" i="50"/>
  <c r="AE16" i="50"/>
  <c r="Y20" i="50"/>
  <c r="AF16" i="50"/>
  <c r="AF7" i="50"/>
  <c r="E77" i="50"/>
  <c r="Y10" i="50"/>
  <c r="U10" i="50"/>
  <c r="T10" i="50"/>
  <c r="S10" i="50"/>
  <c r="Z10" i="50"/>
  <c r="AG16" i="50"/>
  <c r="AA16" i="50"/>
  <c r="AK13" i="50"/>
  <c r="AH22" i="50"/>
  <c r="H83" i="50"/>
  <c r="X11" i="50"/>
  <c r="T11" i="50"/>
  <c r="S11" i="50"/>
  <c r="Z11" i="50"/>
  <c r="Y11" i="50"/>
  <c r="AA13" i="50"/>
  <c r="W29" i="50"/>
  <c r="V29" i="50"/>
  <c r="S29" i="50"/>
  <c r="AI29" i="50" s="1"/>
  <c r="Z29" i="50"/>
  <c r="U29" i="50"/>
  <c r="T29" i="50"/>
  <c r="Z26" i="50"/>
  <c r="Y26" i="50"/>
  <c r="X26" i="50"/>
  <c r="W26" i="50"/>
  <c r="V26" i="50"/>
  <c r="S26" i="50"/>
  <c r="X28" i="50"/>
  <c r="W28" i="50"/>
  <c r="T28" i="50"/>
  <c r="V28" i="50"/>
  <c r="U28" i="50"/>
  <c r="S28" i="50"/>
  <c r="E83" i="50"/>
  <c r="Q23" i="50"/>
  <c r="Q22" i="50"/>
  <c r="Q21" i="50"/>
  <c r="Q20" i="50"/>
  <c r="Q19" i="50"/>
  <c r="Q31" i="50"/>
  <c r="Q8" i="50"/>
  <c r="T21" i="50"/>
  <c r="AD24" i="50"/>
  <c r="AL24" i="50" s="1"/>
  <c r="Q25" i="50"/>
  <c r="S31" i="50"/>
  <c r="AG28" i="51"/>
  <c r="AG29" i="51"/>
  <c r="AG30" i="51"/>
  <c r="AG32" i="51"/>
  <c r="AG33" i="51"/>
  <c r="V30" i="50"/>
  <c r="U30" i="50"/>
  <c r="Z9" i="51"/>
  <c r="Y9" i="51"/>
  <c r="W9" i="51"/>
  <c r="V9" i="51"/>
  <c r="U9" i="51"/>
  <c r="AF9" i="51" s="1"/>
  <c r="T9" i="51"/>
  <c r="AE9" i="51" s="1"/>
  <c r="S9" i="51"/>
  <c r="AK24" i="51"/>
  <c r="AJ24" i="51"/>
  <c r="AK25" i="51"/>
  <c r="AJ25" i="51"/>
  <c r="AK26" i="51"/>
  <c r="AJ26" i="51"/>
  <c r="AK27" i="51"/>
  <c r="AJ27" i="51"/>
  <c r="AK28" i="51"/>
  <c r="AJ28" i="51"/>
  <c r="AJ29" i="51"/>
  <c r="AK30" i="51"/>
  <c r="AJ30" i="51"/>
  <c r="AJ32" i="51"/>
  <c r="X21" i="50"/>
  <c r="Y31" i="50"/>
  <c r="AJ31" i="50" s="1"/>
  <c r="V7" i="50"/>
  <c r="U8" i="50"/>
  <c r="U25" i="50"/>
  <c r="E81" i="50"/>
  <c r="W7" i="50"/>
  <c r="AH7" i="50" s="1"/>
  <c r="V8" i="50"/>
  <c r="AG8" i="50" s="1"/>
  <c r="U9" i="50"/>
  <c r="AF9" i="50" s="1"/>
  <c r="Q13" i="50"/>
  <c r="Y21" i="50"/>
  <c r="V25" i="50"/>
  <c r="S30" i="50"/>
  <c r="H81" i="50"/>
  <c r="H83" i="51"/>
  <c r="E83" i="51"/>
  <c r="B83" i="51"/>
  <c r="Z7" i="51"/>
  <c r="AK7" i="51" s="1"/>
  <c r="H82" i="51"/>
  <c r="E82" i="51"/>
  <c r="B82" i="51"/>
  <c r="W7" i="51"/>
  <c r="H81" i="51"/>
  <c r="V7" i="51"/>
  <c r="E81" i="51"/>
  <c r="B81" i="51"/>
  <c r="T7" i="51"/>
  <c r="AE7" i="51" s="1"/>
  <c r="S7" i="51"/>
  <c r="Z8" i="51"/>
  <c r="W8" i="51"/>
  <c r="AH8" i="51" s="1"/>
  <c r="V8" i="51"/>
  <c r="U8" i="51"/>
  <c r="AF8" i="51" s="1"/>
  <c r="T8" i="51"/>
  <c r="S8" i="51"/>
  <c r="AI8" i="51" s="1"/>
  <c r="X9" i="51"/>
  <c r="X7" i="50"/>
  <c r="Q14" i="50"/>
  <c r="W25" i="50"/>
  <c r="Y27" i="50"/>
  <c r="X27" i="50"/>
  <c r="U27" i="50"/>
  <c r="AF27" i="50" s="1"/>
  <c r="T30" i="50"/>
  <c r="Q32" i="50"/>
  <c r="H82" i="50"/>
  <c r="B83" i="50"/>
  <c r="AI7" i="51"/>
  <c r="AJ8" i="51"/>
  <c r="AJ7" i="51"/>
  <c r="E82" i="50"/>
  <c r="B82" i="50"/>
  <c r="B81" i="50"/>
  <c r="Z30" i="50"/>
  <c r="U31" i="50"/>
  <c r="T31" i="50"/>
  <c r="AE31" i="50" s="1"/>
  <c r="AE18" i="51"/>
  <c r="AE22" i="51"/>
  <c r="AE23" i="51"/>
  <c r="AE24" i="51"/>
  <c r="AE25" i="51"/>
  <c r="AE26" i="51"/>
  <c r="AE27" i="51"/>
  <c r="AE28" i="51"/>
  <c r="AE29" i="51"/>
  <c r="AE30" i="51"/>
  <c r="AE33" i="51"/>
  <c r="S10" i="51"/>
  <c r="AI10" i="51" s="1"/>
  <c r="S11" i="51"/>
  <c r="S12" i="51"/>
  <c r="AI12" i="51" s="1"/>
  <c r="S13" i="51"/>
  <c r="AK13" i="51" s="1"/>
  <c r="S14" i="51"/>
  <c r="S15" i="51"/>
  <c r="T16" i="51"/>
  <c r="U17" i="51"/>
  <c r="V18" i="51"/>
  <c r="W19" i="51"/>
  <c r="X20" i="51"/>
  <c r="T10" i="51"/>
  <c r="AE10" i="51" s="1"/>
  <c r="T11" i="51"/>
  <c r="T12" i="51"/>
  <c r="T13" i="51"/>
  <c r="T14" i="51"/>
  <c r="T15" i="51"/>
  <c r="U16" i="51"/>
  <c r="X19" i="51"/>
  <c r="Y20" i="51"/>
  <c r="AA22" i="51"/>
  <c r="AA23" i="51"/>
  <c r="AA24" i="51"/>
  <c r="AA25" i="51"/>
  <c r="AA26" i="51"/>
  <c r="AA27" i="51"/>
  <c r="AA28" i="51"/>
  <c r="AA29" i="51"/>
  <c r="AA30" i="51"/>
  <c r="AA32" i="51"/>
  <c r="AA33" i="51"/>
  <c r="U10" i="51"/>
  <c r="U11" i="51"/>
  <c r="U12" i="51"/>
  <c r="U13" i="51"/>
  <c r="U14" i="51"/>
  <c r="U15" i="51"/>
  <c r="Z20" i="51"/>
  <c r="S32" i="50"/>
  <c r="AI32" i="50" s="1"/>
  <c r="V10" i="51"/>
  <c r="V11" i="51"/>
  <c r="V12" i="51"/>
  <c r="V13" i="51"/>
  <c r="V14" i="51"/>
  <c r="V15" i="51"/>
  <c r="W16" i="51"/>
  <c r="X17" i="51"/>
  <c r="Y18" i="51"/>
  <c r="AJ18" i="51" s="1"/>
  <c r="Z19" i="51"/>
  <c r="AD22" i="51"/>
  <c r="AL22" i="51" s="1"/>
  <c r="AD23" i="51"/>
  <c r="AL23" i="51" s="1"/>
  <c r="AD24" i="51"/>
  <c r="AL24" i="51" s="1"/>
  <c r="AD25" i="51"/>
  <c r="AL25" i="51" s="1"/>
  <c r="AD26" i="51"/>
  <c r="AL26" i="51" s="1"/>
  <c r="AD27" i="51"/>
  <c r="AL27" i="51" s="1"/>
  <c r="AD28" i="51"/>
  <c r="AL28" i="51" s="1"/>
  <c r="AD29" i="51"/>
  <c r="AL29" i="51" s="1"/>
  <c r="AD30" i="51"/>
  <c r="AL30" i="51" s="1"/>
  <c r="AD32" i="51"/>
  <c r="AL32" i="51" s="1"/>
  <c r="AD33" i="51"/>
  <c r="AL33" i="51" s="1"/>
  <c r="W10" i="51"/>
  <c r="W11" i="51"/>
  <c r="W12" i="51"/>
  <c r="W13" i="51"/>
  <c r="W14" i="51"/>
  <c r="W15" i="51"/>
  <c r="X16" i="51"/>
  <c r="AF22" i="51"/>
  <c r="AF23" i="51"/>
  <c r="AF24" i="51"/>
  <c r="AF25" i="51"/>
  <c r="AF26" i="51"/>
  <c r="AF27" i="51"/>
  <c r="Y10" i="51"/>
  <c r="Y11" i="51"/>
  <c r="Y12" i="51"/>
  <c r="Y13" i="51"/>
  <c r="Y14" i="51"/>
  <c r="Y15" i="51"/>
  <c r="AG23" i="51"/>
  <c r="S20" i="51"/>
  <c r="AG21" i="51"/>
  <c r="E7" i="51"/>
  <c r="E8" i="51" s="1"/>
  <c r="E9" i="51" s="1"/>
  <c r="E10" i="51" s="1"/>
  <c r="E11" i="51" s="1"/>
  <c r="E12" i="51" s="1"/>
  <c r="E13" i="51" s="1"/>
  <c r="E14" i="51" s="1"/>
  <c r="E15" i="51" s="1"/>
  <c r="E16" i="51" s="1"/>
  <c r="E17" i="51" s="1"/>
  <c r="E18" i="51" s="1"/>
  <c r="E19" i="51" s="1"/>
  <c r="E20" i="51" s="1"/>
  <c r="T20" i="51"/>
  <c r="U20" i="51"/>
  <c r="V10" i="49"/>
  <c r="S13" i="49"/>
  <c r="W14" i="49"/>
  <c r="X14" i="49"/>
  <c r="Y14" i="49"/>
  <c r="Z14" i="49"/>
  <c r="Y13" i="49"/>
  <c r="X10" i="49"/>
  <c r="Z10" i="49"/>
  <c r="B83" i="49"/>
  <c r="Z13" i="49"/>
  <c r="V15" i="49"/>
  <c r="V17" i="49"/>
  <c r="V19" i="49"/>
  <c r="V21" i="49"/>
  <c r="W23" i="49"/>
  <c r="H83" i="49"/>
  <c r="T14" i="49"/>
  <c r="U10" i="49"/>
  <c r="V14" i="49"/>
  <c r="AG24" i="49"/>
  <c r="AH24" i="49"/>
  <c r="AK24" i="49"/>
  <c r="AF24" i="49"/>
  <c r="AE24" i="49"/>
  <c r="AJ33" i="49"/>
  <c r="AI24" i="49"/>
  <c r="AJ24" i="49"/>
  <c r="U8" i="49"/>
  <c r="T9" i="49"/>
  <c r="S10" i="49"/>
  <c r="Z15" i="49"/>
  <c r="Z16" i="49"/>
  <c r="Z17" i="49"/>
  <c r="Z18" i="49"/>
  <c r="Z19" i="49"/>
  <c r="Z20" i="49"/>
  <c r="Z21" i="49"/>
  <c r="Z22" i="49"/>
  <c r="Y23" i="49"/>
  <c r="W25" i="49"/>
  <c r="AH25" i="49" s="1"/>
  <c r="U27" i="49"/>
  <c r="AF27" i="49" s="1"/>
  <c r="T28" i="49"/>
  <c r="S29" i="49"/>
  <c r="AG29" i="49" s="1"/>
  <c r="B81" i="49"/>
  <c r="V8" i="49"/>
  <c r="U9" i="49"/>
  <c r="T10" i="49"/>
  <c r="AE10" i="49" s="1"/>
  <c r="S11" i="49"/>
  <c r="Z23" i="49"/>
  <c r="X25" i="49"/>
  <c r="AI25" i="49" s="1"/>
  <c r="AJ26" i="49"/>
  <c r="V27" i="49"/>
  <c r="U28" i="49"/>
  <c r="T29" i="49"/>
  <c r="AE29" i="49" s="1"/>
  <c r="S30" i="49"/>
  <c r="AD32" i="49"/>
  <c r="AL32" i="49" s="1"/>
  <c r="E81" i="49"/>
  <c r="W8" i="49"/>
  <c r="V9" i="49"/>
  <c r="T11" i="49"/>
  <c r="S12" i="49"/>
  <c r="AK26" i="49"/>
  <c r="W27" i="49"/>
  <c r="V28" i="49"/>
  <c r="T30" i="49"/>
  <c r="S31" i="49"/>
  <c r="H81" i="49"/>
  <c r="W28" i="49"/>
  <c r="T31" i="49"/>
  <c r="AF32" i="49"/>
  <c r="B82" i="49"/>
  <c r="T12" i="49"/>
  <c r="U30" i="49"/>
  <c r="E7" i="49"/>
  <c r="E8" i="49" s="1"/>
  <c r="E9" i="49" s="1"/>
  <c r="E10" i="49" s="1"/>
  <c r="E11" i="49" s="1"/>
  <c r="E12" i="49" s="1"/>
  <c r="E13" i="49" s="1"/>
  <c r="E14" i="49" s="1"/>
  <c r="E15" i="49" s="1"/>
  <c r="E16" i="49" s="1"/>
  <c r="E17" i="49" s="1"/>
  <c r="E18" i="49" s="1"/>
  <c r="E19" i="49" s="1"/>
  <c r="E20" i="49" s="1"/>
  <c r="Y8" i="49"/>
  <c r="AJ8" i="49" s="1"/>
  <c r="X9" i="49"/>
  <c r="AI9" i="49" s="1"/>
  <c r="W10" i="49"/>
  <c r="V11" i="49"/>
  <c r="U12" i="49"/>
  <c r="T13" i="49"/>
  <c r="S14" i="49"/>
  <c r="AJ14" i="49" s="1"/>
  <c r="AA25" i="49"/>
  <c r="Y27" i="49"/>
  <c r="AJ27" i="49" s="1"/>
  <c r="X28" i="49"/>
  <c r="W29" i="49"/>
  <c r="V30" i="49"/>
  <c r="U31" i="49"/>
  <c r="AF31" i="49" s="1"/>
  <c r="T32" i="49"/>
  <c r="AE32" i="49" s="1"/>
  <c r="S33" i="49"/>
  <c r="E82" i="49"/>
  <c r="X8" i="49"/>
  <c r="W9" i="49"/>
  <c r="U11" i="49"/>
  <c r="Z8" i="49"/>
  <c r="Y9" i="49"/>
  <c r="AJ9" i="49" s="1"/>
  <c r="W11" i="49"/>
  <c r="V12" i="49"/>
  <c r="S15" i="49"/>
  <c r="S16" i="49"/>
  <c r="S17" i="49"/>
  <c r="S18" i="49"/>
  <c r="S19" i="49"/>
  <c r="S20" i="49"/>
  <c r="S21" i="49"/>
  <c r="S22" i="49"/>
  <c r="AD24" i="49"/>
  <c r="AL24" i="49" s="1"/>
  <c r="Y28" i="49"/>
  <c r="AJ28" i="49" s="1"/>
  <c r="W30" i="49"/>
  <c r="V31" i="49"/>
  <c r="H82" i="49"/>
  <c r="AA8" i="49"/>
  <c r="X11" i="49"/>
  <c r="W12" i="49"/>
  <c r="T15" i="49"/>
  <c r="T16" i="49"/>
  <c r="T17" i="49"/>
  <c r="T18" i="49"/>
  <c r="T19" i="49"/>
  <c r="T20" i="49"/>
  <c r="T21" i="49"/>
  <c r="T22" i="49"/>
  <c r="S23" i="49"/>
  <c r="AG23" i="49" s="1"/>
  <c r="AA27" i="49"/>
  <c r="X30" i="49"/>
  <c r="W31" i="49"/>
  <c r="AH31" i="49" s="1"/>
  <c r="AA9" i="49"/>
  <c r="Y11" i="49"/>
  <c r="X12" i="49"/>
  <c r="U15" i="49"/>
  <c r="U66" i="49" s="1"/>
  <c r="U16" i="49"/>
  <c r="U17" i="49"/>
  <c r="U18" i="49"/>
  <c r="U19" i="49"/>
  <c r="U20" i="49"/>
  <c r="U21" i="49"/>
  <c r="U22" i="49"/>
  <c r="T23" i="49"/>
  <c r="AE23" i="49" s="1"/>
  <c r="AA28" i="49"/>
  <c r="Y30" i="49"/>
  <c r="X31" i="49"/>
  <c r="AI31" i="49" s="1"/>
  <c r="E83" i="49"/>
  <c r="U23" i="49"/>
  <c r="Y31" i="49"/>
  <c r="Y12" i="49"/>
  <c r="E78" i="48"/>
  <c r="E7" i="48"/>
  <c r="E8" i="48" s="1"/>
  <c r="E9" i="48" s="1"/>
  <c r="E10" i="48" s="1"/>
  <c r="E11" i="48" s="1"/>
  <c r="E12" i="48" s="1"/>
  <c r="E13" i="48" s="1"/>
  <c r="E14" i="48" s="1"/>
  <c r="E15" i="48" s="1"/>
  <c r="E16" i="48" s="1"/>
  <c r="E17" i="48" s="1"/>
  <c r="E18" i="48" s="1"/>
  <c r="E19" i="48" s="1"/>
  <c r="E20" i="48" s="1"/>
  <c r="C69" i="48" s="1"/>
  <c r="E79" i="48"/>
  <c r="AI23" i="48"/>
  <c r="AK27" i="48"/>
  <c r="E83" i="48"/>
  <c r="Z16" i="48"/>
  <c r="X16" i="48"/>
  <c r="Y16" i="48"/>
  <c r="W16" i="48"/>
  <c r="V16" i="48"/>
  <c r="U16" i="48"/>
  <c r="T16" i="48"/>
  <c r="S16" i="48"/>
  <c r="H83" i="48"/>
  <c r="C71" i="48"/>
  <c r="AI28" i="48"/>
  <c r="AD18" i="48"/>
  <c r="AA18" i="48"/>
  <c r="AK18" i="48"/>
  <c r="AJ18" i="48"/>
  <c r="AE19" i="48"/>
  <c r="AA19" i="48"/>
  <c r="AK19" i="48"/>
  <c r="AE18" i="48"/>
  <c r="AF19" i="48"/>
  <c r="AH26" i="48"/>
  <c r="AG18" i="48"/>
  <c r="AH19" i="48"/>
  <c r="AI24" i="48"/>
  <c r="AK9" i="48"/>
  <c r="W21" i="48"/>
  <c r="X22" i="48"/>
  <c r="X26" i="48"/>
  <c r="AI26" i="48" s="1"/>
  <c r="X27" i="48"/>
  <c r="T17" i="48"/>
  <c r="AK17" i="48" s="1"/>
  <c r="W20" i="48"/>
  <c r="AH20" i="48" s="1"/>
  <c r="X21" i="48"/>
  <c r="Y22" i="48"/>
  <c r="Y23" i="48"/>
  <c r="Y24" i="48"/>
  <c r="Y25" i="48"/>
  <c r="Y26" i="48"/>
  <c r="Y27" i="48"/>
  <c r="Y28" i="48"/>
  <c r="Y29" i="48"/>
  <c r="Y30" i="48"/>
  <c r="Y31" i="48"/>
  <c r="Y32" i="48"/>
  <c r="AJ32" i="48" s="1"/>
  <c r="Y33" i="48"/>
  <c r="Z31" i="48"/>
  <c r="Z32" i="48"/>
  <c r="Z33" i="48"/>
  <c r="B81" i="48"/>
  <c r="E81" i="48"/>
  <c r="H81" i="48"/>
  <c r="B82" i="48"/>
  <c r="X7" i="48"/>
  <c r="X8" i="48"/>
  <c r="X9" i="48"/>
  <c r="AI9" i="48" s="1"/>
  <c r="X10" i="48"/>
  <c r="X11" i="48"/>
  <c r="X12" i="48"/>
  <c r="X13" i="48"/>
  <c r="X14" i="48"/>
  <c r="X15" i="48"/>
  <c r="AA15" i="48" s="1"/>
  <c r="S22" i="48"/>
  <c r="AK22" i="48" s="1"/>
  <c r="S23" i="48"/>
  <c r="AH23" i="48" s="1"/>
  <c r="S24" i="48"/>
  <c r="AK24" i="48" s="1"/>
  <c r="S25" i="48"/>
  <c r="AK25" i="48" s="1"/>
  <c r="S26" i="48"/>
  <c r="S27" i="48"/>
  <c r="S28" i="48"/>
  <c r="AH28" i="48" s="1"/>
  <c r="S29" i="48"/>
  <c r="AI29" i="48" s="1"/>
  <c r="S30" i="48"/>
  <c r="AK30" i="48" s="1"/>
  <c r="S31" i="48"/>
  <c r="AI31" i="48" s="1"/>
  <c r="S32" i="48"/>
  <c r="S33" i="48"/>
  <c r="E82" i="48"/>
  <c r="Y7" i="48"/>
  <c r="AD7" i="48" s="1"/>
  <c r="AL7" i="48" s="1"/>
  <c r="Y8" i="48"/>
  <c r="AK8" i="48" s="1"/>
  <c r="Y9" i="48"/>
  <c r="AJ9" i="48" s="1"/>
  <c r="Y10" i="48"/>
  <c r="Y11" i="48"/>
  <c r="Y12" i="48"/>
  <c r="Y13" i="48"/>
  <c r="Y14" i="48"/>
  <c r="Y15" i="48"/>
  <c r="AA17" i="48"/>
  <c r="S21" i="48"/>
  <c r="AF21" i="48" s="1"/>
  <c r="T22" i="48"/>
  <c r="T23" i="48"/>
  <c r="T24" i="48"/>
  <c r="T25" i="48"/>
  <c r="T26" i="48"/>
  <c r="AE26" i="48" s="1"/>
  <c r="T27" i="48"/>
  <c r="T28" i="48"/>
  <c r="T29" i="48"/>
  <c r="T30" i="48"/>
  <c r="T31" i="48"/>
  <c r="AE31" i="48" s="1"/>
  <c r="T32" i="48"/>
  <c r="T33" i="48"/>
  <c r="H82" i="48"/>
  <c r="Z7" i="48"/>
  <c r="AK7" i="48" s="1"/>
  <c r="T21" i="48"/>
  <c r="U22" i="48"/>
  <c r="U23" i="48"/>
  <c r="U24" i="48"/>
  <c r="AF24" i="48" s="1"/>
  <c r="U25" i="48"/>
  <c r="U26" i="48"/>
  <c r="AF26" i="48" s="1"/>
  <c r="U27" i="48"/>
  <c r="U28" i="48"/>
  <c r="U29" i="48"/>
  <c r="U30" i="48"/>
  <c r="U31" i="48"/>
  <c r="U32" i="48"/>
  <c r="U33" i="48"/>
  <c r="B83" i="48"/>
  <c r="AA8" i="48"/>
  <c r="V23" i="48"/>
  <c r="V24" i="48"/>
  <c r="V25" i="48"/>
  <c r="V28" i="48"/>
  <c r="V29" i="48"/>
  <c r="V30" i="48"/>
  <c r="C99" i="47"/>
  <c r="C98" i="47"/>
  <c r="B79" i="47"/>
  <c r="B78" i="47"/>
  <c r="B77" i="47"/>
  <c r="Y33" i="47"/>
  <c r="X33" i="47"/>
  <c r="W33" i="47"/>
  <c r="V33" i="47"/>
  <c r="P33" i="47"/>
  <c r="T33" i="47" s="1"/>
  <c r="G33" i="47"/>
  <c r="R33" i="47" s="1"/>
  <c r="AC33" i="47" s="1"/>
  <c r="D33" i="47"/>
  <c r="P32" i="47"/>
  <c r="T32" i="47" s="1"/>
  <c r="G32" i="47"/>
  <c r="R32" i="47" s="1"/>
  <c r="AC32" i="47" s="1"/>
  <c r="D32" i="47"/>
  <c r="U31" i="47"/>
  <c r="P31" i="47"/>
  <c r="T31" i="47" s="1"/>
  <c r="G31" i="47"/>
  <c r="R31" i="47" s="1"/>
  <c r="AC31" i="47" s="1"/>
  <c r="D31" i="47"/>
  <c r="Y30" i="47"/>
  <c r="X30" i="47"/>
  <c r="W30" i="47"/>
  <c r="V30" i="47"/>
  <c r="P30" i="47"/>
  <c r="T30" i="47" s="1"/>
  <c r="G30" i="47"/>
  <c r="R30" i="47" s="1"/>
  <c r="AC30" i="47" s="1"/>
  <c r="D30" i="47"/>
  <c r="P29" i="47"/>
  <c r="T29" i="47" s="1"/>
  <c r="G29" i="47"/>
  <c r="R29" i="47" s="1"/>
  <c r="AC29" i="47" s="1"/>
  <c r="D29" i="47"/>
  <c r="U28" i="47"/>
  <c r="P28" i="47"/>
  <c r="T28" i="47" s="1"/>
  <c r="G28" i="47"/>
  <c r="R28" i="47" s="1"/>
  <c r="AC28" i="47" s="1"/>
  <c r="D28" i="47"/>
  <c r="Y27" i="47"/>
  <c r="X27" i="47"/>
  <c r="W27" i="47"/>
  <c r="V27" i="47"/>
  <c r="P27" i="47"/>
  <c r="T27" i="47" s="1"/>
  <c r="G27" i="47"/>
  <c r="R27" i="47" s="1"/>
  <c r="AC27" i="47" s="1"/>
  <c r="D27" i="47"/>
  <c r="P26" i="47"/>
  <c r="T26" i="47" s="1"/>
  <c r="G26" i="47"/>
  <c r="R26" i="47" s="1"/>
  <c r="AC26" i="47" s="1"/>
  <c r="D26" i="47"/>
  <c r="U25" i="47"/>
  <c r="P25" i="47"/>
  <c r="T25" i="47" s="1"/>
  <c r="G25" i="47"/>
  <c r="R25" i="47" s="1"/>
  <c r="AC25" i="47" s="1"/>
  <c r="D25" i="47"/>
  <c r="Y24" i="47"/>
  <c r="X24" i="47"/>
  <c r="W24" i="47"/>
  <c r="V24" i="47"/>
  <c r="P24" i="47"/>
  <c r="T24" i="47" s="1"/>
  <c r="G24" i="47"/>
  <c r="R24" i="47" s="1"/>
  <c r="AC24" i="47" s="1"/>
  <c r="D24" i="47"/>
  <c r="P23" i="47"/>
  <c r="T23" i="47" s="1"/>
  <c r="G23" i="47"/>
  <c r="R23" i="47" s="1"/>
  <c r="AC23" i="47" s="1"/>
  <c r="D23" i="47"/>
  <c r="U22" i="47"/>
  <c r="P22" i="47"/>
  <c r="T22" i="47" s="1"/>
  <c r="G22" i="47"/>
  <c r="R22" i="47" s="1"/>
  <c r="AC22" i="47" s="1"/>
  <c r="D22" i="47"/>
  <c r="P21" i="47"/>
  <c r="G21" i="47"/>
  <c r="R21" i="47" s="1"/>
  <c r="AC21" i="47" s="1"/>
  <c r="D21" i="47"/>
  <c r="P20" i="47"/>
  <c r="G20" i="47"/>
  <c r="R20" i="47" s="1"/>
  <c r="AC20" i="47" s="1"/>
  <c r="D20" i="47"/>
  <c r="P19" i="47"/>
  <c r="G19" i="47"/>
  <c r="R19" i="47" s="1"/>
  <c r="AC19" i="47" s="1"/>
  <c r="D19" i="47"/>
  <c r="R18" i="47"/>
  <c r="AC18" i="47" s="1"/>
  <c r="P18" i="47"/>
  <c r="G18" i="47"/>
  <c r="D18" i="47"/>
  <c r="R17" i="47"/>
  <c r="AC17" i="47" s="1"/>
  <c r="P17" i="47"/>
  <c r="G17" i="47"/>
  <c r="D17" i="47"/>
  <c r="P16" i="47"/>
  <c r="G16" i="47"/>
  <c r="R16" i="47" s="1"/>
  <c r="AC16" i="47" s="1"/>
  <c r="D16" i="47"/>
  <c r="R15" i="47"/>
  <c r="AC15" i="47" s="1"/>
  <c r="P15" i="47"/>
  <c r="G15" i="47"/>
  <c r="D15" i="47"/>
  <c r="R14" i="47"/>
  <c r="AC14" i="47" s="1"/>
  <c r="P14" i="47"/>
  <c r="G14" i="47"/>
  <c r="D14" i="47"/>
  <c r="P13" i="47"/>
  <c r="G13" i="47"/>
  <c r="R13" i="47" s="1"/>
  <c r="AC13" i="47" s="1"/>
  <c r="D13" i="47"/>
  <c r="R12" i="47"/>
  <c r="AC12" i="47" s="1"/>
  <c r="P12" i="47"/>
  <c r="G12" i="47"/>
  <c r="D12" i="47"/>
  <c r="R11" i="47"/>
  <c r="AC11" i="47" s="1"/>
  <c r="P11" i="47"/>
  <c r="G11" i="47"/>
  <c r="D11" i="47"/>
  <c r="P10" i="47"/>
  <c r="G10" i="47"/>
  <c r="R10" i="47" s="1"/>
  <c r="AC10" i="47" s="1"/>
  <c r="D10" i="47"/>
  <c r="R9" i="47"/>
  <c r="AC9" i="47" s="1"/>
  <c r="P9" i="47"/>
  <c r="Z9" i="47" s="1"/>
  <c r="G9" i="47"/>
  <c r="D9" i="47"/>
  <c r="R8" i="47"/>
  <c r="AC8" i="47" s="1"/>
  <c r="P8" i="47"/>
  <c r="Z8" i="47" s="1"/>
  <c r="G8" i="47"/>
  <c r="D8" i="47"/>
  <c r="P7" i="47"/>
  <c r="G7" i="47"/>
  <c r="R7" i="47" s="1"/>
  <c r="AC7" i="47" s="1"/>
  <c r="D7" i="47"/>
  <c r="AH4" i="47"/>
  <c r="AG4" i="47"/>
  <c r="AD4" i="47"/>
  <c r="AC4" i="47"/>
  <c r="Z4" i="47"/>
  <c r="AK4" i="47" s="1"/>
  <c r="Y4" i="47"/>
  <c r="AJ4" i="47" s="1"/>
  <c r="X4" i="47"/>
  <c r="AI4" i="47" s="1"/>
  <c r="W4" i="47"/>
  <c r="V4" i="47"/>
  <c r="U4" i="47"/>
  <c r="AF4" i="47" s="1"/>
  <c r="T4" i="47"/>
  <c r="AE4" i="47" s="1"/>
  <c r="S4" i="47"/>
  <c r="R4" i="47"/>
  <c r="B4" i="47"/>
  <c r="D2" i="47"/>
  <c r="H2" i="47" s="1"/>
  <c r="AE33" i="48" l="1"/>
  <c r="AK9" i="54"/>
  <c r="AJ20" i="54"/>
  <c r="U23" i="47"/>
  <c r="U26" i="47"/>
  <c r="U29" i="47"/>
  <c r="U32" i="47"/>
  <c r="AA13" i="48"/>
  <c r="AF28" i="48"/>
  <c r="AJ15" i="48"/>
  <c r="AI13" i="48"/>
  <c r="AG7" i="48"/>
  <c r="AJ31" i="48"/>
  <c r="AE16" i="48"/>
  <c r="AE8" i="48"/>
  <c r="T66" i="49"/>
  <c r="AK18" i="51"/>
  <c r="AJ27" i="50"/>
  <c r="AK8" i="51"/>
  <c r="AF26" i="50"/>
  <c r="AG18" i="50"/>
  <c r="AF17" i="54"/>
  <c r="AH12" i="54"/>
  <c r="AF21" i="54"/>
  <c r="AF25" i="53"/>
  <c r="AJ10" i="53"/>
  <c r="AE20" i="53"/>
  <c r="AG10" i="53"/>
  <c r="AG8" i="53"/>
  <c r="AG27" i="51"/>
  <c r="AH29" i="51"/>
  <c r="AH32" i="48"/>
  <c r="AF32" i="53"/>
  <c r="V23" i="47"/>
  <c r="V26" i="47"/>
  <c r="V29" i="47"/>
  <c r="V32" i="47"/>
  <c r="AA12" i="48"/>
  <c r="AF27" i="48"/>
  <c r="AJ14" i="48"/>
  <c r="AI12" i="48"/>
  <c r="AJ30" i="48"/>
  <c r="AI27" i="48"/>
  <c r="AD12" i="48"/>
  <c r="AL12" i="48" s="1"/>
  <c r="AJ18" i="49"/>
  <c r="AK33" i="49"/>
  <c r="Z66" i="49"/>
  <c r="AH23" i="49"/>
  <c r="AD31" i="51"/>
  <c r="AL31" i="51" s="1"/>
  <c r="AF14" i="51"/>
  <c r="AD17" i="50"/>
  <c r="AJ17" i="50"/>
  <c r="AK12" i="51"/>
  <c r="AG23" i="50"/>
  <c r="AJ22" i="50"/>
  <c r="AD15" i="50"/>
  <c r="AK33" i="53"/>
  <c r="AJ19" i="54"/>
  <c r="AK14" i="54"/>
  <c r="AJ19" i="53"/>
  <c r="AK32" i="53"/>
  <c r="AI32" i="49"/>
  <c r="AF25" i="49"/>
  <c r="AJ33" i="51"/>
  <c r="AA21" i="51"/>
  <c r="W29" i="47"/>
  <c r="AJ13" i="48"/>
  <c r="AI11" i="48"/>
  <c r="AG12" i="48"/>
  <c r="AJ29" i="48"/>
  <c r="AI30" i="49"/>
  <c r="AE30" i="49"/>
  <c r="AJ15" i="51"/>
  <c r="AE21" i="51"/>
  <c r="AH16" i="51"/>
  <c r="AF13" i="51"/>
  <c r="AJ19" i="51"/>
  <c r="AF32" i="50"/>
  <c r="AG22" i="50"/>
  <c r="AA19" i="50"/>
  <c r="AD19" i="54"/>
  <c r="AI25" i="53"/>
  <c r="AF18" i="54"/>
  <c r="X23" i="47"/>
  <c r="X26" i="47"/>
  <c r="X29" i="47"/>
  <c r="X32" i="47"/>
  <c r="AA10" i="48"/>
  <c r="AH12" i="48"/>
  <c r="AG11" i="48"/>
  <c r="AJ28" i="48"/>
  <c r="AJ29" i="49"/>
  <c r="AG13" i="49"/>
  <c r="AJ14" i="51"/>
  <c r="AD21" i="51"/>
  <c r="AF12" i="51"/>
  <c r="AF18" i="51"/>
  <c r="AI14" i="54"/>
  <c r="AG25" i="53"/>
  <c r="AH14" i="53"/>
  <c r="AH15" i="54"/>
  <c r="AE17" i="53"/>
  <c r="AJ32" i="49"/>
  <c r="Y66" i="49"/>
  <c r="AK21" i="51"/>
  <c r="AL21" i="51" s="1"/>
  <c r="AE32" i="53"/>
  <c r="AF10" i="53"/>
  <c r="AI14" i="48"/>
  <c r="AG15" i="50"/>
  <c r="AE11" i="48"/>
  <c r="S66" i="49"/>
  <c r="AG30" i="49"/>
  <c r="AG33" i="49"/>
  <c r="AJ13" i="51"/>
  <c r="AH19" i="51"/>
  <c r="AE31" i="51"/>
  <c r="AA19" i="51"/>
  <c r="AH27" i="50"/>
  <c r="AH14" i="50"/>
  <c r="AF33" i="50"/>
  <c r="AJ30" i="53"/>
  <c r="AJ10" i="54"/>
  <c r="AF16" i="53"/>
  <c r="AA19" i="53"/>
  <c r="AG32" i="53"/>
  <c r="AH33" i="51"/>
  <c r="AI32" i="51"/>
  <c r="AI31" i="51"/>
  <c r="W32" i="47"/>
  <c r="V22" i="47"/>
  <c r="V25" i="47"/>
  <c r="V28" i="47"/>
  <c r="V31" i="47"/>
  <c r="AH7" i="48"/>
  <c r="AF23" i="48"/>
  <c r="AE10" i="48"/>
  <c r="AI8" i="48"/>
  <c r="AK23" i="48"/>
  <c r="AH29" i="49"/>
  <c r="V66" i="49"/>
  <c r="AJ12" i="51"/>
  <c r="AA18" i="51"/>
  <c r="AD19" i="51"/>
  <c r="AG7" i="51"/>
  <c r="AG25" i="50"/>
  <c r="AJ9" i="51"/>
  <c r="AA17" i="50"/>
  <c r="AK21" i="54"/>
  <c r="AJ27" i="53"/>
  <c r="AG7" i="53"/>
  <c r="AG12" i="54"/>
  <c r="AK12" i="53"/>
  <c r="AH11" i="54"/>
  <c r="AJ22" i="51"/>
  <c r="AI24" i="51"/>
  <c r="AH32" i="53"/>
  <c r="AE32" i="48"/>
  <c r="Y23" i="47"/>
  <c r="Y26" i="47"/>
  <c r="Y32" i="47"/>
  <c r="W22" i="47"/>
  <c r="W25" i="47"/>
  <c r="W28" i="47"/>
  <c r="W31" i="47"/>
  <c r="AH31" i="47" s="1"/>
  <c r="AI7" i="48"/>
  <c r="AG8" i="48"/>
  <c r="AJ25" i="48"/>
  <c r="AE9" i="48"/>
  <c r="AD11" i="48"/>
  <c r="AL11" i="48" s="1"/>
  <c r="AF18" i="49"/>
  <c r="AE21" i="49"/>
  <c r="AH30" i="49"/>
  <c r="AH11" i="49"/>
  <c r="AF13" i="49"/>
  <c r="AK23" i="49"/>
  <c r="AJ11" i="51"/>
  <c r="AH14" i="51"/>
  <c r="AG12" i="51"/>
  <c r="AJ20" i="51"/>
  <c r="AF17" i="51"/>
  <c r="AI9" i="51"/>
  <c r="AK28" i="50"/>
  <c r="AG17" i="50"/>
  <c r="AE22" i="50"/>
  <c r="AA15" i="50"/>
  <c r="AE17" i="50"/>
  <c r="AK26" i="54"/>
  <c r="AJ23" i="53"/>
  <c r="AI8" i="54"/>
  <c r="AJ33" i="53"/>
  <c r="AD21" i="53"/>
  <c r="AH25" i="51"/>
  <c r="AI26" i="49"/>
  <c r="AE24" i="50"/>
  <c r="AI8" i="53"/>
  <c r="AF26" i="49"/>
  <c r="AH33" i="48"/>
  <c r="AH11" i="48"/>
  <c r="AG31" i="51"/>
  <c r="AH21" i="54"/>
  <c r="W23" i="47"/>
  <c r="Y29" i="47"/>
  <c r="X22" i="47"/>
  <c r="X25" i="47"/>
  <c r="X28" i="47"/>
  <c r="X31" i="47"/>
  <c r="AG29" i="48"/>
  <c r="AJ24" i="48"/>
  <c r="AD8" i="48"/>
  <c r="AL8" i="48" s="1"/>
  <c r="AF17" i="49"/>
  <c r="AD13" i="49"/>
  <c r="AL13" i="49" s="1"/>
  <c r="AK27" i="49"/>
  <c r="AI27" i="49"/>
  <c r="AH13" i="51"/>
  <c r="AH7" i="51"/>
  <c r="AJ31" i="51"/>
  <c r="AF19" i="50"/>
  <c r="AE26" i="54"/>
  <c r="AI7" i="53"/>
  <c r="AE7" i="53"/>
  <c r="AG8" i="54"/>
  <c r="AE8" i="54"/>
  <c r="AJ8" i="54"/>
  <c r="AH28" i="54"/>
  <c r="AI10" i="53"/>
  <c r="AA16" i="53"/>
  <c r="AJ18" i="53"/>
  <c r="AJ19" i="48"/>
  <c r="AL19" i="48" s="1"/>
  <c r="AG25" i="49"/>
  <c r="AF18" i="48"/>
  <c r="AH27" i="51"/>
  <c r="AI29" i="51"/>
  <c r="AD32" i="54"/>
  <c r="AL32" i="54" s="1"/>
  <c r="AA32" i="54"/>
  <c r="W26" i="47"/>
  <c r="Y22" i="47"/>
  <c r="AJ22" i="47" s="1"/>
  <c r="U24" i="47"/>
  <c r="Y25" i="47"/>
  <c r="U27" i="47"/>
  <c r="Y28" i="47"/>
  <c r="U30" i="47"/>
  <c r="Y31" i="47"/>
  <c r="U33" i="47"/>
  <c r="AG28" i="48"/>
  <c r="AJ23" i="48"/>
  <c r="E21" i="48"/>
  <c r="E22" i="48" s="1"/>
  <c r="E23" i="48" s="1"/>
  <c r="AF23" i="49"/>
  <c r="AF14" i="49"/>
  <c r="AF33" i="49"/>
  <c r="AA31" i="51"/>
  <c r="AE8" i="51"/>
  <c r="AK31" i="51"/>
  <c r="AK33" i="50"/>
  <c r="AH19" i="50"/>
  <c r="AJ13" i="50"/>
  <c r="AH18" i="50"/>
  <c r="AG26" i="54"/>
  <c r="AK28" i="54"/>
  <c r="AA14" i="53"/>
  <c r="AJ11" i="54"/>
  <c r="AI26" i="54"/>
  <c r="AF26" i="54"/>
  <c r="AK25" i="53"/>
  <c r="AD15" i="53"/>
  <c r="AA15" i="53"/>
  <c r="AK25" i="49"/>
  <c r="AF21" i="51"/>
  <c r="AE26" i="49"/>
  <c r="AG26" i="51"/>
  <c r="AI22" i="51"/>
  <c r="AE21" i="53"/>
  <c r="AL21" i="53" s="1"/>
  <c r="AH21" i="53"/>
  <c r="AJ21" i="53"/>
  <c r="AA26" i="53"/>
  <c r="AE15" i="53"/>
  <c r="AD18" i="53"/>
  <c r="AH18" i="53"/>
  <c r="AF15" i="53"/>
  <c r="AE29" i="53"/>
  <c r="AJ20" i="53"/>
  <c r="AD20" i="53"/>
  <c r="AJ16" i="53"/>
  <c r="AJ9" i="53"/>
  <c r="AD28" i="53"/>
  <c r="AL28" i="53" s="1"/>
  <c r="AH15" i="53"/>
  <c r="AK21" i="53"/>
  <c r="AH19" i="53"/>
  <c r="AE18" i="53"/>
  <c r="AH33" i="53"/>
  <c r="AH28" i="53"/>
  <c r="AK20" i="53"/>
  <c r="AH20" i="53"/>
  <c r="AH10" i="53"/>
  <c r="AI26" i="53"/>
  <c r="AJ17" i="53"/>
  <c r="AL17" i="53" s="1"/>
  <c r="AK31" i="53"/>
  <c r="AD17" i="53"/>
  <c r="AA20" i="53"/>
  <c r="AJ11" i="53"/>
  <c r="AA21" i="53"/>
  <c r="AG18" i="53"/>
  <c r="AE26" i="53"/>
  <c r="AD16" i="53"/>
  <c r="AH31" i="53"/>
  <c r="AF20" i="53"/>
  <c r="AJ15" i="53"/>
  <c r="AH27" i="53"/>
  <c r="AG20" i="53"/>
  <c r="AH16" i="53"/>
  <c r="AH26" i="53"/>
  <c r="AK18" i="53"/>
  <c r="AF18" i="53"/>
  <c r="AH13" i="53"/>
  <c r="AF17" i="53"/>
  <c r="AE24" i="53"/>
  <c r="AA12" i="53"/>
  <c r="AA17" i="53"/>
  <c r="AK26" i="53"/>
  <c r="AK10" i="53"/>
  <c r="AE19" i="53"/>
  <c r="AK17" i="53"/>
  <c r="AH17" i="53"/>
  <c r="AK19" i="53"/>
  <c r="AF21" i="53"/>
  <c r="AK23" i="53"/>
  <c r="AD12" i="53"/>
  <c r="AL12" i="53" s="1"/>
  <c r="AD10" i="53"/>
  <c r="AL10" i="53" s="1"/>
  <c r="AG16" i="53"/>
  <c r="AG17" i="53"/>
  <c r="AF33" i="53"/>
  <c r="AG21" i="53"/>
  <c r="AE16" i="53"/>
  <c r="AK16" i="53"/>
  <c r="AA32" i="53"/>
  <c r="AD32" i="53"/>
  <c r="AL32" i="53" s="1"/>
  <c r="AG26" i="53"/>
  <c r="AF13" i="53"/>
  <c r="AK15" i="53"/>
  <c r="AE33" i="53"/>
  <c r="AA11" i="53"/>
  <c r="AF19" i="53"/>
  <c r="AK17" i="54"/>
  <c r="AF31" i="53"/>
  <c r="AK29" i="53"/>
  <c r="AI11" i="53"/>
  <c r="AG17" i="54"/>
  <c r="AD14" i="53"/>
  <c r="AI12" i="54"/>
  <c r="AH10" i="54"/>
  <c r="AG10" i="54"/>
  <c r="AG23" i="54"/>
  <c r="AA19" i="54"/>
  <c r="AE16" i="54"/>
  <c r="AD8" i="54"/>
  <c r="AL8" i="54" s="1"/>
  <c r="AA8" i="54"/>
  <c r="AF23" i="53"/>
  <c r="AE31" i="53"/>
  <c r="AJ23" i="54"/>
  <c r="AI29" i="53"/>
  <c r="AE9" i="53"/>
  <c r="AD20" i="54"/>
  <c r="AA20" i="54"/>
  <c r="AJ14" i="53"/>
  <c r="AF12" i="53"/>
  <c r="AG15" i="54"/>
  <c r="AK10" i="54"/>
  <c r="AJ7" i="54"/>
  <c r="AI10" i="54"/>
  <c r="AK13" i="53"/>
  <c r="AF20" i="54"/>
  <c r="AI24" i="53"/>
  <c r="AD18" i="54"/>
  <c r="AA18" i="54"/>
  <c r="AH18" i="54"/>
  <c r="AG16" i="54"/>
  <c r="AF8" i="54"/>
  <c r="AK29" i="54"/>
  <c r="AF28" i="54"/>
  <c r="AH29" i="53"/>
  <c r="AG19" i="54"/>
  <c r="AL19" i="54" s="1"/>
  <c r="AG13" i="54"/>
  <c r="AK15" i="54"/>
  <c r="AD15" i="54"/>
  <c r="AA15" i="54"/>
  <c r="AD9" i="54"/>
  <c r="AL9" i="54" s="1"/>
  <c r="AA9" i="54"/>
  <c r="AD16" i="54"/>
  <c r="AA16" i="54"/>
  <c r="AK24" i="53"/>
  <c r="AI31" i="53"/>
  <c r="AK16" i="54"/>
  <c r="AE29" i="54"/>
  <c r="AD26" i="54"/>
  <c r="AL26" i="54" s="1"/>
  <c r="AA26" i="54"/>
  <c r="AE13" i="54"/>
  <c r="AH12" i="53"/>
  <c r="AE18" i="54"/>
  <c r="AD13" i="53"/>
  <c r="AL13" i="53" s="1"/>
  <c r="AA13" i="53"/>
  <c r="AA17" i="54"/>
  <c r="AF15" i="54"/>
  <c r="AF9" i="54"/>
  <c r="AF27" i="54"/>
  <c r="AG9" i="53"/>
  <c r="AD9" i="53"/>
  <c r="AL9" i="53" s="1"/>
  <c r="AA9" i="53"/>
  <c r="AG30" i="53"/>
  <c r="AH29" i="54"/>
  <c r="AD33" i="53"/>
  <c r="AL33" i="53" s="1"/>
  <c r="AA33" i="53"/>
  <c r="AD7" i="53"/>
  <c r="AL7" i="53" s="1"/>
  <c r="AA7" i="53"/>
  <c r="AE14" i="54"/>
  <c r="AI23" i="53"/>
  <c r="AD14" i="54"/>
  <c r="AL14" i="54" s="1"/>
  <c r="AA14" i="54"/>
  <c r="AG31" i="53"/>
  <c r="AG29" i="54"/>
  <c r="AD24" i="54"/>
  <c r="AL24" i="54" s="1"/>
  <c r="AA24" i="54"/>
  <c r="AI13" i="54"/>
  <c r="AE11" i="54"/>
  <c r="AG9" i="54"/>
  <c r="AJ15" i="54"/>
  <c r="AJ9" i="54"/>
  <c r="AF25" i="54"/>
  <c r="AG33" i="53"/>
  <c r="AF7" i="53"/>
  <c r="AJ21" i="54"/>
  <c r="AF30" i="53"/>
  <c r="AK27" i="54"/>
  <c r="AE12" i="54"/>
  <c r="AJ13" i="53"/>
  <c r="AD25" i="53"/>
  <c r="AL25" i="53" s="1"/>
  <c r="AE25" i="53"/>
  <c r="AA25" i="53"/>
  <c r="AH26" i="54"/>
  <c r="AF14" i="54"/>
  <c r="AE30" i="53"/>
  <c r="AI29" i="54"/>
  <c r="AD22" i="54"/>
  <c r="AL22" i="54" s="1"/>
  <c r="AA22" i="54"/>
  <c r="AE23" i="53"/>
  <c r="AE19" i="54"/>
  <c r="AD17" i="54"/>
  <c r="AG7" i="54"/>
  <c r="AD31" i="53"/>
  <c r="AL31" i="53" s="1"/>
  <c r="AA31" i="53"/>
  <c r="AH30" i="53"/>
  <c r="AA27" i="54"/>
  <c r="AD27" i="54"/>
  <c r="AL27" i="54" s="1"/>
  <c r="AD24" i="53"/>
  <c r="AL24" i="53" s="1"/>
  <c r="AA24" i="53"/>
  <c r="AA21" i="54"/>
  <c r="AE21" i="54"/>
  <c r="AD21" i="54"/>
  <c r="AE27" i="54"/>
  <c r="AE10" i="54"/>
  <c r="AK11" i="53"/>
  <c r="AH23" i="53"/>
  <c r="AI30" i="53"/>
  <c r="AG14" i="53"/>
  <c r="AE15" i="54"/>
  <c r="AJ24" i="53"/>
  <c r="AG24" i="53"/>
  <c r="AD13" i="54"/>
  <c r="AL13" i="54" s="1"/>
  <c r="AA13" i="54"/>
  <c r="AD7" i="54"/>
  <c r="AL7" i="54" s="1"/>
  <c r="AA7" i="54"/>
  <c r="AD29" i="53"/>
  <c r="AL29" i="53" s="1"/>
  <c r="AA29" i="53"/>
  <c r="AA25" i="54"/>
  <c r="AD25" i="54"/>
  <c r="AL25" i="54" s="1"/>
  <c r="AD12" i="54"/>
  <c r="AL12" i="54" s="1"/>
  <c r="AA12" i="54"/>
  <c r="AG23" i="53"/>
  <c r="AF24" i="53"/>
  <c r="AH25" i="54"/>
  <c r="AE17" i="54"/>
  <c r="AE13" i="53"/>
  <c r="AF14" i="53"/>
  <c r="AK30" i="53"/>
  <c r="AF13" i="54"/>
  <c r="AJ18" i="54"/>
  <c r="AF29" i="53"/>
  <c r="AA23" i="54"/>
  <c r="AD23" i="54"/>
  <c r="AL23" i="54" s="1"/>
  <c r="AG20" i="54"/>
  <c r="AK25" i="54"/>
  <c r="AJ31" i="53"/>
  <c r="AF29" i="54"/>
  <c r="AD29" i="54"/>
  <c r="AL29" i="54" s="1"/>
  <c r="AA29" i="54"/>
  <c r="AF12" i="54"/>
  <c r="AG13" i="53"/>
  <c r="AH13" i="54"/>
  <c r="AG11" i="53"/>
  <c r="AE14" i="53"/>
  <c r="AE11" i="53"/>
  <c r="AF7" i="54"/>
  <c r="AK18" i="54"/>
  <c r="AJ13" i="54"/>
  <c r="AH20" i="54"/>
  <c r="AK20" i="54"/>
  <c r="AD11" i="53"/>
  <c r="AL11" i="53" s="1"/>
  <c r="AI7" i="54"/>
  <c r="AJ27" i="54"/>
  <c r="AI27" i="54"/>
  <c r="AA23" i="53"/>
  <c r="AD23" i="53"/>
  <c r="AL23" i="53" s="1"/>
  <c r="AK12" i="54"/>
  <c r="AH17" i="54"/>
  <c r="AA27" i="53"/>
  <c r="AD27" i="53"/>
  <c r="AL27" i="53" s="1"/>
  <c r="AH16" i="54"/>
  <c r="AF16" i="54"/>
  <c r="AG25" i="54"/>
  <c r="AI13" i="53"/>
  <c r="AE20" i="54"/>
  <c r="AD10" i="54"/>
  <c r="AL10" i="54" s="1"/>
  <c r="AA10" i="54"/>
  <c r="AG18" i="54"/>
  <c r="AH11" i="53"/>
  <c r="AH9" i="54"/>
  <c r="AK7" i="53"/>
  <c r="AJ25" i="54"/>
  <c r="AG29" i="53"/>
  <c r="AG27" i="53"/>
  <c r="AJ17" i="54"/>
  <c r="AJ26" i="54"/>
  <c r="AJ7" i="53"/>
  <c r="AJ29" i="53"/>
  <c r="AE25" i="54"/>
  <c r="AA30" i="53"/>
  <c r="AD30" i="53"/>
  <c r="AL30" i="53" s="1"/>
  <c r="AJ12" i="54"/>
  <c r="AG12" i="53"/>
  <c r="AE12" i="53"/>
  <c r="AJ12" i="53"/>
  <c r="AI9" i="53"/>
  <c r="AE7" i="54"/>
  <c r="AH9" i="53"/>
  <c r="AD28" i="54"/>
  <c r="AL28" i="54" s="1"/>
  <c r="AA28" i="54"/>
  <c r="AI25" i="54"/>
  <c r="AI14" i="53"/>
  <c r="AD11" i="54"/>
  <c r="AL11" i="54" s="1"/>
  <c r="AA11" i="54"/>
  <c r="AH14" i="54"/>
  <c r="AG14" i="54"/>
  <c r="AK23" i="54"/>
  <c r="AF27" i="53"/>
  <c r="AI12" i="53"/>
  <c r="AK19" i="54"/>
  <c r="AF10" i="54"/>
  <c r="AH7" i="54"/>
  <c r="C70" i="53"/>
  <c r="E21" i="53"/>
  <c r="E22" i="53" s="1"/>
  <c r="E23" i="53" s="1"/>
  <c r="C71" i="53"/>
  <c r="C69" i="53"/>
  <c r="AG21" i="54"/>
  <c r="AF11" i="53"/>
  <c r="AK9" i="53"/>
  <c r="D95" i="54"/>
  <c r="E24" i="54"/>
  <c r="E25" i="54" s="1"/>
  <c r="E26" i="54" s="1"/>
  <c r="E27" i="54" s="1"/>
  <c r="AK11" i="54"/>
  <c r="AH24" i="53"/>
  <c r="AK7" i="54"/>
  <c r="AE14" i="50"/>
  <c r="AK23" i="50"/>
  <c r="AH21" i="50"/>
  <c r="AI10" i="50"/>
  <c r="AJ8" i="50"/>
  <c r="AE13" i="50"/>
  <c r="AJ7" i="50"/>
  <c r="AJ14" i="50"/>
  <c r="AH8" i="50"/>
  <c r="AJ19" i="50"/>
  <c r="AK18" i="50"/>
  <c r="AH32" i="50"/>
  <c r="AE30" i="50"/>
  <c r="AA18" i="50"/>
  <c r="AE10" i="50"/>
  <c r="AE20" i="50"/>
  <c r="AF13" i="50"/>
  <c r="AG10" i="50"/>
  <c r="AG19" i="50"/>
  <c r="AF15" i="50"/>
  <c r="AH25" i="50"/>
  <c r="AF25" i="50"/>
  <c r="AA22" i="50"/>
  <c r="AE8" i="50"/>
  <c r="AF12" i="50"/>
  <c r="AI33" i="50"/>
  <c r="AE19" i="50"/>
  <c r="AL19" i="50" s="1"/>
  <c r="AE18" i="50"/>
  <c r="AK11" i="50"/>
  <c r="AF8" i="50"/>
  <c r="AD22" i="50"/>
  <c r="AL22" i="50" s="1"/>
  <c r="AJ15" i="50"/>
  <c r="AG27" i="50"/>
  <c r="AI8" i="50"/>
  <c r="AJ18" i="50"/>
  <c r="AK25" i="50"/>
  <c r="AH17" i="50"/>
  <c r="AL17" i="50" s="1"/>
  <c r="AH15" i="50"/>
  <c r="AJ25" i="50"/>
  <c r="AE15" i="50"/>
  <c r="AG13" i="50"/>
  <c r="AJ10" i="50"/>
  <c r="AD13" i="50"/>
  <c r="AL13" i="50" s="1"/>
  <c r="AK14" i="50"/>
  <c r="AI7" i="50"/>
  <c r="AG7" i="50"/>
  <c r="AA14" i="50"/>
  <c r="AK22" i="50"/>
  <c r="AA7" i="50"/>
  <c r="AI23" i="50"/>
  <c r="AF23" i="50"/>
  <c r="AD9" i="50"/>
  <c r="AL9" i="50" s="1"/>
  <c r="AK19" i="50"/>
  <c r="AG31" i="50"/>
  <c r="AD19" i="50"/>
  <c r="AD14" i="50"/>
  <c r="AL14" i="50" s="1"/>
  <c r="AE27" i="50"/>
  <c r="AI14" i="50"/>
  <c r="AE23" i="50"/>
  <c r="AK8" i="50"/>
  <c r="AJ23" i="50"/>
  <c r="AD23" i="50"/>
  <c r="AL23" i="50" s="1"/>
  <c r="AH23" i="50"/>
  <c r="AG14" i="50"/>
  <c r="AJ10" i="51"/>
  <c r="AG26" i="50"/>
  <c r="AG29" i="50"/>
  <c r="AG17" i="51"/>
  <c r="AK21" i="50"/>
  <c r="C71" i="51"/>
  <c r="E21" i="51"/>
  <c r="E22" i="51" s="1"/>
  <c r="E23" i="51" s="1"/>
  <c r="C70" i="51"/>
  <c r="C69" i="51"/>
  <c r="AH12" i="51"/>
  <c r="AG10" i="51"/>
  <c r="AF16" i="51"/>
  <c r="AD15" i="51"/>
  <c r="AA15" i="51"/>
  <c r="AK30" i="50"/>
  <c r="AI27" i="50"/>
  <c r="AG8" i="51"/>
  <c r="AG9" i="51"/>
  <c r="AG28" i="50"/>
  <c r="AH26" i="50"/>
  <c r="AH29" i="50"/>
  <c r="AE17" i="51"/>
  <c r="AK27" i="50"/>
  <c r="AG12" i="50"/>
  <c r="AG21" i="50"/>
  <c r="AG11" i="50"/>
  <c r="AE20" i="51"/>
  <c r="AG11" i="51"/>
  <c r="AE16" i="51"/>
  <c r="AF31" i="50"/>
  <c r="AI11" i="51"/>
  <c r="AF28" i="50"/>
  <c r="AH11" i="51"/>
  <c r="AJ32" i="50"/>
  <c r="AE32" i="50"/>
  <c r="AD32" i="50"/>
  <c r="AL32" i="50" s="1"/>
  <c r="AA32" i="50"/>
  <c r="AK32" i="50"/>
  <c r="AE15" i="51"/>
  <c r="AD14" i="51"/>
  <c r="AL14" i="51" s="1"/>
  <c r="AA14" i="51"/>
  <c r="AH9" i="51"/>
  <c r="AE28" i="50"/>
  <c r="AI26" i="50"/>
  <c r="AI31" i="50"/>
  <c r="AJ20" i="50"/>
  <c r="AE33" i="50"/>
  <c r="AD20" i="50"/>
  <c r="AA20" i="50"/>
  <c r="AJ29" i="50"/>
  <c r="AE14" i="51"/>
  <c r="AD13" i="51"/>
  <c r="AL13" i="51" s="1"/>
  <c r="AA13" i="51"/>
  <c r="AF19" i="51"/>
  <c r="AJ26" i="50"/>
  <c r="AK19" i="51"/>
  <c r="AK20" i="51"/>
  <c r="AE13" i="51"/>
  <c r="AD12" i="51"/>
  <c r="AL12" i="51" s="1"/>
  <c r="AA12" i="51"/>
  <c r="AA7" i="51"/>
  <c r="AD7" i="51"/>
  <c r="AL7" i="51" s="1"/>
  <c r="AK9" i="51"/>
  <c r="AD17" i="51"/>
  <c r="AI28" i="50"/>
  <c r="AK26" i="50"/>
  <c r="AL15" i="50"/>
  <c r="AG33" i="50"/>
  <c r="AF20" i="50"/>
  <c r="AE12" i="50"/>
  <c r="AD20" i="51"/>
  <c r="AA20" i="51"/>
  <c r="AH10" i="51"/>
  <c r="AH28" i="50"/>
  <c r="AF15" i="51"/>
  <c r="AE12" i="51"/>
  <c r="AD11" i="51"/>
  <c r="AL11" i="51" s="1"/>
  <c r="AA11" i="51"/>
  <c r="AK11" i="51"/>
  <c r="AD18" i="51"/>
  <c r="AL18" i="51" s="1"/>
  <c r="AF30" i="50"/>
  <c r="AD31" i="50"/>
  <c r="AL31" i="50" s="1"/>
  <c r="AA31" i="50"/>
  <c r="AK10" i="50"/>
  <c r="AK12" i="50"/>
  <c r="AH33" i="50"/>
  <c r="AG20" i="50"/>
  <c r="AD27" i="50"/>
  <c r="AL27" i="50" s="1"/>
  <c r="AI12" i="50"/>
  <c r="D95" i="50"/>
  <c r="E24" i="50"/>
  <c r="E25" i="50" s="1"/>
  <c r="E26" i="50" s="1"/>
  <c r="E27" i="50" s="1"/>
  <c r="AE11" i="51"/>
  <c r="AD10" i="51"/>
  <c r="AL10" i="51" s="1"/>
  <c r="AA10" i="51"/>
  <c r="AK10" i="51"/>
  <c r="AG30" i="50"/>
  <c r="AJ11" i="50"/>
  <c r="AA10" i="50"/>
  <c r="AD10" i="50"/>
  <c r="AL10" i="50" s="1"/>
  <c r="AG20" i="51"/>
  <c r="AK20" i="50"/>
  <c r="AE26" i="50"/>
  <c r="AJ12" i="50"/>
  <c r="AA30" i="50"/>
  <c r="AD30" i="50"/>
  <c r="AL30" i="50" s="1"/>
  <c r="AK17" i="51"/>
  <c r="AH20" i="51"/>
  <c r="AK16" i="51"/>
  <c r="AH30" i="50"/>
  <c r="AD12" i="50"/>
  <c r="AL12" i="50" s="1"/>
  <c r="AA12" i="50"/>
  <c r="AG15" i="51"/>
  <c r="AG19" i="51"/>
  <c r="AJ16" i="51"/>
  <c r="AG16" i="51"/>
  <c r="AA16" i="51"/>
  <c r="AH17" i="51"/>
  <c r="AK14" i="51"/>
  <c r="AE29" i="50"/>
  <c r="AD11" i="50"/>
  <c r="AL11" i="50" s="1"/>
  <c r="AA11" i="50"/>
  <c r="AF10" i="50"/>
  <c r="AA33" i="50"/>
  <c r="AD33" i="50"/>
  <c r="AL33" i="50" s="1"/>
  <c r="AH12" i="50"/>
  <c r="AF11" i="51"/>
  <c r="AJ17" i="51"/>
  <c r="AH31" i="50"/>
  <c r="AJ30" i="50"/>
  <c r="AF29" i="50"/>
  <c r="AK31" i="50"/>
  <c r="AG14" i="51"/>
  <c r="AD16" i="51"/>
  <c r="AE21" i="50"/>
  <c r="AF21" i="50"/>
  <c r="AA21" i="50"/>
  <c r="AF11" i="50"/>
  <c r="AE11" i="50"/>
  <c r="AH10" i="50"/>
  <c r="AF20" i="51"/>
  <c r="AH15" i="51"/>
  <c r="AG13" i="51"/>
  <c r="AF10" i="51"/>
  <c r="AG18" i="51"/>
  <c r="AH18" i="51"/>
  <c r="AI13" i="51"/>
  <c r="AK15" i="51"/>
  <c r="AA8" i="51"/>
  <c r="AD8" i="51"/>
  <c r="AL8" i="51" s="1"/>
  <c r="AJ21" i="50"/>
  <c r="AI14" i="51"/>
  <c r="AA9" i="51"/>
  <c r="AD9" i="51"/>
  <c r="AL9" i="51" s="1"/>
  <c r="AI30" i="50"/>
  <c r="AK29" i="50"/>
  <c r="AI11" i="50"/>
  <c r="AL16" i="50"/>
  <c r="AJ28" i="50"/>
  <c r="AD28" i="50"/>
  <c r="AL28" i="50" s="1"/>
  <c r="AA28" i="50"/>
  <c r="AA26" i="50"/>
  <c r="AD26" i="50"/>
  <c r="AL26" i="50" s="1"/>
  <c r="AD29" i="50"/>
  <c r="AL29" i="50" s="1"/>
  <c r="AA29" i="50"/>
  <c r="AH11" i="50"/>
  <c r="AE20" i="49"/>
  <c r="AF16" i="49"/>
  <c r="AF15" i="49"/>
  <c r="AJ21" i="49"/>
  <c r="AK12" i="49"/>
  <c r="AG18" i="49"/>
  <c r="AH18" i="49"/>
  <c r="AJ13" i="49"/>
  <c r="AF22" i="49"/>
  <c r="AG17" i="49"/>
  <c r="AK10" i="49"/>
  <c r="AG15" i="49"/>
  <c r="AG12" i="49"/>
  <c r="AK11" i="49"/>
  <c r="AE19" i="49"/>
  <c r="AE9" i="49"/>
  <c r="AJ11" i="49"/>
  <c r="AE17" i="49"/>
  <c r="AD22" i="49"/>
  <c r="AL22" i="49" s="1"/>
  <c r="AA22" i="49"/>
  <c r="AA11" i="49"/>
  <c r="AD11" i="49"/>
  <c r="AL11" i="49" s="1"/>
  <c r="AK22" i="49"/>
  <c r="AD27" i="49"/>
  <c r="AL27" i="49" s="1"/>
  <c r="AI23" i="49"/>
  <c r="AH22" i="49"/>
  <c r="AE15" i="49"/>
  <c r="AD20" i="49"/>
  <c r="AA20" i="49"/>
  <c r="AF11" i="49"/>
  <c r="AA31" i="49"/>
  <c r="AD31" i="49"/>
  <c r="AL31" i="49" s="1"/>
  <c r="AF9" i="49"/>
  <c r="AK20" i="49"/>
  <c r="AG21" i="49"/>
  <c r="AK31" i="49"/>
  <c r="AG10" i="49"/>
  <c r="AI22" i="49"/>
  <c r="AG8" i="49"/>
  <c r="AE16" i="49"/>
  <c r="AK21" i="49"/>
  <c r="AD19" i="49"/>
  <c r="AA19" i="49"/>
  <c r="AK19" i="49"/>
  <c r="AG19" i="49"/>
  <c r="AJ12" i="49"/>
  <c r="AF21" i="49"/>
  <c r="AI11" i="49"/>
  <c r="AD18" i="49"/>
  <c r="AA18" i="49"/>
  <c r="AI8" i="49"/>
  <c r="AE13" i="49"/>
  <c r="AA13" i="49"/>
  <c r="AE12" i="49"/>
  <c r="AG28" i="49"/>
  <c r="AK18" i="49"/>
  <c r="AF10" i="49"/>
  <c r="AK28" i="49"/>
  <c r="AK29" i="49"/>
  <c r="AH13" i="49"/>
  <c r="AH9" i="49"/>
  <c r="AI14" i="49"/>
  <c r="AE14" i="49"/>
  <c r="AD14" i="49"/>
  <c r="AL14" i="49" s="1"/>
  <c r="AA14" i="49"/>
  <c r="AA30" i="49"/>
  <c r="AD30" i="49"/>
  <c r="AL30" i="49" s="1"/>
  <c r="AF20" i="49"/>
  <c r="AD17" i="49"/>
  <c r="AA17" i="49"/>
  <c r="AF12" i="49"/>
  <c r="AH27" i="49"/>
  <c r="AF28" i="49"/>
  <c r="AK17" i="49"/>
  <c r="AK13" i="49"/>
  <c r="AK9" i="49"/>
  <c r="AH16" i="49"/>
  <c r="AJ31" i="49"/>
  <c r="AF19" i="49"/>
  <c r="AD23" i="49"/>
  <c r="AL23" i="49" s="1"/>
  <c r="AA23" i="49"/>
  <c r="AD16" i="49"/>
  <c r="AA16" i="49"/>
  <c r="AI33" i="49"/>
  <c r="AE33" i="49"/>
  <c r="AD33" i="49"/>
  <c r="AL33" i="49" s="1"/>
  <c r="AA33" i="49"/>
  <c r="AG11" i="49"/>
  <c r="AG27" i="49"/>
  <c r="AK16" i="49"/>
  <c r="AJ19" i="49"/>
  <c r="AH19" i="49"/>
  <c r="AJ10" i="49"/>
  <c r="AH33" i="49"/>
  <c r="AJ22" i="49"/>
  <c r="AG22" i="49"/>
  <c r="AD21" i="49"/>
  <c r="AA21" i="49"/>
  <c r="AH12" i="49"/>
  <c r="AE22" i="49"/>
  <c r="AG31" i="49"/>
  <c r="AD15" i="49"/>
  <c r="AA15" i="49"/>
  <c r="AH10" i="49"/>
  <c r="AE31" i="49"/>
  <c r="AA29" i="49"/>
  <c r="AI29" i="49"/>
  <c r="AD29" i="49"/>
  <c r="AL29" i="49" s="1"/>
  <c r="AK15" i="49"/>
  <c r="AJ17" i="49"/>
  <c r="AJ20" i="49"/>
  <c r="AH28" i="49"/>
  <c r="AA12" i="49"/>
  <c r="AD12" i="49"/>
  <c r="AL12" i="49" s="1"/>
  <c r="AE28" i="49"/>
  <c r="AJ15" i="49"/>
  <c r="AH21" i="49"/>
  <c r="AE11" i="49"/>
  <c r="AA10" i="49"/>
  <c r="AI10" i="49"/>
  <c r="AD10" i="49"/>
  <c r="AL10" i="49" s="1"/>
  <c r="AD8" i="49"/>
  <c r="AL8" i="49" s="1"/>
  <c r="AH17" i="49"/>
  <c r="AD9" i="49"/>
  <c r="AL9" i="49" s="1"/>
  <c r="AJ16" i="49"/>
  <c r="AH20" i="49"/>
  <c r="C71" i="49"/>
  <c r="C70" i="49"/>
  <c r="E21" i="49"/>
  <c r="E22" i="49" s="1"/>
  <c r="E23" i="49" s="1"/>
  <c r="C69" i="49"/>
  <c r="AG9" i="49"/>
  <c r="AK30" i="49"/>
  <c r="AH14" i="49"/>
  <c r="AH15" i="49"/>
  <c r="AK14" i="49"/>
  <c r="AJ30" i="49"/>
  <c r="AI12" i="49"/>
  <c r="AE18" i="49"/>
  <c r="AK8" i="49"/>
  <c r="AI28" i="49"/>
  <c r="AF30" i="49"/>
  <c r="AH8" i="49"/>
  <c r="AJ23" i="49"/>
  <c r="AF8" i="49"/>
  <c r="AD28" i="49"/>
  <c r="AL28" i="49" s="1"/>
  <c r="AE8" i="49"/>
  <c r="AG16" i="49"/>
  <c r="AG20" i="49"/>
  <c r="AI13" i="49"/>
  <c r="AG14" i="49"/>
  <c r="C70" i="48"/>
  <c r="AK33" i="48"/>
  <c r="AJ27" i="48"/>
  <c r="AH21" i="48"/>
  <c r="AJ20" i="48"/>
  <c r="AA14" i="48"/>
  <c r="AK13" i="48"/>
  <c r="AK14" i="48"/>
  <c r="AE20" i="48"/>
  <c r="AG21" i="48"/>
  <c r="AH24" i="48"/>
  <c r="AG30" i="48"/>
  <c r="AF22" i="48"/>
  <c r="AE27" i="48"/>
  <c r="AJ11" i="48"/>
  <c r="AF11" i="48"/>
  <c r="AD28" i="48"/>
  <c r="AL28" i="48" s="1"/>
  <c r="AA28" i="48"/>
  <c r="AI10" i="48"/>
  <c r="AH10" i="48"/>
  <c r="AK32" i="48"/>
  <c r="AJ26" i="48"/>
  <c r="AD15" i="48"/>
  <c r="AD10" i="48"/>
  <c r="AL10" i="48" s="1"/>
  <c r="AK10" i="48"/>
  <c r="AA16" i="48"/>
  <c r="AD16" i="48"/>
  <c r="AE12" i="48"/>
  <c r="AF33" i="48"/>
  <c r="AD26" i="48"/>
  <c r="AL26" i="48" s="1"/>
  <c r="AA26" i="48"/>
  <c r="AF17" i="48"/>
  <c r="AF16" i="48"/>
  <c r="AK29" i="48"/>
  <c r="AG25" i="48"/>
  <c r="AF31" i="48"/>
  <c r="AH9" i="48"/>
  <c r="AE24" i="48"/>
  <c r="AJ8" i="48"/>
  <c r="AF8" i="48"/>
  <c r="AD25" i="48"/>
  <c r="AL25" i="48" s="1"/>
  <c r="AA25" i="48"/>
  <c r="AG15" i="48"/>
  <c r="AF14" i="48"/>
  <c r="AE14" i="48"/>
  <c r="AG20" i="48"/>
  <c r="AE15" i="48"/>
  <c r="AD32" i="48"/>
  <c r="AL32" i="48" s="1"/>
  <c r="AA32" i="48"/>
  <c r="AD27" i="48"/>
  <c r="AL27" i="48" s="1"/>
  <c r="AA27" i="48"/>
  <c r="AK31" i="48"/>
  <c r="AF32" i="48"/>
  <c r="AE25" i="48"/>
  <c r="AF15" i="48"/>
  <c r="AD9" i="48"/>
  <c r="AL9" i="48" s="1"/>
  <c r="AF20" i="48"/>
  <c r="AG26" i="48"/>
  <c r="AA20" i="48"/>
  <c r="AG16" i="48"/>
  <c r="AD20" i="48"/>
  <c r="AH27" i="48"/>
  <c r="AG24" i="48"/>
  <c r="AF30" i="48"/>
  <c r="AF9" i="48"/>
  <c r="AE23" i="48"/>
  <c r="AJ7" i="48"/>
  <c r="AF7" i="48"/>
  <c r="AD24" i="48"/>
  <c r="AL24" i="48" s="1"/>
  <c r="AA24" i="48"/>
  <c r="AH8" i="48"/>
  <c r="AG14" i="48"/>
  <c r="AF13" i="48"/>
  <c r="AJ22" i="48"/>
  <c r="AE13" i="48"/>
  <c r="AE7" i="48"/>
  <c r="AH16" i="48"/>
  <c r="AK15" i="48"/>
  <c r="AI25" i="48"/>
  <c r="AE21" i="48"/>
  <c r="AJ10" i="48"/>
  <c r="AF10" i="48"/>
  <c r="AH30" i="48"/>
  <c r="AG23" i="48"/>
  <c r="AF29" i="48"/>
  <c r="AE22" i="48"/>
  <c r="AD23" i="48"/>
  <c r="AL23" i="48" s="1"/>
  <c r="AA23" i="48"/>
  <c r="AG13" i="48"/>
  <c r="AJ33" i="48"/>
  <c r="AG31" i="48"/>
  <c r="AG33" i="48"/>
  <c r="AG27" i="48"/>
  <c r="D95" i="48"/>
  <c r="E24" i="48"/>
  <c r="E25" i="48" s="1"/>
  <c r="E26" i="48" s="1"/>
  <c r="E27" i="48" s="1"/>
  <c r="C72" i="48" s="1"/>
  <c r="D86" i="48" s="1"/>
  <c r="AJ16" i="48"/>
  <c r="AK11" i="48"/>
  <c r="AI33" i="48"/>
  <c r="AD21" i="48"/>
  <c r="AA21" i="48"/>
  <c r="AJ21" i="48"/>
  <c r="AJ17" i="48"/>
  <c r="AH17" i="48"/>
  <c r="AE17" i="48"/>
  <c r="AH31" i="48"/>
  <c r="AI32" i="48"/>
  <c r="AK16" i="48"/>
  <c r="AG32" i="48"/>
  <c r="AH29" i="48"/>
  <c r="AK20" i="48"/>
  <c r="AH25" i="48"/>
  <c r="AF25" i="48"/>
  <c r="AD22" i="48"/>
  <c r="AL22" i="48" s="1"/>
  <c r="AA22" i="48"/>
  <c r="AD33" i="48"/>
  <c r="AL33" i="48" s="1"/>
  <c r="AA33" i="48"/>
  <c r="AI30" i="48"/>
  <c r="AE30" i="48"/>
  <c r="AD31" i="48"/>
  <c r="AL31" i="48" s="1"/>
  <c r="AA31" i="48"/>
  <c r="AH15" i="48"/>
  <c r="AE29" i="48"/>
  <c r="AD30" i="48"/>
  <c r="AL30" i="48" s="1"/>
  <c r="AA30" i="48"/>
  <c r="AH14" i="48"/>
  <c r="AI22" i="48"/>
  <c r="AG22" i="48"/>
  <c r="AD17" i="48"/>
  <c r="AH22" i="48"/>
  <c r="AL18" i="48"/>
  <c r="AK21" i="48"/>
  <c r="AG17" i="48"/>
  <c r="AD13" i="48"/>
  <c r="AL13" i="48" s="1"/>
  <c r="AE28" i="48"/>
  <c r="AJ12" i="48"/>
  <c r="AF12" i="48"/>
  <c r="AD29" i="48"/>
  <c r="AL29" i="48" s="1"/>
  <c r="AA29" i="48"/>
  <c r="Z14" i="47"/>
  <c r="S21" i="47"/>
  <c r="Z15" i="47"/>
  <c r="Z20" i="47"/>
  <c r="Z12" i="47"/>
  <c r="Z18" i="47"/>
  <c r="Z11" i="47"/>
  <c r="Z17" i="47"/>
  <c r="Z10" i="47"/>
  <c r="Z13" i="47"/>
  <c r="Z16" i="47"/>
  <c r="Z19" i="47"/>
  <c r="W18" i="47"/>
  <c r="S20" i="47"/>
  <c r="S19" i="47"/>
  <c r="T19" i="47"/>
  <c r="U19" i="47"/>
  <c r="V19" i="47"/>
  <c r="W19" i="47"/>
  <c r="X19" i="47"/>
  <c r="Y19" i="47"/>
  <c r="Z21" i="47"/>
  <c r="U21" i="47"/>
  <c r="X21" i="47"/>
  <c r="T21" i="47"/>
  <c r="W21" i="47"/>
  <c r="V21" i="47"/>
  <c r="W20" i="47"/>
  <c r="T20" i="47"/>
  <c r="U20" i="47"/>
  <c r="V20" i="47"/>
  <c r="X20" i="47"/>
  <c r="Y20" i="47"/>
  <c r="S18" i="47"/>
  <c r="T18" i="47"/>
  <c r="H83" i="47"/>
  <c r="U18" i="47"/>
  <c r="X18" i="47"/>
  <c r="S17" i="47"/>
  <c r="T17" i="47"/>
  <c r="V17" i="47"/>
  <c r="W17" i="47"/>
  <c r="S16" i="47"/>
  <c r="E77" i="47"/>
  <c r="E78" i="47"/>
  <c r="E79" i="47"/>
  <c r="E3" i="2"/>
  <c r="AE33" i="47"/>
  <c r="AJ25" i="47"/>
  <c r="AJ23" i="47"/>
  <c r="AG33" i="47"/>
  <c r="AH33" i="47"/>
  <c r="AF23" i="47"/>
  <c r="S7" i="47"/>
  <c r="S8" i="47"/>
  <c r="S9" i="47"/>
  <c r="S10" i="47"/>
  <c r="S11" i="47"/>
  <c r="S12" i="47"/>
  <c r="S13" i="47"/>
  <c r="S14" i="47"/>
  <c r="S15" i="47"/>
  <c r="T16" i="47"/>
  <c r="U17" i="47"/>
  <c r="V18" i="47"/>
  <c r="Y21" i="47"/>
  <c r="Z22" i="47"/>
  <c r="Z23" i="47"/>
  <c r="Z24" i="47"/>
  <c r="Z25" i="47"/>
  <c r="Z26" i="47"/>
  <c r="Z27" i="47"/>
  <c r="Z28" i="47"/>
  <c r="Z29" i="47"/>
  <c r="Z30" i="47"/>
  <c r="Z31" i="47"/>
  <c r="Z32" i="47"/>
  <c r="Z33" i="47"/>
  <c r="AK33" i="47" s="1"/>
  <c r="T11" i="47"/>
  <c r="T12" i="47"/>
  <c r="T13" i="47"/>
  <c r="T14" i="47"/>
  <c r="T15" i="47"/>
  <c r="U16" i="47"/>
  <c r="B81" i="47"/>
  <c r="T9" i="47"/>
  <c r="AE9" i="47" s="1"/>
  <c r="U8" i="47"/>
  <c r="U12" i="47"/>
  <c r="U14" i="47"/>
  <c r="U15" i="47"/>
  <c r="V16" i="47"/>
  <c r="E81" i="47"/>
  <c r="T7" i="47"/>
  <c r="T10" i="47"/>
  <c r="U10" i="47"/>
  <c r="U13" i="47"/>
  <c r="V7" i="47"/>
  <c r="V12" i="47"/>
  <c r="V14" i="47"/>
  <c r="V15" i="47"/>
  <c r="W16" i="47"/>
  <c r="X17" i="47"/>
  <c r="Y18" i="47"/>
  <c r="H81" i="47"/>
  <c r="W8" i="47"/>
  <c r="W10" i="47"/>
  <c r="W13" i="47"/>
  <c r="X16" i="47"/>
  <c r="Y17" i="47"/>
  <c r="B82" i="47"/>
  <c r="T8" i="47"/>
  <c r="U7" i="47"/>
  <c r="U11" i="47"/>
  <c r="V9" i="47"/>
  <c r="V10" i="47"/>
  <c r="V13" i="47"/>
  <c r="W12" i="47"/>
  <c r="X7" i="47"/>
  <c r="X8" i="47"/>
  <c r="X9" i="47"/>
  <c r="X10" i="47"/>
  <c r="X11" i="47"/>
  <c r="X12" i="47"/>
  <c r="X13" i="47"/>
  <c r="X14" i="47"/>
  <c r="X15" i="47"/>
  <c r="Y16" i="47"/>
  <c r="S22" i="47"/>
  <c r="AE22" i="47" s="1"/>
  <c r="S23" i="47"/>
  <c r="AE23" i="47" s="1"/>
  <c r="S24" i="47"/>
  <c r="AJ24" i="47" s="1"/>
  <c r="S25" i="47"/>
  <c r="AE25" i="47" s="1"/>
  <c r="S26" i="47"/>
  <c r="AG26" i="47" s="1"/>
  <c r="S27" i="47"/>
  <c r="AJ27" i="47" s="1"/>
  <c r="S28" i="47"/>
  <c r="AF28" i="47" s="1"/>
  <c r="S29" i="47"/>
  <c r="AG29" i="47" s="1"/>
  <c r="S30" i="47"/>
  <c r="AH30" i="47" s="1"/>
  <c r="S31" i="47"/>
  <c r="AJ31" i="47" s="1"/>
  <c r="S32" i="47"/>
  <c r="AH32" i="47" s="1"/>
  <c r="S33" i="47"/>
  <c r="AJ33" i="47" s="1"/>
  <c r="E82" i="47"/>
  <c r="U9" i="47"/>
  <c r="V8" i="47"/>
  <c r="V11" i="47"/>
  <c r="W7" i="47"/>
  <c r="W9" i="47"/>
  <c r="W11" i="47"/>
  <c r="W14" i="47"/>
  <c r="W15" i="47"/>
  <c r="Y7" i="47"/>
  <c r="Y8" i="47"/>
  <c r="AJ8" i="47" s="1"/>
  <c r="Y9" i="47"/>
  <c r="Y10" i="47"/>
  <c r="Y11" i="47"/>
  <c r="Y12" i="47"/>
  <c r="Y13" i="47"/>
  <c r="Y14" i="47"/>
  <c r="Y15" i="47"/>
  <c r="H82" i="47"/>
  <c r="Z7" i="47"/>
  <c r="B83" i="47"/>
  <c r="E7" i="47"/>
  <c r="E8" i="47" s="1"/>
  <c r="E9" i="47" s="1"/>
  <c r="E10" i="47" s="1"/>
  <c r="E11" i="47" s="1"/>
  <c r="E12" i="47" s="1"/>
  <c r="E13" i="47" s="1"/>
  <c r="E14" i="47" s="1"/>
  <c r="E15" i="47" s="1"/>
  <c r="E16" i="47" s="1"/>
  <c r="E17" i="47" s="1"/>
  <c r="E18" i="47" s="1"/>
  <c r="E19" i="47" s="1"/>
  <c r="E20" i="47" s="1"/>
  <c r="E83" i="47"/>
  <c r="C99" i="46"/>
  <c r="C98" i="46"/>
  <c r="B79" i="46"/>
  <c r="B78" i="46"/>
  <c r="B77" i="46"/>
  <c r="X33" i="46"/>
  <c r="P33" i="46"/>
  <c r="G33" i="46"/>
  <c r="R33" i="46" s="1"/>
  <c r="AC33" i="46" s="1"/>
  <c r="D33" i="46"/>
  <c r="R32" i="46"/>
  <c r="AC32" i="46" s="1"/>
  <c r="P32" i="46"/>
  <c r="G32" i="46"/>
  <c r="P31" i="46"/>
  <c r="Z31" i="46" s="1"/>
  <c r="G31" i="46"/>
  <c r="R31" i="46" s="1"/>
  <c r="AC31" i="46" s="1"/>
  <c r="D31" i="46"/>
  <c r="Z30" i="46"/>
  <c r="W30" i="46"/>
  <c r="P30" i="46"/>
  <c r="G30" i="46"/>
  <c r="R30" i="46" s="1"/>
  <c r="AC30" i="46" s="1"/>
  <c r="D30" i="46"/>
  <c r="R29" i="46"/>
  <c r="AC29" i="46" s="1"/>
  <c r="P29" i="46"/>
  <c r="G29" i="46"/>
  <c r="D29" i="46"/>
  <c r="P28" i="46"/>
  <c r="X28" i="46" s="1"/>
  <c r="G28" i="46"/>
  <c r="R28" i="46" s="1"/>
  <c r="AC28" i="46" s="1"/>
  <c r="D28" i="46"/>
  <c r="P27" i="46"/>
  <c r="W27" i="46" s="1"/>
  <c r="G27" i="46"/>
  <c r="R27" i="46" s="1"/>
  <c r="AC27" i="46" s="1"/>
  <c r="D27" i="46"/>
  <c r="R26" i="46"/>
  <c r="AC26" i="46" s="1"/>
  <c r="P26" i="46"/>
  <c r="G26" i="46"/>
  <c r="D26" i="46"/>
  <c r="P25" i="46"/>
  <c r="Z25" i="46" s="1"/>
  <c r="G25" i="46"/>
  <c r="R25" i="46" s="1"/>
  <c r="AC25" i="46" s="1"/>
  <c r="D25" i="46"/>
  <c r="P24" i="46"/>
  <c r="Z24" i="46" s="1"/>
  <c r="G24" i="46"/>
  <c r="R24" i="46" s="1"/>
  <c r="AC24" i="46" s="1"/>
  <c r="D24" i="46"/>
  <c r="R23" i="46"/>
  <c r="AC23" i="46" s="1"/>
  <c r="P23" i="46"/>
  <c r="G23" i="46"/>
  <c r="D23" i="46"/>
  <c r="P22" i="46"/>
  <c r="X22" i="46" s="1"/>
  <c r="G22" i="46"/>
  <c r="R22" i="46" s="1"/>
  <c r="AC22" i="46" s="1"/>
  <c r="D22" i="46"/>
  <c r="P21" i="46"/>
  <c r="Z21" i="46" s="1"/>
  <c r="G21" i="46"/>
  <c r="R21" i="46" s="1"/>
  <c r="AC21" i="46" s="1"/>
  <c r="D21" i="46"/>
  <c r="AC20" i="46"/>
  <c r="P20" i="46"/>
  <c r="G20" i="46"/>
  <c r="R20" i="46" s="1"/>
  <c r="D20" i="46"/>
  <c r="P19" i="46"/>
  <c r="G19" i="46"/>
  <c r="R19" i="46" s="1"/>
  <c r="AC19" i="46" s="1"/>
  <c r="D19" i="46"/>
  <c r="P18" i="46"/>
  <c r="Y18" i="46" s="1"/>
  <c r="G18" i="46"/>
  <c r="R18" i="46" s="1"/>
  <c r="AC18" i="46" s="1"/>
  <c r="D18" i="46"/>
  <c r="P17" i="46"/>
  <c r="G17" i="46"/>
  <c r="R17" i="46" s="1"/>
  <c r="AC17" i="46" s="1"/>
  <c r="D17" i="46"/>
  <c r="P16" i="46"/>
  <c r="G16" i="46"/>
  <c r="R16" i="46" s="1"/>
  <c r="AC16" i="46" s="1"/>
  <c r="D16" i="46"/>
  <c r="P15" i="46"/>
  <c r="X15" i="46" s="1"/>
  <c r="G15" i="46"/>
  <c r="R15" i="46" s="1"/>
  <c r="AC15" i="46" s="1"/>
  <c r="D15" i="46"/>
  <c r="P14" i="46"/>
  <c r="G14" i="46"/>
  <c r="R14" i="46" s="1"/>
  <c r="AC14" i="46" s="1"/>
  <c r="D14" i="46"/>
  <c r="X13" i="46"/>
  <c r="V13" i="46"/>
  <c r="P13" i="46"/>
  <c r="G13" i="46"/>
  <c r="R13" i="46" s="1"/>
  <c r="AC13" i="46" s="1"/>
  <c r="D13" i="46"/>
  <c r="P12" i="46"/>
  <c r="G12" i="46"/>
  <c r="R12" i="46" s="1"/>
  <c r="AC12" i="46" s="1"/>
  <c r="D12" i="46"/>
  <c r="P11" i="46"/>
  <c r="G11" i="46"/>
  <c r="R11" i="46" s="1"/>
  <c r="AC11" i="46" s="1"/>
  <c r="D11" i="46"/>
  <c r="P10" i="46"/>
  <c r="G10" i="46"/>
  <c r="R10" i="46" s="1"/>
  <c r="AC10" i="46" s="1"/>
  <c r="D10" i="46"/>
  <c r="P9" i="46"/>
  <c r="X9" i="46" s="1"/>
  <c r="G9" i="46"/>
  <c r="R9" i="46" s="1"/>
  <c r="AC9" i="46" s="1"/>
  <c r="D9" i="46"/>
  <c r="AC8" i="46"/>
  <c r="P8" i="46"/>
  <c r="X8" i="46" s="1"/>
  <c r="G8" i="46"/>
  <c r="R8" i="46" s="1"/>
  <c r="D8" i="46"/>
  <c r="P7" i="46"/>
  <c r="X7" i="46" s="1"/>
  <c r="G7" i="46"/>
  <c r="R7" i="46" s="1"/>
  <c r="AC7" i="46" s="1"/>
  <c r="D7" i="46"/>
  <c r="E7" i="46" s="1"/>
  <c r="AH4" i="46"/>
  <c r="AG4" i="46"/>
  <c r="Z4" i="46"/>
  <c r="AK4" i="46" s="1"/>
  <c r="Y4" i="46"/>
  <c r="AJ4" i="46" s="1"/>
  <c r="X4" i="46"/>
  <c r="AI4" i="46" s="1"/>
  <c r="W4" i="46"/>
  <c r="V4" i="46"/>
  <c r="U4" i="46"/>
  <c r="AF4" i="46" s="1"/>
  <c r="T4" i="46"/>
  <c r="AE4" i="46" s="1"/>
  <c r="S4" i="46"/>
  <c r="AD4" i="46" s="1"/>
  <c r="R4" i="46"/>
  <c r="AC4" i="46" s="1"/>
  <c r="B4" i="46"/>
  <c r="D2" i="46"/>
  <c r="E46" i="2"/>
  <c r="AG25" i="47" l="1"/>
  <c r="AF33" i="47"/>
  <c r="AL18" i="50"/>
  <c r="Z22" i="46"/>
  <c r="AF8" i="47"/>
  <c r="AL19" i="51"/>
  <c r="AL20" i="53"/>
  <c r="AA66" i="49"/>
  <c r="AK32" i="47"/>
  <c r="AH9" i="47"/>
  <c r="AJ32" i="47"/>
  <c r="AL16" i="53"/>
  <c r="S31" i="46"/>
  <c r="AA31" i="46" s="1"/>
  <c r="AI26" i="47"/>
  <c r="AG31" i="47"/>
  <c r="AI8" i="47"/>
  <c r="AF32" i="47"/>
  <c r="W7" i="46"/>
  <c r="X31" i="46"/>
  <c r="AG8" i="47"/>
  <c r="AK25" i="47"/>
  <c r="AE28" i="47"/>
  <c r="AI28" i="47"/>
  <c r="AL18" i="53"/>
  <c r="T7" i="46"/>
  <c r="W31" i="46"/>
  <c r="AH8" i="47"/>
  <c r="AE26" i="47"/>
  <c r="AI25" i="47"/>
  <c r="AL17" i="48"/>
  <c r="AL19" i="53"/>
  <c r="AL15" i="53"/>
  <c r="AL18" i="49"/>
  <c r="AG22" i="47"/>
  <c r="AH22" i="47"/>
  <c r="AJ9" i="47"/>
  <c r="AL14" i="53"/>
  <c r="D95" i="53"/>
  <c r="E24" i="53"/>
  <c r="E25" i="53" s="1"/>
  <c r="E26" i="53" s="1"/>
  <c r="E27" i="53" s="1"/>
  <c r="AL16" i="54"/>
  <c r="E28" i="54"/>
  <c r="E29" i="54" s="1"/>
  <c r="E30" i="54" s="1"/>
  <c r="C73" i="54" s="1"/>
  <c r="C72" i="54"/>
  <c r="AL17" i="54"/>
  <c r="AL21" i="54"/>
  <c r="AL15" i="54"/>
  <c r="AL20" i="54"/>
  <c r="AL18" i="54"/>
  <c r="S25" i="46"/>
  <c r="AA25" i="46" s="1"/>
  <c r="W25" i="46"/>
  <c r="S28" i="46"/>
  <c r="AA28" i="46" s="1"/>
  <c r="W28" i="46"/>
  <c r="S22" i="46"/>
  <c r="AA22" i="46" s="1"/>
  <c r="W24" i="46"/>
  <c r="W22" i="46"/>
  <c r="Z28" i="46"/>
  <c r="T9" i="46"/>
  <c r="W9" i="46"/>
  <c r="X25" i="46"/>
  <c r="Z27" i="46"/>
  <c r="V9" i="46"/>
  <c r="Z18" i="46"/>
  <c r="AL21" i="50"/>
  <c r="E28" i="50"/>
  <c r="E29" i="50" s="1"/>
  <c r="E30" i="50" s="1"/>
  <c r="C73" i="50"/>
  <c r="C72" i="50"/>
  <c r="D95" i="51"/>
  <c r="E24" i="51"/>
  <c r="E25" i="51" s="1"/>
  <c r="E26" i="51" s="1"/>
  <c r="E27" i="51" s="1"/>
  <c r="AL17" i="51"/>
  <c r="AL15" i="51"/>
  <c r="AL20" i="50"/>
  <c r="AL20" i="51"/>
  <c r="AL16" i="51"/>
  <c r="AL17" i="49"/>
  <c r="AL20" i="49"/>
  <c r="D95" i="49"/>
  <c r="E24" i="49"/>
  <c r="E25" i="49" s="1"/>
  <c r="E26" i="49" s="1"/>
  <c r="E27" i="49" s="1"/>
  <c r="AL21" i="49"/>
  <c r="AL16" i="49"/>
  <c r="AL15" i="49"/>
  <c r="AL19" i="49"/>
  <c r="AL20" i="48"/>
  <c r="AL15" i="48"/>
  <c r="AL21" i="48"/>
  <c r="E28" i="48"/>
  <c r="E29" i="48" s="1"/>
  <c r="E30" i="48" s="1"/>
  <c r="AL16" i="48"/>
  <c r="AI10" i="47"/>
  <c r="AD20" i="47"/>
  <c r="AF11" i="47"/>
  <c r="AI13" i="47"/>
  <c r="AG19" i="47"/>
  <c r="AJ14" i="47"/>
  <c r="AJ13" i="47"/>
  <c r="AK13" i="47"/>
  <c r="AJ12" i="47"/>
  <c r="AG12" i="47"/>
  <c r="AK12" i="47"/>
  <c r="AH12" i="47"/>
  <c r="AK11" i="47"/>
  <c r="AJ11" i="47"/>
  <c r="AI11" i="47"/>
  <c r="AE10" i="47"/>
  <c r="AJ10" i="47"/>
  <c r="AF19" i="47"/>
  <c r="AA18" i="47"/>
  <c r="AA21" i="47"/>
  <c r="AJ19" i="47"/>
  <c r="AD19" i="47"/>
  <c r="AK19" i="47"/>
  <c r="AD18" i="47"/>
  <c r="AA20" i="47"/>
  <c r="AJ21" i="47"/>
  <c r="AG20" i="47"/>
  <c r="AH19" i="47"/>
  <c r="AA19" i="47"/>
  <c r="AE19" i="47"/>
  <c r="AK18" i="47"/>
  <c r="AA17" i="47"/>
  <c r="AH15" i="47"/>
  <c r="AJ20" i="47"/>
  <c r="AH20" i="47"/>
  <c r="AF20" i="47"/>
  <c r="AE20" i="47"/>
  <c r="AK20" i="47"/>
  <c r="AG18" i="47"/>
  <c r="AE18" i="47"/>
  <c r="AE17" i="47"/>
  <c r="AK17" i="47"/>
  <c r="AH16" i="47"/>
  <c r="AE16" i="47"/>
  <c r="AF16" i="47"/>
  <c r="AK16" i="47"/>
  <c r="AA16" i="47"/>
  <c r="AJ16" i="47"/>
  <c r="AF15" i="47"/>
  <c r="AI14" i="47"/>
  <c r="AH14" i="47"/>
  <c r="W12" i="46"/>
  <c r="X14" i="46"/>
  <c r="U12" i="46"/>
  <c r="V12" i="46"/>
  <c r="X16" i="46"/>
  <c r="S19" i="46"/>
  <c r="Y17" i="46"/>
  <c r="T15" i="46"/>
  <c r="S12" i="46"/>
  <c r="T12" i="46"/>
  <c r="X12" i="46"/>
  <c r="S15" i="46"/>
  <c r="V10" i="46"/>
  <c r="U15" i="46"/>
  <c r="X11" i="46"/>
  <c r="T13" i="46"/>
  <c r="V15" i="46"/>
  <c r="W18" i="46"/>
  <c r="Y21" i="46"/>
  <c r="T17" i="46"/>
  <c r="X18" i="46"/>
  <c r="S17" i="46"/>
  <c r="Z17" i="46"/>
  <c r="U17" i="46"/>
  <c r="Y16" i="46"/>
  <c r="Z19" i="46"/>
  <c r="Y19" i="46"/>
  <c r="V21" i="46"/>
  <c r="U19" i="46"/>
  <c r="W19" i="46"/>
  <c r="T19" i="46"/>
  <c r="X19" i="46"/>
  <c r="U18" i="46"/>
  <c r="S18" i="46"/>
  <c r="T18" i="46"/>
  <c r="V18" i="46"/>
  <c r="V17" i="46"/>
  <c r="W17" i="46"/>
  <c r="X17" i="46"/>
  <c r="U16" i="46"/>
  <c r="W16" i="46"/>
  <c r="S14" i="46"/>
  <c r="U14" i="46"/>
  <c r="V14" i="46"/>
  <c r="W14" i="46"/>
  <c r="S13" i="46"/>
  <c r="V11" i="46"/>
  <c r="T10" i="46"/>
  <c r="H2" i="46"/>
  <c r="AD29" i="47"/>
  <c r="AL29" i="47" s="1"/>
  <c r="AA29" i="47"/>
  <c r="AF7" i="47"/>
  <c r="AF14" i="47"/>
  <c r="AE29" i="47"/>
  <c r="AD21" i="47"/>
  <c r="AJ15" i="47"/>
  <c r="AH11" i="47"/>
  <c r="AD28" i="47"/>
  <c r="AL28" i="47" s="1"/>
  <c r="AA28" i="47"/>
  <c r="AI12" i="47"/>
  <c r="AE8" i="47"/>
  <c r="AG15" i="47"/>
  <c r="AF12" i="47"/>
  <c r="AK31" i="47"/>
  <c r="AF17" i="47"/>
  <c r="AG28" i="47"/>
  <c r="AG23" i="47"/>
  <c r="AF22" i="47"/>
  <c r="AI27" i="47"/>
  <c r="AE31" i="47"/>
  <c r="AK21" i="47"/>
  <c r="AF24" i="47"/>
  <c r="AI31" i="47"/>
  <c r="AH7" i="47"/>
  <c r="AD26" i="47"/>
  <c r="AL26" i="47" s="1"/>
  <c r="AA26" i="47"/>
  <c r="AJ17" i="47"/>
  <c r="AG17" i="47"/>
  <c r="AK29" i="47"/>
  <c r="AD15" i="47"/>
  <c r="AA15" i="47"/>
  <c r="AK15" i="47"/>
  <c r="AI24" i="47"/>
  <c r="AG30" i="47"/>
  <c r="AF21" i="47"/>
  <c r="AG11" i="47"/>
  <c r="AD25" i="47"/>
  <c r="AL25" i="47" s="1"/>
  <c r="AA25" i="47"/>
  <c r="AI9" i="47"/>
  <c r="AG7" i="47"/>
  <c r="AK28" i="47"/>
  <c r="AD14" i="47"/>
  <c r="AA14" i="47"/>
  <c r="AF25" i="47"/>
  <c r="AG27" i="47"/>
  <c r="AF31" i="47"/>
  <c r="AE27" i="47"/>
  <c r="AD7" i="47"/>
  <c r="AL7" i="47" s="1"/>
  <c r="AA7" i="47"/>
  <c r="AE30" i="47"/>
  <c r="AD24" i="47"/>
  <c r="AL24" i="47" s="1"/>
  <c r="AA24" i="47"/>
  <c r="AF13" i="47"/>
  <c r="AK27" i="47"/>
  <c r="AD13" i="47"/>
  <c r="AL13" i="47" s="1"/>
  <c r="AA13" i="47"/>
  <c r="AI29" i="47"/>
  <c r="AK9" i="47"/>
  <c r="AD17" i="47"/>
  <c r="AG24" i="47"/>
  <c r="AF9" i="47"/>
  <c r="AD23" i="47"/>
  <c r="AL23" i="47" s="1"/>
  <c r="AA23" i="47"/>
  <c r="AI7" i="47"/>
  <c r="AH10" i="47"/>
  <c r="AF10" i="47"/>
  <c r="AE15" i="47"/>
  <c r="AK26" i="47"/>
  <c r="AD12" i="47"/>
  <c r="AL12" i="47" s="1"/>
  <c r="AA12" i="47"/>
  <c r="AJ29" i="47"/>
  <c r="AG21" i="47"/>
  <c r="AI23" i="47"/>
  <c r="AH28" i="47"/>
  <c r="AE24" i="47"/>
  <c r="AD30" i="47"/>
  <c r="AL30" i="47" s="1"/>
  <c r="AA30" i="47"/>
  <c r="AK30" i="47"/>
  <c r="AH13" i="47"/>
  <c r="AE14" i="47"/>
  <c r="AH29" i="47"/>
  <c r="AH27" i="47"/>
  <c r="AD33" i="47"/>
  <c r="AL33" i="47" s="1"/>
  <c r="AA33" i="47"/>
  <c r="AG13" i="47"/>
  <c r="AE7" i="47"/>
  <c r="AE13" i="47"/>
  <c r="AK24" i="47"/>
  <c r="AD10" i="47"/>
  <c r="AL10" i="47" s="1"/>
  <c r="AA10" i="47"/>
  <c r="AH26" i="47"/>
  <c r="AF29" i="47"/>
  <c r="AH17" i="47"/>
  <c r="AH24" i="47"/>
  <c r="AK14" i="47"/>
  <c r="AK10" i="47"/>
  <c r="AE21" i="47"/>
  <c r="AG14" i="47"/>
  <c r="E21" i="47"/>
  <c r="E22" i="47" s="1"/>
  <c r="E23" i="47" s="1"/>
  <c r="AJ7" i="47"/>
  <c r="AD32" i="47"/>
  <c r="AL32" i="47" s="1"/>
  <c r="AA32" i="47"/>
  <c r="AG10" i="47"/>
  <c r="AE12" i="47"/>
  <c r="AK23" i="47"/>
  <c r="AD9" i="47"/>
  <c r="AL9" i="47" s="1"/>
  <c r="AA9" i="47"/>
  <c r="AH23" i="47"/>
  <c r="AI33" i="47"/>
  <c r="AH21" i="47"/>
  <c r="AF30" i="47"/>
  <c r="AJ26" i="47"/>
  <c r="AD16" i="47"/>
  <c r="AD27" i="47"/>
  <c r="AL27" i="47" s="1"/>
  <c r="AA27" i="47"/>
  <c r="AD22" i="47"/>
  <c r="AL22" i="47" s="1"/>
  <c r="AA22" i="47"/>
  <c r="AD11" i="47"/>
  <c r="AL11" i="47" s="1"/>
  <c r="AA11" i="47"/>
  <c r="AJ30" i="47"/>
  <c r="AI22" i="47"/>
  <c r="AK7" i="47"/>
  <c r="AD31" i="47"/>
  <c r="AL31" i="47" s="1"/>
  <c r="AA31" i="47"/>
  <c r="AG9" i="47"/>
  <c r="AH18" i="47"/>
  <c r="AJ18" i="47"/>
  <c r="AG16" i="47"/>
  <c r="AE11" i="47"/>
  <c r="AK22" i="47"/>
  <c r="AD8" i="47"/>
  <c r="AL8" i="47" s="1"/>
  <c r="AA8" i="47"/>
  <c r="AG32" i="47"/>
  <c r="AF26" i="47"/>
  <c r="AE32" i="47"/>
  <c r="AF18" i="47"/>
  <c r="AK8" i="47"/>
  <c r="AJ28" i="47"/>
  <c r="AI32" i="47"/>
  <c r="AH25" i="47"/>
  <c r="AI30" i="47"/>
  <c r="AF27" i="47"/>
  <c r="E78" i="46"/>
  <c r="E8" i="46"/>
  <c r="E9" i="46" s="1"/>
  <c r="E10" i="46" s="1"/>
  <c r="E11" i="46" s="1"/>
  <c r="E12" i="46" s="1"/>
  <c r="E13" i="46" s="1"/>
  <c r="E14" i="46" s="1"/>
  <c r="E15" i="46" s="1"/>
  <c r="E16" i="46" s="1"/>
  <c r="E17" i="46" s="1"/>
  <c r="E18" i="46" s="1"/>
  <c r="E19" i="46" s="1"/>
  <c r="E20" i="46" s="1"/>
  <c r="D3" i="2"/>
  <c r="U7" i="46"/>
  <c r="Z10" i="46"/>
  <c r="Y10" i="46"/>
  <c r="V7" i="46"/>
  <c r="S10" i="46"/>
  <c r="Y15" i="46"/>
  <c r="Z15" i="46"/>
  <c r="V23" i="46"/>
  <c r="T23" i="46"/>
  <c r="U23" i="46"/>
  <c r="Y23" i="46"/>
  <c r="V26" i="46"/>
  <c r="T26" i="46"/>
  <c r="U26" i="46"/>
  <c r="Y26" i="46"/>
  <c r="V29" i="46"/>
  <c r="U29" i="46"/>
  <c r="T29" i="46"/>
  <c r="Y29" i="46"/>
  <c r="AJ29" i="46" s="1"/>
  <c r="V32" i="46"/>
  <c r="T32" i="46"/>
  <c r="U32" i="46"/>
  <c r="Y32" i="46"/>
  <c r="S8" i="46"/>
  <c r="U10" i="46"/>
  <c r="Z13" i="46"/>
  <c r="Y13" i="46"/>
  <c r="T8" i="46"/>
  <c r="T20" i="46"/>
  <c r="S20" i="46"/>
  <c r="W20" i="46"/>
  <c r="U8" i="46"/>
  <c r="W10" i="46"/>
  <c r="Y11" i="46"/>
  <c r="Z11" i="46"/>
  <c r="U20" i="46"/>
  <c r="W23" i="46"/>
  <c r="W26" i="46"/>
  <c r="W29" i="46"/>
  <c r="W32" i="46"/>
  <c r="V33" i="46"/>
  <c r="T33" i="46"/>
  <c r="U33" i="46"/>
  <c r="Y33" i="46"/>
  <c r="E77" i="46"/>
  <c r="V8" i="46"/>
  <c r="X10" i="46"/>
  <c r="S11" i="46"/>
  <c r="U13" i="46"/>
  <c r="W15" i="46"/>
  <c r="Z16" i="46"/>
  <c r="S16" i="46"/>
  <c r="V20" i="46"/>
  <c r="X23" i="46"/>
  <c r="V24" i="46"/>
  <c r="T24" i="46"/>
  <c r="U24" i="46"/>
  <c r="Y24" i="46"/>
  <c r="X26" i="46"/>
  <c r="V27" i="46"/>
  <c r="T27" i="46"/>
  <c r="U27" i="46"/>
  <c r="Y27" i="46"/>
  <c r="AJ27" i="46" s="1"/>
  <c r="X29" i="46"/>
  <c r="V30" i="46"/>
  <c r="U30" i="46"/>
  <c r="T30" i="46"/>
  <c r="Y30" i="46"/>
  <c r="AJ30" i="46" s="1"/>
  <c r="X32" i="46"/>
  <c r="Z9" i="46"/>
  <c r="Y9" i="46"/>
  <c r="Z23" i="46"/>
  <c r="Z26" i="46"/>
  <c r="E79" i="46"/>
  <c r="S33" i="46"/>
  <c r="S23" i="46"/>
  <c r="S26" i="46"/>
  <c r="S29" i="46"/>
  <c r="S32" i="46"/>
  <c r="W8" i="46"/>
  <c r="T11" i="46"/>
  <c r="X20" i="46"/>
  <c r="U21" i="46"/>
  <c r="S21" i="46"/>
  <c r="T21" i="46"/>
  <c r="X21" i="46"/>
  <c r="Z29" i="46"/>
  <c r="Z32" i="46"/>
  <c r="S9" i="46"/>
  <c r="AG9" i="46" s="1"/>
  <c r="U11" i="46"/>
  <c r="W13" i="46"/>
  <c r="Y14" i="46"/>
  <c r="Z14" i="46"/>
  <c r="T16" i="46"/>
  <c r="Y20" i="46"/>
  <c r="S24" i="46"/>
  <c r="S27" i="46"/>
  <c r="AK27" i="46" s="1"/>
  <c r="S30" i="46"/>
  <c r="W33" i="46"/>
  <c r="Z20" i="46"/>
  <c r="Z8" i="46"/>
  <c r="Y8" i="46"/>
  <c r="E83" i="46"/>
  <c r="Y7" i="46"/>
  <c r="B83" i="46"/>
  <c r="Z7" i="46"/>
  <c r="AK7" i="46" s="1"/>
  <c r="H82" i="46"/>
  <c r="E82" i="46"/>
  <c r="B82" i="46"/>
  <c r="H81" i="46"/>
  <c r="E81" i="46"/>
  <c r="B81" i="46"/>
  <c r="H83" i="46"/>
  <c r="S7" i="46"/>
  <c r="AH7" i="46" s="1"/>
  <c r="U9" i="46"/>
  <c r="AF9" i="46" s="1"/>
  <c r="W11" i="46"/>
  <c r="Y12" i="46"/>
  <c r="Z12" i="46"/>
  <c r="T14" i="46"/>
  <c r="V16" i="46"/>
  <c r="W21" i="46"/>
  <c r="V22" i="46"/>
  <c r="T22" i="46"/>
  <c r="U22" i="46"/>
  <c r="Y22" i="46"/>
  <c r="X24" i="46"/>
  <c r="V25" i="46"/>
  <c r="T25" i="46"/>
  <c r="U25" i="46"/>
  <c r="Y25" i="46"/>
  <c r="AJ25" i="46" s="1"/>
  <c r="X27" i="46"/>
  <c r="V28" i="46"/>
  <c r="U28" i="46"/>
  <c r="T28" i="46"/>
  <c r="Y28" i="46"/>
  <c r="X30" i="46"/>
  <c r="V31" i="46"/>
  <c r="U31" i="46"/>
  <c r="T31" i="46"/>
  <c r="Y31" i="46"/>
  <c r="AJ31" i="46" s="1"/>
  <c r="Z33" i="46"/>
  <c r="AK33" i="46" s="1"/>
  <c r="AE7" i="46"/>
  <c r="V19" i="46"/>
  <c r="B4" i="45"/>
  <c r="D33" i="45"/>
  <c r="D8" i="45"/>
  <c r="D9" i="45"/>
  <c r="D10" i="45"/>
  <c r="D11" i="45"/>
  <c r="D12" i="45"/>
  <c r="D13" i="45"/>
  <c r="D14" i="45"/>
  <c r="D15" i="45"/>
  <c r="D16" i="45"/>
  <c r="D17" i="45"/>
  <c r="D18" i="45"/>
  <c r="D19" i="45"/>
  <c r="D20" i="45"/>
  <c r="D21" i="45"/>
  <c r="D22" i="45"/>
  <c r="D23" i="45"/>
  <c r="D24" i="45"/>
  <c r="D25" i="45"/>
  <c r="D26" i="45"/>
  <c r="D27" i="45"/>
  <c r="D28" i="45"/>
  <c r="D29" i="45"/>
  <c r="D30" i="45"/>
  <c r="D31" i="45"/>
  <c r="D32" i="45"/>
  <c r="E28" i="2"/>
  <c r="D46" i="2"/>
  <c r="E30" i="2"/>
  <c r="E8" i="2"/>
  <c r="E34" i="2"/>
  <c r="E12" i="2"/>
  <c r="E52" i="2"/>
  <c r="E10" i="2"/>
  <c r="E11" i="2"/>
  <c r="E33" i="2"/>
  <c r="E25" i="2"/>
  <c r="E32" i="2"/>
  <c r="E53" i="2"/>
  <c r="E29" i="2"/>
  <c r="E51" i="2"/>
  <c r="E9" i="2"/>
  <c r="U67" i="49" l="1"/>
  <c r="X67" i="49"/>
  <c r="W67" i="49"/>
  <c r="AE8" i="46"/>
  <c r="AH33" i="46"/>
  <c r="AI33" i="46"/>
  <c r="AH29" i="46"/>
  <c r="Z67" i="49"/>
  <c r="T67" i="49"/>
  <c r="AH30" i="46"/>
  <c r="Y67" i="49"/>
  <c r="S67" i="49"/>
  <c r="AA67" i="49" s="1"/>
  <c r="AG28" i="46"/>
  <c r="V67" i="49"/>
  <c r="E35" i="2"/>
  <c r="D86" i="54"/>
  <c r="D96" i="54"/>
  <c r="E31" i="54"/>
  <c r="E32" i="54" s="1"/>
  <c r="E28" i="53"/>
  <c r="E29" i="53" s="1"/>
  <c r="E30" i="53" s="1"/>
  <c r="C72" i="53"/>
  <c r="AI12" i="46"/>
  <c r="AJ28" i="46"/>
  <c r="AI28" i="46"/>
  <c r="AE28" i="46"/>
  <c r="AF28" i="46"/>
  <c r="AJ22" i="46"/>
  <c r="AH24" i="46"/>
  <c r="AK9" i="46"/>
  <c r="AJ24" i="46"/>
  <c r="AF12" i="46"/>
  <c r="AE23" i="46"/>
  <c r="AH27" i="46"/>
  <c r="AG23" i="46"/>
  <c r="AH12" i="46"/>
  <c r="AI23" i="46"/>
  <c r="AH28" i="46"/>
  <c r="AE9" i="46"/>
  <c r="AG18" i="46"/>
  <c r="AE10" i="46"/>
  <c r="AI27" i="46"/>
  <c r="AF27" i="46"/>
  <c r="AH26" i="46"/>
  <c r="AD17" i="46"/>
  <c r="AE12" i="46"/>
  <c r="AE27" i="46"/>
  <c r="AK23" i="46"/>
  <c r="AE25" i="46"/>
  <c r="AI26" i="46"/>
  <c r="AK24" i="46"/>
  <c r="AF23" i="46"/>
  <c r="E28" i="51"/>
  <c r="E29" i="51" s="1"/>
  <c r="E30" i="51" s="1"/>
  <c r="C73" i="51" s="1"/>
  <c r="C72" i="51"/>
  <c r="D86" i="50"/>
  <c r="D96" i="50"/>
  <c r="E31" i="50"/>
  <c r="E32" i="50" s="1"/>
  <c r="E28" i="49"/>
  <c r="E29" i="49" s="1"/>
  <c r="E30" i="49" s="1"/>
  <c r="C73" i="49"/>
  <c r="C72" i="49"/>
  <c r="C73" i="48"/>
  <c r="D96" i="48"/>
  <c r="E31" i="48"/>
  <c r="E32" i="48" s="1"/>
  <c r="E33" i="48" s="1"/>
  <c r="C75" i="48"/>
  <c r="AL19" i="47"/>
  <c r="AL18" i="47"/>
  <c r="AL20" i="47"/>
  <c r="AL17" i="47"/>
  <c r="AL21" i="47"/>
  <c r="AL16" i="47"/>
  <c r="AL15" i="47"/>
  <c r="AL14" i="47"/>
  <c r="AA17" i="46"/>
  <c r="AK14" i="46"/>
  <c r="AJ13" i="46"/>
  <c r="AH17" i="46"/>
  <c r="AK12" i="46"/>
  <c r="AE18" i="46"/>
  <c r="AK17" i="46"/>
  <c r="AJ20" i="46"/>
  <c r="AJ18" i="46"/>
  <c r="AG16" i="46"/>
  <c r="AJ21" i="46"/>
  <c r="AF20" i="46"/>
  <c r="AE19" i="46"/>
  <c r="AK19" i="46"/>
  <c r="AH21" i="46"/>
  <c r="AG21" i="46"/>
  <c r="AK21" i="46"/>
  <c r="AE21" i="46"/>
  <c r="AK20" i="46"/>
  <c r="AG19" i="46"/>
  <c r="AH19" i="46"/>
  <c r="AA19" i="46"/>
  <c r="AD19" i="46"/>
  <c r="AF19" i="46"/>
  <c r="AJ19" i="46"/>
  <c r="AF18" i="46"/>
  <c r="AD18" i="46"/>
  <c r="AA18" i="46"/>
  <c r="AK18" i="46"/>
  <c r="AH18" i="46"/>
  <c r="AG17" i="46"/>
  <c r="AJ17" i="46"/>
  <c r="AF17" i="46"/>
  <c r="AE17" i="46"/>
  <c r="AJ16" i="46"/>
  <c r="AF16" i="46"/>
  <c r="AK16" i="46"/>
  <c r="AE16" i="46"/>
  <c r="AJ15" i="46"/>
  <c r="AD15" i="46"/>
  <c r="AL15" i="46" s="1"/>
  <c r="AH15" i="46"/>
  <c r="AA15" i="46"/>
  <c r="AE14" i="46"/>
  <c r="AI14" i="46"/>
  <c r="AF14" i="46"/>
  <c r="AA14" i="46"/>
  <c r="AA13" i="46"/>
  <c r="AJ12" i="46"/>
  <c r="AA12" i="46"/>
  <c r="AI11" i="46"/>
  <c r="AF11" i="46"/>
  <c r="AH11" i="46"/>
  <c r="AJ10" i="46"/>
  <c r="D95" i="47"/>
  <c r="E24" i="47"/>
  <c r="AE11" i="46"/>
  <c r="AF13" i="46"/>
  <c r="AE29" i="46"/>
  <c r="AA10" i="46"/>
  <c r="AD10" i="46"/>
  <c r="AL10" i="46" s="1"/>
  <c r="AG11" i="46"/>
  <c r="AK30" i="46"/>
  <c r="AK25" i="46"/>
  <c r="AF25" i="46"/>
  <c r="AH13" i="46"/>
  <c r="AH8" i="46"/>
  <c r="AJ9" i="46"/>
  <c r="AG27" i="46"/>
  <c r="AD12" i="46"/>
  <c r="AL12" i="46" s="1"/>
  <c r="AH23" i="46"/>
  <c r="AE15" i="46"/>
  <c r="AF29" i="46"/>
  <c r="AI22" i="46"/>
  <c r="AG7" i="46"/>
  <c r="AG14" i="46"/>
  <c r="AD22" i="46"/>
  <c r="AL22" i="46" s="1"/>
  <c r="AE31" i="46"/>
  <c r="AK10" i="46"/>
  <c r="AG10" i="46"/>
  <c r="AF31" i="46"/>
  <c r="AI24" i="46"/>
  <c r="AA7" i="46"/>
  <c r="AD7" i="46"/>
  <c r="AL7" i="46" s="1"/>
  <c r="AK32" i="46"/>
  <c r="AD29" i="46"/>
  <c r="AL29" i="46" s="1"/>
  <c r="AA29" i="46"/>
  <c r="AI32" i="46"/>
  <c r="AF24" i="46"/>
  <c r="AG8" i="46"/>
  <c r="AK11" i="46"/>
  <c r="AF10" i="46"/>
  <c r="AJ26" i="46"/>
  <c r="AH25" i="46"/>
  <c r="AF7" i="46"/>
  <c r="AD31" i="46"/>
  <c r="AL31" i="46" s="1"/>
  <c r="AE13" i="46"/>
  <c r="AD26" i="46"/>
  <c r="AL26" i="46" s="1"/>
  <c r="AA26" i="46"/>
  <c r="AJ11" i="46"/>
  <c r="AF26" i="46"/>
  <c r="AH22" i="46"/>
  <c r="AK22" i="46"/>
  <c r="AI30" i="46"/>
  <c r="AF22" i="46"/>
  <c r="AA27" i="46"/>
  <c r="AD27" i="46"/>
  <c r="AL27" i="46" s="1"/>
  <c r="AD23" i="46"/>
  <c r="AL23" i="46" s="1"/>
  <c r="AA23" i="46"/>
  <c r="AE30" i="46"/>
  <c r="AG24" i="46"/>
  <c r="AJ33" i="46"/>
  <c r="AH10" i="46"/>
  <c r="AJ32" i="46"/>
  <c r="AE26" i="46"/>
  <c r="AF15" i="46"/>
  <c r="AH9" i="46"/>
  <c r="E21" i="46"/>
  <c r="E22" i="46" s="1"/>
  <c r="E23" i="46" s="1"/>
  <c r="AK13" i="46"/>
  <c r="AK29" i="46"/>
  <c r="AA8" i="46"/>
  <c r="AD8" i="46"/>
  <c r="AL8" i="46" s="1"/>
  <c r="AE22" i="46"/>
  <c r="AJ7" i="46"/>
  <c r="AA24" i="46"/>
  <c r="AD24" i="46"/>
  <c r="AL24" i="46" s="1"/>
  <c r="AA33" i="46"/>
  <c r="AD33" i="46"/>
  <c r="AL33" i="46" s="1"/>
  <c r="AF30" i="46"/>
  <c r="AF33" i="46"/>
  <c r="AF8" i="46"/>
  <c r="AF32" i="46"/>
  <c r="AG26" i="46"/>
  <c r="AI8" i="46"/>
  <c r="AK31" i="46"/>
  <c r="AG29" i="46"/>
  <c r="AG25" i="46"/>
  <c r="AD32" i="46"/>
  <c r="AL32" i="46" s="1"/>
  <c r="AA32" i="46"/>
  <c r="AE24" i="46"/>
  <c r="AG22" i="46"/>
  <c r="AD21" i="46"/>
  <c r="AA21" i="46"/>
  <c r="AG30" i="46"/>
  <c r="AG20" i="46"/>
  <c r="AE33" i="46"/>
  <c r="AH20" i="46"/>
  <c r="AE32" i="46"/>
  <c r="AI25" i="46"/>
  <c r="AI13" i="46"/>
  <c r="AG12" i="46"/>
  <c r="AH31" i="46"/>
  <c r="AA30" i="46"/>
  <c r="AD30" i="46"/>
  <c r="AL30" i="46" s="1"/>
  <c r="AG15" i="46"/>
  <c r="AJ8" i="46"/>
  <c r="AF21" i="46"/>
  <c r="AK26" i="46"/>
  <c r="AI29" i="46"/>
  <c r="AA16" i="46"/>
  <c r="AD16" i="46"/>
  <c r="AG33" i="46"/>
  <c r="AA20" i="46"/>
  <c r="AD20" i="46"/>
  <c r="AG32" i="46"/>
  <c r="AJ23" i="46"/>
  <c r="AI7" i="46"/>
  <c r="AG13" i="46"/>
  <c r="AK28" i="46"/>
  <c r="AA11" i="46"/>
  <c r="AD11" i="46"/>
  <c r="AL11" i="46" s="1"/>
  <c r="AD25" i="46"/>
  <c r="AL25" i="46" s="1"/>
  <c r="AA9" i="46"/>
  <c r="AD9" i="46"/>
  <c r="AL9" i="46" s="1"/>
  <c r="AI10" i="46"/>
  <c r="AG31" i="46"/>
  <c r="AD13" i="46"/>
  <c r="AL13" i="46" s="1"/>
  <c r="AK8" i="46"/>
  <c r="AH32" i="46"/>
  <c r="AE20" i="46"/>
  <c r="AI31" i="46"/>
  <c r="AK15" i="46"/>
  <c r="AD28" i="46"/>
  <c r="AL28" i="46" s="1"/>
  <c r="AI9" i="46"/>
  <c r="AH16" i="46"/>
  <c r="AJ14" i="46"/>
  <c r="AD14" i="46"/>
  <c r="AL14" i="46" s="1"/>
  <c r="AH14" i="46"/>
  <c r="C99" i="45"/>
  <c r="C98" i="45"/>
  <c r="C99" i="3"/>
  <c r="C98" i="3"/>
  <c r="D32" i="2"/>
  <c r="D30" i="2"/>
  <c r="D29" i="2"/>
  <c r="D53" i="2"/>
  <c r="D33" i="2"/>
  <c r="D11" i="2"/>
  <c r="E17" i="2"/>
  <c r="D25" i="2"/>
  <c r="D52" i="2"/>
  <c r="D34" i="2"/>
  <c r="D8" i="2"/>
  <c r="D28" i="2"/>
  <c r="D10" i="2"/>
  <c r="D12" i="2"/>
  <c r="D51" i="2"/>
  <c r="D9" i="2"/>
  <c r="E26" i="2"/>
  <c r="D35" i="2" l="1"/>
  <c r="C74" i="53"/>
  <c r="D86" i="53"/>
  <c r="C73" i="53"/>
  <c r="D96" i="53"/>
  <c r="E31" i="53"/>
  <c r="E32" i="53" s="1"/>
  <c r="E33" i="53" s="1"/>
  <c r="E33" i="54"/>
  <c r="C74" i="54"/>
  <c r="C75" i="54"/>
  <c r="AL17" i="46"/>
  <c r="D86" i="51"/>
  <c r="E33" i="50"/>
  <c r="C74" i="50"/>
  <c r="C75" i="50"/>
  <c r="D96" i="51"/>
  <c r="E31" i="51"/>
  <c r="E32" i="51" s="1"/>
  <c r="D86" i="49"/>
  <c r="E31" i="49"/>
  <c r="E32" i="49" s="1"/>
  <c r="D96" i="49"/>
  <c r="C74" i="48"/>
  <c r="AL18" i="46"/>
  <c r="AL16" i="46"/>
  <c r="AL21" i="46"/>
  <c r="AL20" i="46"/>
  <c r="AL19" i="46"/>
  <c r="E25" i="47"/>
  <c r="D95" i="46"/>
  <c r="E24" i="46"/>
  <c r="E25" i="46" s="1"/>
  <c r="E26" i="46" s="1"/>
  <c r="E27" i="46" s="1"/>
  <c r="B79" i="45"/>
  <c r="B78" i="45"/>
  <c r="B77" i="45"/>
  <c r="P33" i="45"/>
  <c r="X33" i="45" s="1"/>
  <c r="G33" i="45"/>
  <c r="R33" i="45" s="1"/>
  <c r="AC33" i="45" s="1"/>
  <c r="E79" i="45"/>
  <c r="U32" i="45"/>
  <c r="P32" i="45"/>
  <c r="X32" i="45" s="1"/>
  <c r="G32" i="45"/>
  <c r="R32" i="45" s="1"/>
  <c r="AC32" i="45" s="1"/>
  <c r="P31" i="45"/>
  <c r="X31" i="45" s="1"/>
  <c r="G31" i="45"/>
  <c r="R31" i="45" s="1"/>
  <c r="AC31" i="45" s="1"/>
  <c r="Z30" i="45"/>
  <c r="P30" i="45"/>
  <c r="X30" i="45" s="1"/>
  <c r="G30" i="45"/>
  <c r="R30" i="45" s="1"/>
  <c r="AC30" i="45" s="1"/>
  <c r="P29" i="45"/>
  <c r="X29" i="45" s="1"/>
  <c r="G29" i="45"/>
  <c r="R29" i="45" s="1"/>
  <c r="AC29" i="45" s="1"/>
  <c r="P28" i="45"/>
  <c r="X28" i="45" s="1"/>
  <c r="G28" i="45"/>
  <c r="R28" i="45" s="1"/>
  <c r="AC28" i="45" s="1"/>
  <c r="Z27" i="45"/>
  <c r="W27" i="45"/>
  <c r="S27" i="45"/>
  <c r="P27" i="45"/>
  <c r="X27" i="45" s="1"/>
  <c r="G27" i="45"/>
  <c r="R27" i="45" s="1"/>
  <c r="AC27" i="45" s="1"/>
  <c r="P26" i="45"/>
  <c r="X26" i="45" s="1"/>
  <c r="G26" i="45"/>
  <c r="R26" i="45" s="1"/>
  <c r="AC26" i="45" s="1"/>
  <c r="P25" i="45"/>
  <c r="X25" i="45" s="1"/>
  <c r="G25" i="45"/>
  <c r="R25" i="45" s="1"/>
  <c r="AC25" i="45" s="1"/>
  <c r="T24" i="45"/>
  <c r="P24" i="45"/>
  <c r="X24" i="45" s="1"/>
  <c r="G24" i="45"/>
  <c r="R24" i="45" s="1"/>
  <c r="AC24" i="45" s="1"/>
  <c r="U23" i="45"/>
  <c r="T23" i="45"/>
  <c r="S23" i="45"/>
  <c r="P23" i="45"/>
  <c r="X23" i="45" s="1"/>
  <c r="G23" i="45"/>
  <c r="R23" i="45" s="1"/>
  <c r="AC23" i="45" s="1"/>
  <c r="P22" i="45"/>
  <c r="X22" i="45" s="1"/>
  <c r="G22" i="45"/>
  <c r="R22" i="45" s="1"/>
  <c r="AC22" i="45" s="1"/>
  <c r="R21" i="45"/>
  <c r="AC21" i="45" s="1"/>
  <c r="P21" i="45"/>
  <c r="G21" i="45"/>
  <c r="R20" i="45"/>
  <c r="AC20" i="45" s="1"/>
  <c r="P20" i="45"/>
  <c r="G20" i="45"/>
  <c r="P19" i="45"/>
  <c r="G19" i="45"/>
  <c r="R19" i="45" s="1"/>
  <c r="AC19" i="45" s="1"/>
  <c r="P18" i="45"/>
  <c r="G18" i="45"/>
  <c r="R18" i="45" s="1"/>
  <c r="AC18" i="45" s="1"/>
  <c r="P17" i="45"/>
  <c r="G17" i="45"/>
  <c r="R17" i="45" s="1"/>
  <c r="AC17" i="45" s="1"/>
  <c r="P16" i="45"/>
  <c r="G16" i="45"/>
  <c r="R16" i="45" s="1"/>
  <c r="AC16" i="45" s="1"/>
  <c r="R15" i="45"/>
  <c r="AC15" i="45" s="1"/>
  <c r="P15" i="45"/>
  <c r="G15" i="45"/>
  <c r="R14" i="45"/>
  <c r="AC14" i="45" s="1"/>
  <c r="P14" i="45"/>
  <c r="G14" i="45"/>
  <c r="P13" i="45"/>
  <c r="G13" i="45"/>
  <c r="R13" i="45" s="1"/>
  <c r="AC13" i="45" s="1"/>
  <c r="R12" i="45"/>
  <c r="AC12" i="45" s="1"/>
  <c r="P12" i="45"/>
  <c r="G12" i="45"/>
  <c r="R11" i="45"/>
  <c r="AC11" i="45" s="1"/>
  <c r="P11" i="45"/>
  <c r="W11" i="45" s="1"/>
  <c r="G11" i="45"/>
  <c r="W10" i="45"/>
  <c r="S10" i="45"/>
  <c r="R10" i="45"/>
  <c r="AC10" i="45" s="1"/>
  <c r="P10" i="45"/>
  <c r="Z10" i="45" s="1"/>
  <c r="G10" i="45"/>
  <c r="S9" i="45"/>
  <c r="P9" i="45"/>
  <c r="Z9" i="45" s="1"/>
  <c r="G9" i="45"/>
  <c r="R9" i="45" s="1"/>
  <c r="AC9" i="45" s="1"/>
  <c r="T8" i="45"/>
  <c r="S8" i="45"/>
  <c r="R8" i="45"/>
  <c r="AC8" i="45" s="1"/>
  <c r="P8" i="45"/>
  <c r="W8" i="45" s="1"/>
  <c r="G8" i="45"/>
  <c r="R7" i="45"/>
  <c r="AC7" i="45" s="1"/>
  <c r="P7" i="45"/>
  <c r="Z7" i="45" s="1"/>
  <c r="G7" i="45"/>
  <c r="D7" i="45"/>
  <c r="E7" i="45" s="1"/>
  <c r="E8" i="45" s="1"/>
  <c r="E9" i="45" s="1"/>
  <c r="E10" i="45" s="1"/>
  <c r="E11" i="45" s="1"/>
  <c r="E12" i="45" s="1"/>
  <c r="E13" i="45" s="1"/>
  <c r="E14" i="45" s="1"/>
  <c r="E15" i="45" s="1"/>
  <c r="E16" i="45" s="1"/>
  <c r="E17" i="45" s="1"/>
  <c r="E18" i="45" s="1"/>
  <c r="E19" i="45" s="1"/>
  <c r="E20" i="45" s="1"/>
  <c r="E21" i="45" s="1"/>
  <c r="E22" i="45" s="1"/>
  <c r="E23" i="45" s="1"/>
  <c r="E24" i="45" s="1"/>
  <c r="E25" i="45" s="1"/>
  <c r="E26" i="45" s="1"/>
  <c r="E27" i="45" s="1"/>
  <c r="E28" i="45" s="1"/>
  <c r="E29" i="45" s="1"/>
  <c r="E30" i="45" s="1"/>
  <c r="E31" i="45" s="1"/>
  <c r="E32" i="45" s="1"/>
  <c r="E33" i="45" s="1"/>
  <c r="AJ4" i="45"/>
  <c r="AC4" i="45"/>
  <c r="Z4" i="45"/>
  <c r="AK4" i="45" s="1"/>
  <c r="Y4" i="45"/>
  <c r="X4" i="45"/>
  <c r="AI4" i="45" s="1"/>
  <c r="W4" i="45"/>
  <c r="AH4" i="45" s="1"/>
  <c r="V4" i="45"/>
  <c r="AG4" i="45" s="1"/>
  <c r="U4" i="45"/>
  <c r="AF4" i="45" s="1"/>
  <c r="T4" i="45"/>
  <c r="AE4" i="45" s="1"/>
  <c r="S4" i="45"/>
  <c r="AD4" i="45" s="1"/>
  <c r="R4" i="45"/>
  <c r="D2" i="45"/>
  <c r="D26" i="2"/>
  <c r="D17" i="2"/>
  <c r="E13" i="2"/>
  <c r="E14" i="2"/>
  <c r="Z32" i="45" l="1"/>
  <c r="S7" i="45"/>
  <c r="S24" i="45"/>
  <c r="AD24" i="45" s="1"/>
  <c r="AL24" i="45" s="1"/>
  <c r="U30" i="45"/>
  <c r="T7" i="45"/>
  <c r="U24" i="45"/>
  <c r="AF24" i="45" s="1"/>
  <c r="V7" i="45"/>
  <c r="X9" i="45"/>
  <c r="V24" i="45"/>
  <c r="W24" i="45"/>
  <c r="S31" i="45"/>
  <c r="AA31" i="45" s="1"/>
  <c r="U7" i="45"/>
  <c r="T9" i="45"/>
  <c r="Y24" i="45"/>
  <c r="W31" i="45"/>
  <c r="Z25" i="45"/>
  <c r="U29" i="45"/>
  <c r="S32" i="45"/>
  <c r="AK32" i="45" s="1"/>
  <c r="Y8" i="45"/>
  <c r="AJ8" i="45" s="1"/>
  <c r="V23" i="45"/>
  <c r="Z29" i="45"/>
  <c r="T32" i="45"/>
  <c r="D88" i="53"/>
  <c r="D91" i="53"/>
  <c r="D87" i="53"/>
  <c r="D85" i="53"/>
  <c r="D94" i="53"/>
  <c r="D91" i="54"/>
  <c r="D89" i="54"/>
  <c r="D87" i="54"/>
  <c r="D85" i="54"/>
  <c r="D94" i="54"/>
  <c r="D90" i="54"/>
  <c r="D92" i="54"/>
  <c r="D92" i="53"/>
  <c r="C75" i="53"/>
  <c r="D90" i="53" s="1"/>
  <c r="E33" i="51"/>
  <c r="C75" i="51"/>
  <c r="C74" i="51"/>
  <c r="D91" i="50"/>
  <c r="D87" i="50"/>
  <c r="D88" i="50" s="1"/>
  <c r="D89" i="50"/>
  <c r="D85" i="50"/>
  <c r="D94" i="50"/>
  <c r="D90" i="50"/>
  <c r="D92" i="50"/>
  <c r="E33" i="49"/>
  <c r="C75" i="49"/>
  <c r="C74" i="49"/>
  <c r="D91" i="48"/>
  <c r="D87" i="48"/>
  <c r="D88" i="48" s="1"/>
  <c r="D94" i="48"/>
  <c r="D92" i="48"/>
  <c r="D85" i="48"/>
  <c r="D89" i="48"/>
  <c r="D90" i="48"/>
  <c r="W21" i="45"/>
  <c r="Y17" i="45"/>
  <c r="Z13" i="45"/>
  <c r="Z11" i="45"/>
  <c r="W15" i="45"/>
  <c r="Z16" i="45"/>
  <c r="U18" i="45"/>
  <c r="X20" i="45"/>
  <c r="Z14" i="45"/>
  <c r="W19" i="45"/>
  <c r="Z12" i="45"/>
  <c r="Z21" i="45"/>
  <c r="V18" i="45"/>
  <c r="T15" i="45"/>
  <c r="Z15" i="45"/>
  <c r="Z66" i="45" s="1"/>
  <c r="Y15" i="45"/>
  <c r="Y66" i="45" s="1"/>
  <c r="X15" i="45"/>
  <c r="Y13" i="45"/>
  <c r="E26" i="47"/>
  <c r="E28" i="46"/>
  <c r="V26" i="45"/>
  <c r="W26" i="45"/>
  <c r="AH26" i="45" s="1"/>
  <c r="S28" i="45"/>
  <c r="Y14" i="45"/>
  <c r="Y26" i="45"/>
  <c r="W28" i="45"/>
  <c r="U14" i="45"/>
  <c r="W23" i="45"/>
  <c r="S22" i="45"/>
  <c r="AA22" i="45" s="1"/>
  <c r="U25" i="45"/>
  <c r="Z26" i="45"/>
  <c r="AK26" i="45" s="1"/>
  <c r="Y28" i="45"/>
  <c r="U26" i="45"/>
  <c r="T16" i="45"/>
  <c r="T22" i="45"/>
  <c r="V25" i="45"/>
  <c r="Z28" i="45"/>
  <c r="U22" i="45"/>
  <c r="W25" i="45"/>
  <c r="S12" i="45"/>
  <c r="AA12" i="45" s="1"/>
  <c r="W12" i="45"/>
  <c r="S11" i="45"/>
  <c r="U13" i="45"/>
  <c r="S15" i="45"/>
  <c r="T17" i="45"/>
  <c r="Z22" i="45"/>
  <c r="Y25" i="45"/>
  <c r="C3" i="2"/>
  <c r="H2" i="45"/>
  <c r="X7" i="45"/>
  <c r="AI7" i="45" s="1"/>
  <c r="U8" i="45"/>
  <c r="U9" i="45"/>
  <c r="T10" i="45"/>
  <c r="T11" i="45"/>
  <c r="T12" i="45"/>
  <c r="U17" i="45"/>
  <c r="V21" i="45"/>
  <c r="V22" i="45"/>
  <c r="Y23" i="45"/>
  <c r="AG23" i="45" s="1"/>
  <c r="T31" i="45"/>
  <c r="V32" i="45"/>
  <c r="W33" i="45"/>
  <c r="U21" i="45"/>
  <c r="Y7" i="45"/>
  <c r="V8" i="45"/>
  <c r="AG8" i="45" s="1"/>
  <c r="V9" i="45"/>
  <c r="AG9" i="45" s="1"/>
  <c r="U10" i="45"/>
  <c r="U11" i="45"/>
  <c r="U12" i="45"/>
  <c r="S13" i="45"/>
  <c r="S14" i="45"/>
  <c r="V17" i="45"/>
  <c r="X21" i="45"/>
  <c r="W22" i="45"/>
  <c r="Z23" i="45"/>
  <c r="Z24" i="45"/>
  <c r="S29" i="45"/>
  <c r="S30" i="45"/>
  <c r="AA30" i="45" s="1"/>
  <c r="U31" i="45"/>
  <c r="W32" i="45"/>
  <c r="Y33" i="45"/>
  <c r="AJ33" i="45" s="1"/>
  <c r="AE9" i="45"/>
  <c r="V33" i="45"/>
  <c r="X8" i="45"/>
  <c r="AI8" i="45" s="1"/>
  <c r="W9" i="45"/>
  <c r="V10" i="45"/>
  <c r="AG10" i="45" s="1"/>
  <c r="V11" i="45"/>
  <c r="V12" i="45"/>
  <c r="T13" i="45"/>
  <c r="T14" i="45"/>
  <c r="S16" i="45"/>
  <c r="Z17" i="45"/>
  <c r="Y21" i="45"/>
  <c r="Y22" i="45"/>
  <c r="AI28" i="45"/>
  <c r="T29" i="45"/>
  <c r="AE29" i="45" s="1"/>
  <c r="T30" i="45"/>
  <c r="AE30" i="45" s="1"/>
  <c r="V31" i="45"/>
  <c r="AG31" i="45" s="1"/>
  <c r="Y32" i="45"/>
  <c r="AE32" i="45" s="1"/>
  <c r="Z33" i="45"/>
  <c r="Z8" i="45"/>
  <c r="Y9" i="45"/>
  <c r="AK9" i="45" s="1"/>
  <c r="X10" i="45"/>
  <c r="X11" i="45"/>
  <c r="X12" i="45"/>
  <c r="V13" i="45"/>
  <c r="V14" i="45"/>
  <c r="U15" i="45"/>
  <c r="U16" i="45"/>
  <c r="T27" i="45"/>
  <c r="T28" i="45"/>
  <c r="V29" i="45"/>
  <c r="V30" i="45"/>
  <c r="Y31" i="45"/>
  <c r="Y10" i="45"/>
  <c r="AJ10" i="45" s="1"/>
  <c r="Y11" i="45"/>
  <c r="Y12" i="45"/>
  <c r="W13" i="45"/>
  <c r="W14" i="45"/>
  <c r="V15" i="45"/>
  <c r="Y16" i="45"/>
  <c r="S25" i="45"/>
  <c r="AH25" i="45" s="1"/>
  <c r="S26" i="45"/>
  <c r="U27" i="45"/>
  <c r="U28" i="45"/>
  <c r="AF28" i="45" s="1"/>
  <c r="W29" i="45"/>
  <c r="W30" i="45"/>
  <c r="Z31" i="45"/>
  <c r="AK31" i="45" s="1"/>
  <c r="X13" i="45"/>
  <c r="X14" i="45"/>
  <c r="T25" i="45"/>
  <c r="T26" i="45"/>
  <c r="AE26" i="45" s="1"/>
  <c r="V27" i="45"/>
  <c r="V28" i="45"/>
  <c r="AG28" i="45" s="1"/>
  <c r="Y29" i="45"/>
  <c r="AF29" i="45" s="1"/>
  <c r="Y30" i="45"/>
  <c r="AK7" i="45"/>
  <c r="Y27" i="45"/>
  <c r="AI27" i="45" s="1"/>
  <c r="S33" i="45"/>
  <c r="S21" i="45"/>
  <c r="T33" i="45"/>
  <c r="AE33" i="45" s="1"/>
  <c r="AF8" i="45"/>
  <c r="T21" i="45"/>
  <c r="U33" i="45"/>
  <c r="D96" i="45"/>
  <c r="E77" i="45"/>
  <c r="E78" i="45"/>
  <c r="D95" i="45"/>
  <c r="AA24" i="45"/>
  <c r="AA28" i="45"/>
  <c r="AD28" i="45"/>
  <c r="AL28" i="45" s="1"/>
  <c r="AK30" i="45"/>
  <c r="AE10" i="45"/>
  <c r="T20" i="45"/>
  <c r="Z20" i="45"/>
  <c r="Y20" i="45"/>
  <c r="V20" i="45"/>
  <c r="U20" i="45"/>
  <c r="AE24" i="45"/>
  <c r="AF26" i="45"/>
  <c r="AE28" i="45"/>
  <c r="AF10" i="45"/>
  <c r="S19" i="45"/>
  <c r="Z19" i="45"/>
  <c r="Y19" i="45"/>
  <c r="X19" i="45"/>
  <c r="U19" i="45"/>
  <c r="T19" i="45"/>
  <c r="AA9" i="45"/>
  <c r="AH9" i="45"/>
  <c r="AD9" i="45"/>
  <c r="AL9" i="45" s="1"/>
  <c r="AE8" i="45"/>
  <c r="S20" i="45"/>
  <c r="AD29" i="45"/>
  <c r="AL29" i="45" s="1"/>
  <c r="AA29" i="45"/>
  <c r="AA7" i="45"/>
  <c r="AD7" i="45"/>
  <c r="AL7" i="45" s="1"/>
  <c r="Z18" i="45"/>
  <c r="X18" i="45"/>
  <c r="W18" i="45"/>
  <c r="Y18" i="45"/>
  <c r="T18" i="45"/>
  <c r="S18" i="45"/>
  <c r="V19" i="45"/>
  <c r="W20" i="45"/>
  <c r="AK33" i="45"/>
  <c r="AI9" i="45"/>
  <c r="AI26" i="45"/>
  <c r="AH8" i="45"/>
  <c r="AK28" i="45"/>
  <c r="AD30" i="45"/>
  <c r="AL30" i="45" s="1"/>
  <c r="AK8" i="45"/>
  <c r="AD26" i="45"/>
  <c r="AL26" i="45" s="1"/>
  <c r="AA26" i="45"/>
  <c r="AA8" i="45"/>
  <c r="AD8" i="45"/>
  <c r="AL8" i="45" s="1"/>
  <c r="AG24" i="45"/>
  <c r="AD31" i="45"/>
  <c r="AL31" i="45" s="1"/>
  <c r="AA10" i="45"/>
  <c r="AH10" i="45"/>
  <c r="AD10" i="45"/>
  <c r="AL10" i="45" s="1"/>
  <c r="AJ24" i="45"/>
  <c r="AJ28" i="45"/>
  <c r="AJ9" i="45"/>
  <c r="AF9" i="45"/>
  <c r="AA23" i="45"/>
  <c r="AH24" i="45"/>
  <c r="AA27" i="45"/>
  <c r="AH28" i="45"/>
  <c r="AE31" i="45"/>
  <c r="AA32" i="45"/>
  <c r="AI33" i="45"/>
  <c r="AI10" i="45"/>
  <c r="AA33" i="45"/>
  <c r="AH33" i="45"/>
  <c r="S17" i="45"/>
  <c r="W16" i="45"/>
  <c r="X17" i="45"/>
  <c r="V16" i="45"/>
  <c r="W17" i="45"/>
  <c r="W7" i="45"/>
  <c r="AH7" i="45" s="1"/>
  <c r="X16" i="45"/>
  <c r="E23" i="2"/>
  <c r="E56" i="2"/>
  <c r="D14" i="2"/>
  <c r="D13" i="2"/>
  <c r="E20" i="2"/>
  <c r="E21" i="2"/>
  <c r="E22" i="2"/>
  <c r="E18" i="2"/>
  <c r="E16" i="2"/>
  <c r="E24" i="2"/>
  <c r="C46" i="2"/>
  <c r="AF32" i="45" l="1"/>
  <c r="AI24" i="45"/>
  <c r="V66" i="45"/>
  <c r="U66" i="45"/>
  <c r="T66" i="45"/>
  <c r="AH32" i="45"/>
  <c r="AD32" i="45"/>
  <c r="AL32" i="45" s="1"/>
  <c r="AI30" i="45"/>
  <c r="AF30" i="45"/>
  <c r="AG33" i="45"/>
  <c r="AH23" i="45"/>
  <c r="AJ32" i="45"/>
  <c r="AK29" i="45"/>
  <c r="AI32" i="45"/>
  <c r="AI29" i="45"/>
  <c r="D88" i="54"/>
  <c r="AH31" i="45"/>
  <c r="AI31" i="45"/>
  <c r="AF31" i="45"/>
  <c r="AD33" i="45"/>
  <c r="AL33" i="45" s="1"/>
  <c r="AD27" i="45"/>
  <c r="AL27" i="45" s="1"/>
  <c r="AJ30" i="45"/>
  <c r="AH29" i="45"/>
  <c r="AJ31" i="45"/>
  <c r="AD15" i="45"/>
  <c r="S66" i="45"/>
  <c r="AA11" i="45"/>
  <c r="AJ29" i="45"/>
  <c r="AH30" i="45"/>
  <c r="AG29" i="45"/>
  <c r="AJ25" i="45"/>
  <c r="AK24" i="45"/>
  <c r="X66" i="45"/>
  <c r="W66" i="45"/>
  <c r="D89" i="53"/>
  <c r="D91" i="51"/>
  <c r="D89" i="51"/>
  <c r="D87" i="51"/>
  <c r="D94" i="51"/>
  <c r="D90" i="51"/>
  <c r="D85" i="51"/>
  <c r="D92" i="51"/>
  <c r="D91" i="49"/>
  <c r="D89" i="49"/>
  <c r="D87" i="49"/>
  <c r="D88" i="49" s="1"/>
  <c r="D90" i="49"/>
  <c r="D85" i="49"/>
  <c r="D94" i="49"/>
  <c r="D92" i="49"/>
  <c r="AK11" i="45"/>
  <c r="AG11" i="45"/>
  <c r="AA15" i="45"/>
  <c r="AA13" i="45"/>
  <c r="AJ11" i="45"/>
  <c r="AK16" i="45"/>
  <c r="AF18" i="45"/>
  <c r="AA21" i="45"/>
  <c r="AA16" i="45"/>
  <c r="AE15" i="45"/>
  <c r="AK15" i="45"/>
  <c r="AH15" i="45"/>
  <c r="AH21" i="45"/>
  <c r="AD21" i="45"/>
  <c r="AJ21" i="45"/>
  <c r="AH19" i="45"/>
  <c r="AG19" i="45"/>
  <c r="AK18" i="45"/>
  <c r="AJ15" i="45"/>
  <c r="AG15" i="45"/>
  <c r="AJ14" i="45"/>
  <c r="AJ12" i="45"/>
  <c r="E27" i="47"/>
  <c r="E29" i="46"/>
  <c r="AD25" i="45"/>
  <c r="AL25" i="45" s="1"/>
  <c r="AI25" i="45"/>
  <c r="AG26" i="45"/>
  <c r="AE25" i="45"/>
  <c r="AF25" i="45"/>
  <c r="AA25" i="45"/>
  <c r="AH16" i="45"/>
  <c r="AK25" i="45"/>
  <c r="AI12" i="45"/>
  <c r="AG25" i="45"/>
  <c r="AI11" i="45"/>
  <c r="AJ22" i="45"/>
  <c r="AE13" i="45"/>
  <c r="AG22" i="45"/>
  <c r="AK21" i="45"/>
  <c r="AH22" i="45"/>
  <c r="AK27" i="45"/>
  <c r="AF12" i="45"/>
  <c r="AG21" i="45"/>
  <c r="AK14" i="45"/>
  <c r="AJ27" i="45"/>
  <c r="AF22" i="45"/>
  <c r="AK10" i="45"/>
  <c r="AE23" i="45"/>
  <c r="AD23" i="45"/>
  <c r="AL23" i="45" s="1"/>
  <c r="AJ16" i="45"/>
  <c r="AD22" i="45"/>
  <c r="AL22" i="45" s="1"/>
  <c r="AH20" i="45"/>
  <c r="AD12" i="45"/>
  <c r="AL12" i="45" s="1"/>
  <c r="AF23" i="45"/>
  <c r="AD16" i="45"/>
  <c r="AK12" i="45"/>
  <c r="AD14" i="45"/>
  <c r="AE22" i="45"/>
  <c r="AG18" i="45"/>
  <c r="AJ23" i="45"/>
  <c r="AG12" i="45"/>
  <c r="AF27" i="45"/>
  <c r="AE14" i="45"/>
  <c r="AG30" i="45"/>
  <c r="AE11" i="45"/>
  <c r="AH14" i="45"/>
  <c r="AF14" i="45"/>
  <c r="AF13" i="45"/>
  <c r="AH12" i="45"/>
  <c r="AG27" i="45"/>
  <c r="AH27" i="45"/>
  <c r="AE16" i="45"/>
  <c r="AG14" i="45"/>
  <c r="AF19" i="45"/>
  <c r="AJ7" i="45"/>
  <c r="AE7" i="45"/>
  <c r="AK13" i="45"/>
  <c r="AA14" i="45"/>
  <c r="AF11" i="45"/>
  <c r="AE18" i="45"/>
  <c r="AK22" i="45"/>
  <c r="AF33" i="45"/>
  <c r="AF16" i="45"/>
  <c r="AK23" i="45"/>
  <c r="AF21" i="45"/>
  <c r="AG7" i="45"/>
  <c r="AI23" i="45"/>
  <c r="AD13" i="45"/>
  <c r="AL13" i="45" s="1"/>
  <c r="AJ26" i="45"/>
  <c r="AF15" i="45"/>
  <c r="AE27" i="45"/>
  <c r="AE12" i="45"/>
  <c r="AD11" i="45"/>
  <c r="AL11" i="45" s="1"/>
  <c r="AG13" i="45"/>
  <c r="AE21" i="45"/>
  <c r="AI14" i="45"/>
  <c r="AG32" i="45"/>
  <c r="AF7" i="45"/>
  <c r="AG16" i="45"/>
  <c r="AH11" i="45"/>
  <c r="AI22" i="45"/>
  <c r="AH13" i="45"/>
  <c r="AH18" i="45"/>
  <c r="AI13" i="45"/>
  <c r="AJ13" i="45"/>
  <c r="AD17" i="45"/>
  <c r="AG17" i="45"/>
  <c r="AA17" i="45"/>
  <c r="AF20" i="45"/>
  <c r="AA20" i="45"/>
  <c r="AD20" i="45"/>
  <c r="AG20" i="45"/>
  <c r="AH17" i="45"/>
  <c r="AF17" i="45"/>
  <c r="AD18" i="45"/>
  <c r="AA18" i="45"/>
  <c r="AE19" i="45"/>
  <c r="AJ20" i="45"/>
  <c r="AK20" i="45"/>
  <c r="AE20" i="45"/>
  <c r="C73" i="45"/>
  <c r="C70" i="45"/>
  <c r="C72" i="45"/>
  <c r="D86" i="45" s="1"/>
  <c r="C71" i="45"/>
  <c r="C69" i="45"/>
  <c r="C75" i="45"/>
  <c r="C74" i="45"/>
  <c r="AE17" i="45"/>
  <c r="AJ18" i="45"/>
  <c r="AJ19" i="45"/>
  <c r="AK19" i="45"/>
  <c r="AK17" i="45"/>
  <c r="AA19" i="45"/>
  <c r="AD19" i="45"/>
  <c r="AJ17" i="45"/>
  <c r="C17" i="2"/>
  <c r="E55" i="2"/>
  <c r="D22" i="2"/>
  <c r="D21" i="2"/>
  <c r="C10" i="2"/>
  <c r="C19" i="2"/>
  <c r="D16" i="2"/>
  <c r="C30" i="2"/>
  <c r="C28" i="2"/>
  <c r="C26" i="2"/>
  <c r="C18" i="2"/>
  <c r="C8" i="2"/>
  <c r="C14" i="2"/>
  <c r="C24" i="2"/>
  <c r="C22" i="2"/>
  <c r="C29" i="2"/>
  <c r="D24" i="2"/>
  <c r="C12" i="2"/>
  <c r="C53" i="2"/>
  <c r="C21" i="2"/>
  <c r="C9" i="2"/>
  <c r="C52" i="2"/>
  <c r="C16" i="2"/>
  <c r="D20" i="2"/>
  <c r="C20" i="2"/>
  <c r="C13" i="2"/>
  <c r="C51" i="2"/>
  <c r="D18" i="2"/>
  <c r="C23" i="2"/>
  <c r="C25" i="2"/>
  <c r="C33" i="2"/>
  <c r="C34" i="2"/>
  <c r="C11" i="2"/>
  <c r="D23" i="2"/>
  <c r="E19" i="2"/>
  <c r="C32" i="2"/>
  <c r="AA66" i="45" l="1"/>
  <c r="T67" i="45" s="1"/>
  <c r="H82" i="45" s="1"/>
  <c r="U67" i="45"/>
  <c r="D88" i="51"/>
  <c r="S67" i="45"/>
  <c r="C35" i="2"/>
  <c r="AL15" i="45"/>
  <c r="AL21" i="45"/>
  <c r="E28" i="47"/>
  <c r="E30" i="46"/>
  <c r="E31" i="46" s="1"/>
  <c r="AL14" i="45"/>
  <c r="AL20" i="45"/>
  <c r="AL19" i="45"/>
  <c r="AL16" i="45"/>
  <c r="AL18" i="45"/>
  <c r="AL17" i="45"/>
  <c r="D91" i="45"/>
  <c r="D89" i="45"/>
  <c r="D87" i="45"/>
  <c r="D88" i="45" s="1"/>
  <c r="D94" i="45"/>
  <c r="D92" i="45"/>
  <c r="D90" i="45"/>
  <c r="D85" i="45"/>
  <c r="E38" i="2"/>
  <c r="E47" i="2"/>
  <c r="E44" i="2"/>
  <c r="E43" i="2"/>
  <c r="E39" i="2"/>
  <c r="D19" i="2"/>
  <c r="E42" i="2"/>
  <c r="E48" i="2"/>
  <c r="E40" i="2"/>
  <c r="E49" i="2"/>
  <c r="B81" i="45" l="1"/>
  <c r="H81" i="45"/>
  <c r="E81" i="45"/>
  <c r="V67" i="45"/>
  <c r="Z67" i="45"/>
  <c r="B83" i="45" s="1"/>
  <c r="Y67" i="45"/>
  <c r="X67" i="45"/>
  <c r="W67" i="45"/>
  <c r="AA67" i="45" s="1"/>
  <c r="E29" i="47"/>
  <c r="D96" i="46"/>
  <c r="E62" i="2"/>
  <c r="E61" i="2"/>
  <c r="E58" i="2"/>
  <c r="E59" i="2" s="1"/>
  <c r="D2" i="3"/>
  <c r="H2" i="3" s="1"/>
  <c r="B79" i="4"/>
  <c r="B78" i="4"/>
  <c r="B77" i="4"/>
  <c r="S33" i="4"/>
  <c r="P33" i="4"/>
  <c r="V33" i="4" s="1"/>
  <c r="G33" i="4"/>
  <c r="R33" i="4" s="1"/>
  <c r="AC33" i="4" s="1"/>
  <c r="D33" i="4"/>
  <c r="S32" i="4"/>
  <c r="P32" i="4"/>
  <c r="V32" i="4" s="1"/>
  <c r="G32" i="4"/>
  <c r="R32" i="4" s="1"/>
  <c r="AC32" i="4" s="1"/>
  <c r="D32" i="4"/>
  <c r="P31" i="4"/>
  <c r="V31" i="4" s="1"/>
  <c r="G31" i="4"/>
  <c r="R31" i="4" s="1"/>
  <c r="AC31" i="4" s="1"/>
  <c r="D31" i="4"/>
  <c r="E79" i="4" s="1"/>
  <c r="U30" i="4"/>
  <c r="P30" i="4"/>
  <c r="V30" i="4" s="1"/>
  <c r="G30" i="4"/>
  <c r="R30" i="4" s="1"/>
  <c r="AC30" i="4" s="1"/>
  <c r="D30" i="4"/>
  <c r="U29" i="4"/>
  <c r="T29" i="4"/>
  <c r="S29" i="4"/>
  <c r="AA29" i="4" s="1"/>
  <c r="P29" i="4"/>
  <c r="V29" i="4" s="1"/>
  <c r="G29" i="4"/>
  <c r="R29" i="4" s="1"/>
  <c r="AC29" i="4" s="1"/>
  <c r="D29" i="4"/>
  <c r="T28" i="4"/>
  <c r="S28" i="4"/>
  <c r="AA28" i="4" s="1"/>
  <c r="P28" i="4"/>
  <c r="V28" i="4" s="1"/>
  <c r="G28" i="4"/>
  <c r="R28" i="4" s="1"/>
  <c r="AC28" i="4" s="1"/>
  <c r="D28" i="4"/>
  <c r="U27" i="4"/>
  <c r="T27" i="4"/>
  <c r="P27" i="4"/>
  <c r="V27" i="4" s="1"/>
  <c r="G27" i="4"/>
  <c r="R27" i="4" s="1"/>
  <c r="AC27" i="4" s="1"/>
  <c r="D27" i="4"/>
  <c r="U26" i="4"/>
  <c r="P26" i="4"/>
  <c r="V26" i="4" s="1"/>
  <c r="G26" i="4"/>
  <c r="R26" i="4" s="1"/>
  <c r="AC26" i="4" s="1"/>
  <c r="D26" i="4"/>
  <c r="AA25" i="4"/>
  <c r="S25" i="4"/>
  <c r="P25" i="4"/>
  <c r="V25" i="4" s="1"/>
  <c r="G25" i="4"/>
  <c r="R25" i="4" s="1"/>
  <c r="AC25" i="4" s="1"/>
  <c r="D25" i="4"/>
  <c r="P24" i="4"/>
  <c r="V24" i="4" s="1"/>
  <c r="G24" i="4"/>
  <c r="R24" i="4" s="1"/>
  <c r="AC24" i="4" s="1"/>
  <c r="D24" i="4"/>
  <c r="T23" i="4"/>
  <c r="S23" i="4"/>
  <c r="P23" i="4"/>
  <c r="V23" i="4" s="1"/>
  <c r="G23" i="4"/>
  <c r="R23" i="4" s="1"/>
  <c r="AC23" i="4" s="1"/>
  <c r="D23" i="4"/>
  <c r="P22" i="4"/>
  <c r="V22" i="4" s="1"/>
  <c r="G22" i="4"/>
  <c r="R22" i="4" s="1"/>
  <c r="AC22" i="4" s="1"/>
  <c r="D22" i="4"/>
  <c r="P21" i="4"/>
  <c r="W21" i="4" s="1"/>
  <c r="G21" i="4"/>
  <c r="R21" i="4" s="1"/>
  <c r="AC21" i="4" s="1"/>
  <c r="D21" i="4"/>
  <c r="E78" i="4" s="1"/>
  <c r="P20" i="4"/>
  <c r="Y20" i="4" s="1"/>
  <c r="G20" i="4"/>
  <c r="R20" i="4" s="1"/>
  <c r="AC20" i="4" s="1"/>
  <c r="D20" i="4"/>
  <c r="P19" i="4"/>
  <c r="G19" i="4"/>
  <c r="R19" i="4" s="1"/>
  <c r="AC19" i="4" s="1"/>
  <c r="D19" i="4"/>
  <c r="AC18" i="4"/>
  <c r="P18" i="4"/>
  <c r="Y18" i="4" s="1"/>
  <c r="G18" i="4"/>
  <c r="R18" i="4" s="1"/>
  <c r="D18" i="4"/>
  <c r="Z17" i="4"/>
  <c r="V17" i="4"/>
  <c r="T17" i="4"/>
  <c r="P17" i="4"/>
  <c r="Y17" i="4" s="1"/>
  <c r="G17" i="4"/>
  <c r="R17" i="4" s="1"/>
  <c r="AC17" i="4" s="1"/>
  <c r="D17" i="4"/>
  <c r="P16" i="4"/>
  <c r="G16" i="4"/>
  <c r="R16" i="4" s="1"/>
  <c r="AC16" i="4" s="1"/>
  <c r="D16" i="4"/>
  <c r="AC15" i="4"/>
  <c r="Y15" i="4"/>
  <c r="X15" i="4"/>
  <c r="W15" i="4"/>
  <c r="V15" i="4"/>
  <c r="U15" i="4"/>
  <c r="T15" i="4"/>
  <c r="S15" i="4"/>
  <c r="AD15" i="4" s="1"/>
  <c r="AL15" i="4" s="1"/>
  <c r="P15" i="4"/>
  <c r="Z15" i="4" s="1"/>
  <c r="G15" i="4"/>
  <c r="R15" i="4" s="1"/>
  <c r="D15" i="4"/>
  <c r="Z14" i="4"/>
  <c r="Y14" i="4"/>
  <c r="X14" i="4"/>
  <c r="W14" i="4"/>
  <c r="V14" i="4"/>
  <c r="AG14" i="4" s="1"/>
  <c r="U14" i="4"/>
  <c r="T14" i="4"/>
  <c r="P14" i="4"/>
  <c r="S14" i="4" s="1"/>
  <c r="AA14" i="4" s="1"/>
  <c r="G14" i="4"/>
  <c r="R14" i="4" s="1"/>
  <c r="AC14" i="4" s="1"/>
  <c r="D14" i="4"/>
  <c r="Z13" i="4"/>
  <c r="Y13" i="4"/>
  <c r="X13" i="4"/>
  <c r="W13" i="4"/>
  <c r="T13" i="4"/>
  <c r="P13" i="4"/>
  <c r="V13" i="4" s="1"/>
  <c r="G13" i="4"/>
  <c r="R13" i="4" s="1"/>
  <c r="AC13" i="4" s="1"/>
  <c r="D13" i="4"/>
  <c r="Y12" i="4"/>
  <c r="X12" i="4"/>
  <c r="U12" i="4"/>
  <c r="P12" i="4"/>
  <c r="W12" i="4" s="1"/>
  <c r="G12" i="4"/>
  <c r="R12" i="4" s="1"/>
  <c r="AC12" i="4" s="1"/>
  <c r="D12" i="4"/>
  <c r="AC11" i="4"/>
  <c r="X11" i="4"/>
  <c r="U11" i="4"/>
  <c r="P11" i="4"/>
  <c r="Z11" i="4" s="1"/>
  <c r="G11" i="4"/>
  <c r="R11" i="4" s="1"/>
  <c r="D11" i="4"/>
  <c r="AG10" i="4"/>
  <c r="Y10" i="4"/>
  <c r="AJ10" i="4" s="1"/>
  <c r="V10" i="4"/>
  <c r="U10" i="4"/>
  <c r="S10" i="4"/>
  <c r="AA10" i="4" s="1"/>
  <c r="P10" i="4"/>
  <c r="Z10" i="4" s="1"/>
  <c r="AK10" i="4" s="1"/>
  <c r="G10" i="4"/>
  <c r="R10" i="4" s="1"/>
  <c r="AC10" i="4" s="1"/>
  <c r="D10" i="4"/>
  <c r="AC9" i="4"/>
  <c r="Y9" i="4"/>
  <c r="X9" i="4"/>
  <c r="AI9" i="4" s="1"/>
  <c r="V9" i="4"/>
  <c r="U9" i="4"/>
  <c r="T9" i="4"/>
  <c r="S9" i="4"/>
  <c r="AD9" i="4" s="1"/>
  <c r="AL9" i="4" s="1"/>
  <c r="P9" i="4"/>
  <c r="Z9" i="4" s="1"/>
  <c r="AK9" i="4" s="1"/>
  <c r="G9" i="4"/>
  <c r="R9" i="4" s="1"/>
  <c r="D9" i="4"/>
  <c r="Y8" i="4"/>
  <c r="X8" i="4"/>
  <c r="AI8" i="4" s="1"/>
  <c r="W8" i="4"/>
  <c r="AH8" i="4" s="1"/>
  <c r="V8" i="4"/>
  <c r="AG8" i="4" s="1"/>
  <c r="S8" i="4"/>
  <c r="AD8" i="4" s="1"/>
  <c r="AL8" i="4" s="1"/>
  <c r="P8" i="4"/>
  <c r="U8" i="4" s="1"/>
  <c r="AF8" i="4" s="1"/>
  <c r="G8" i="4"/>
  <c r="R8" i="4" s="1"/>
  <c r="AC8" i="4" s="1"/>
  <c r="D8" i="4"/>
  <c r="AA7" i="4"/>
  <c r="Z7" i="4"/>
  <c r="W7" i="4"/>
  <c r="T7" i="4"/>
  <c r="S7" i="4"/>
  <c r="P7" i="4"/>
  <c r="Y7" i="4" s="1"/>
  <c r="AJ7" i="4" s="1"/>
  <c r="G7" i="4"/>
  <c r="R7" i="4" s="1"/>
  <c r="AC7" i="4" s="1"/>
  <c r="D7" i="4"/>
  <c r="E31" i="4" s="1"/>
  <c r="AK4" i="4"/>
  <c r="AE4" i="4"/>
  <c r="Z4" i="4"/>
  <c r="Y4" i="4"/>
  <c r="AJ4" i="4" s="1"/>
  <c r="X4" i="4"/>
  <c r="AI4" i="4" s="1"/>
  <c r="W4" i="4"/>
  <c r="AH4" i="4" s="1"/>
  <c r="V4" i="4"/>
  <c r="AG4" i="4" s="1"/>
  <c r="U4" i="4"/>
  <c r="AF4" i="4" s="1"/>
  <c r="T4" i="4"/>
  <c r="S4" i="4"/>
  <c r="AD4" i="4" s="1"/>
  <c r="R4" i="4"/>
  <c r="AC4" i="4" s="1"/>
  <c r="B4" i="4"/>
  <c r="D2" i="4"/>
  <c r="H2" i="4" s="1"/>
  <c r="B4" i="3"/>
  <c r="R4" i="3"/>
  <c r="AC4" i="3" s="1"/>
  <c r="S4" i="3"/>
  <c r="T4" i="3"/>
  <c r="AE4" i="3" s="1"/>
  <c r="U4" i="3"/>
  <c r="V4" i="3"/>
  <c r="AG4" i="3" s="1"/>
  <c r="W4" i="3"/>
  <c r="AH4" i="3" s="1"/>
  <c r="X4" i="3"/>
  <c r="AI4" i="3" s="1"/>
  <c r="Y4" i="3"/>
  <c r="AJ4" i="3" s="1"/>
  <c r="Z4" i="3"/>
  <c r="AK4" i="3" s="1"/>
  <c r="AD4" i="3"/>
  <c r="AF4" i="3"/>
  <c r="D7" i="3"/>
  <c r="E20" i="3" s="1"/>
  <c r="G7" i="3"/>
  <c r="P7" i="3"/>
  <c r="V7" i="3" s="1"/>
  <c r="R7" i="3"/>
  <c r="AC7" i="3" s="1"/>
  <c r="S7" i="3"/>
  <c r="AA7" i="3" s="1"/>
  <c r="T7" i="3"/>
  <c r="U7" i="3"/>
  <c r="Y7" i="3"/>
  <c r="AJ7" i="3" s="1"/>
  <c r="AE7" i="3"/>
  <c r="D8" i="3"/>
  <c r="E8" i="3"/>
  <c r="G8" i="3"/>
  <c r="P8" i="3"/>
  <c r="V8" i="3" s="1"/>
  <c r="R8" i="3"/>
  <c r="AC8" i="3" s="1"/>
  <c r="S8" i="3"/>
  <c r="AA8" i="3" s="1"/>
  <c r="T8" i="3"/>
  <c r="U8" i="3"/>
  <c r="Y8" i="3"/>
  <c r="AJ8" i="3" s="1"/>
  <c r="AE8" i="3"/>
  <c r="D9" i="3"/>
  <c r="E9" i="3"/>
  <c r="G9" i="3"/>
  <c r="P9" i="3"/>
  <c r="V9" i="3" s="1"/>
  <c r="R9" i="3"/>
  <c r="AC9" i="3" s="1"/>
  <c r="S9" i="3"/>
  <c r="AA9" i="3" s="1"/>
  <c r="U9" i="3"/>
  <c r="Y9" i="3"/>
  <c r="AJ9" i="3" s="1"/>
  <c r="D10" i="3"/>
  <c r="E10" i="3"/>
  <c r="G10" i="3"/>
  <c r="P10" i="3"/>
  <c r="V10" i="3" s="1"/>
  <c r="R10" i="3"/>
  <c r="AC10" i="3" s="1"/>
  <c r="S10" i="3"/>
  <c r="AA10" i="3" s="1"/>
  <c r="U10" i="3"/>
  <c r="Y10" i="3"/>
  <c r="AJ10" i="3" s="1"/>
  <c r="D11" i="3"/>
  <c r="E11" i="3"/>
  <c r="G11" i="3"/>
  <c r="P11" i="3"/>
  <c r="V11" i="3" s="1"/>
  <c r="R11" i="3"/>
  <c r="AC11" i="3" s="1"/>
  <c r="S11" i="3"/>
  <c r="AA11" i="3" s="1"/>
  <c r="U11" i="3"/>
  <c r="Y11" i="3"/>
  <c r="AJ11" i="3" s="1"/>
  <c r="D12" i="3"/>
  <c r="E12" i="3"/>
  <c r="G12" i="3"/>
  <c r="P12" i="3"/>
  <c r="V12" i="3" s="1"/>
  <c r="R12" i="3"/>
  <c r="AC12" i="3" s="1"/>
  <c r="S12" i="3"/>
  <c r="AA12" i="3" s="1"/>
  <c r="U12" i="3"/>
  <c r="Y12" i="3"/>
  <c r="AJ12" i="3" s="1"/>
  <c r="D13" i="3"/>
  <c r="E13" i="3"/>
  <c r="G13" i="3"/>
  <c r="P13" i="3"/>
  <c r="V13" i="3" s="1"/>
  <c r="R13" i="3"/>
  <c r="AC13" i="3" s="1"/>
  <c r="S13" i="3"/>
  <c r="AA13" i="3" s="1"/>
  <c r="U13" i="3"/>
  <c r="Y13" i="3"/>
  <c r="AJ13" i="3" s="1"/>
  <c r="D14" i="3"/>
  <c r="E14" i="3"/>
  <c r="G14" i="3"/>
  <c r="P14" i="3"/>
  <c r="V14" i="3" s="1"/>
  <c r="R14" i="3"/>
  <c r="AC14" i="3" s="1"/>
  <c r="S14" i="3"/>
  <c r="AA14" i="3" s="1"/>
  <c r="U14" i="3"/>
  <c r="Y14" i="3"/>
  <c r="AJ14" i="3" s="1"/>
  <c r="D15" i="3"/>
  <c r="E15" i="3"/>
  <c r="G15" i="3"/>
  <c r="P15" i="3"/>
  <c r="V15" i="3" s="1"/>
  <c r="R15" i="3"/>
  <c r="AC15" i="3" s="1"/>
  <c r="S15" i="3"/>
  <c r="AA15" i="3" s="1"/>
  <c r="U15" i="3"/>
  <c r="Y15" i="3"/>
  <c r="AJ15" i="3" s="1"/>
  <c r="D16" i="3"/>
  <c r="G16" i="3"/>
  <c r="R16" i="3" s="1"/>
  <c r="AC16" i="3" s="1"/>
  <c r="P16" i="3"/>
  <c r="S16" i="3"/>
  <c r="T16" i="3"/>
  <c r="U16" i="3"/>
  <c r="AF16" i="3" s="1"/>
  <c r="V16" i="3"/>
  <c r="W16" i="3"/>
  <c r="X16" i="3"/>
  <c r="Y16" i="3"/>
  <c r="Z16" i="3"/>
  <c r="AK16" i="3" s="1"/>
  <c r="D17" i="3"/>
  <c r="E17" i="3"/>
  <c r="G17" i="3"/>
  <c r="R17" i="3" s="1"/>
  <c r="AC17" i="3" s="1"/>
  <c r="P17" i="3"/>
  <c r="X17" i="3" s="1"/>
  <c r="T17" i="3"/>
  <c r="U17" i="3"/>
  <c r="W17" i="3"/>
  <c r="D18" i="3"/>
  <c r="E18" i="3"/>
  <c r="G18" i="3"/>
  <c r="R18" i="3" s="1"/>
  <c r="AC18" i="3" s="1"/>
  <c r="P18" i="3"/>
  <c r="Y18" i="3" s="1"/>
  <c r="T18" i="3"/>
  <c r="V18" i="3"/>
  <c r="W18" i="3"/>
  <c r="X18" i="3"/>
  <c r="D19" i="3"/>
  <c r="G19" i="3"/>
  <c r="R19" i="3" s="1"/>
  <c r="AC19" i="3" s="1"/>
  <c r="P19" i="3"/>
  <c r="W19" i="3" s="1"/>
  <c r="D20" i="3"/>
  <c r="G20" i="3"/>
  <c r="P20" i="3"/>
  <c r="S20" i="3" s="1"/>
  <c r="R20" i="3"/>
  <c r="AC20" i="3" s="1"/>
  <c r="X20" i="3"/>
  <c r="Z20" i="3"/>
  <c r="D21" i="3"/>
  <c r="E78" i="3" s="1"/>
  <c r="G21" i="3"/>
  <c r="R21" i="3" s="1"/>
  <c r="AC21" i="3" s="1"/>
  <c r="P21" i="3"/>
  <c r="T21" i="3" s="1"/>
  <c r="D22" i="3"/>
  <c r="E22" i="3"/>
  <c r="G22" i="3"/>
  <c r="R22" i="3" s="1"/>
  <c r="AC22" i="3" s="1"/>
  <c r="P22" i="3"/>
  <c r="W22" i="3" s="1"/>
  <c r="S22" i="3"/>
  <c r="T22" i="3"/>
  <c r="AE22" i="3" s="1"/>
  <c r="V22" i="3"/>
  <c r="X22" i="3"/>
  <c r="Y22" i="3"/>
  <c r="Z22" i="3"/>
  <c r="AA22" i="3"/>
  <c r="D23" i="3"/>
  <c r="E23" i="3"/>
  <c r="D95" i="3" s="1"/>
  <c r="G23" i="3"/>
  <c r="R23" i="3" s="1"/>
  <c r="AC23" i="3" s="1"/>
  <c r="P23" i="3"/>
  <c r="W23" i="3" s="1"/>
  <c r="S23" i="3"/>
  <c r="T23" i="3"/>
  <c r="AE23" i="3" s="1"/>
  <c r="V23" i="3"/>
  <c r="X23" i="3"/>
  <c r="Y23" i="3"/>
  <c r="Z23" i="3"/>
  <c r="AA23" i="3"/>
  <c r="D24" i="3"/>
  <c r="E24" i="3"/>
  <c r="G24" i="3"/>
  <c r="R24" i="3" s="1"/>
  <c r="AC24" i="3" s="1"/>
  <c r="P24" i="3"/>
  <c r="W24" i="3" s="1"/>
  <c r="S24" i="3"/>
  <c r="T24" i="3"/>
  <c r="AE24" i="3" s="1"/>
  <c r="V24" i="3"/>
  <c r="X24" i="3"/>
  <c r="Y24" i="3"/>
  <c r="Z24" i="3"/>
  <c r="AA24" i="3"/>
  <c r="D25" i="3"/>
  <c r="E25" i="3"/>
  <c r="G25" i="3"/>
  <c r="R25" i="3" s="1"/>
  <c r="AC25" i="3" s="1"/>
  <c r="P25" i="3"/>
  <c r="W25" i="3" s="1"/>
  <c r="S25" i="3"/>
  <c r="T25" i="3"/>
  <c r="AE25" i="3" s="1"/>
  <c r="V25" i="3"/>
  <c r="X25" i="3"/>
  <c r="Y25" i="3"/>
  <c r="AG25" i="3" s="1"/>
  <c r="Z25" i="3"/>
  <c r="AA25" i="3"/>
  <c r="D26" i="3"/>
  <c r="E26" i="3"/>
  <c r="G26" i="3"/>
  <c r="R26" i="3" s="1"/>
  <c r="AC26" i="3" s="1"/>
  <c r="P26" i="3"/>
  <c r="W26" i="3" s="1"/>
  <c r="S26" i="3"/>
  <c r="T26" i="3"/>
  <c r="AE26" i="3" s="1"/>
  <c r="V26" i="3"/>
  <c r="X26" i="3"/>
  <c r="Y26" i="3"/>
  <c r="AG26" i="3" s="1"/>
  <c r="AA26" i="3"/>
  <c r="D27" i="3"/>
  <c r="E27" i="3"/>
  <c r="G27" i="3"/>
  <c r="R27" i="3" s="1"/>
  <c r="AC27" i="3" s="1"/>
  <c r="P27" i="3"/>
  <c r="W27" i="3" s="1"/>
  <c r="S27" i="3"/>
  <c r="T27" i="3"/>
  <c r="AE27" i="3" s="1"/>
  <c r="V27" i="3"/>
  <c r="X27" i="3"/>
  <c r="Y27" i="3"/>
  <c r="AA27" i="3"/>
  <c r="D28" i="3"/>
  <c r="E28" i="3"/>
  <c r="G28" i="3"/>
  <c r="R28" i="3" s="1"/>
  <c r="AC28" i="3" s="1"/>
  <c r="P28" i="3"/>
  <c r="W28" i="3" s="1"/>
  <c r="S28" i="3"/>
  <c r="T28" i="3"/>
  <c r="AE28" i="3" s="1"/>
  <c r="V28" i="3"/>
  <c r="X28" i="3"/>
  <c r="Y28" i="3"/>
  <c r="AG28" i="3" s="1"/>
  <c r="AA28" i="3"/>
  <c r="D29" i="3"/>
  <c r="E29" i="3"/>
  <c r="G29" i="3"/>
  <c r="R29" i="3" s="1"/>
  <c r="AC29" i="3" s="1"/>
  <c r="P29" i="3"/>
  <c r="W29" i="3" s="1"/>
  <c r="S29" i="3"/>
  <c r="T29" i="3"/>
  <c r="AE29" i="3" s="1"/>
  <c r="V29" i="3"/>
  <c r="X29" i="3"/>
  <c r="Y29" i="3"/>
  <c r="AA29" i="3"/>
  <c r="D30" i="3"/>
  <c r="E30" i="3"/>
  <c r="D96" i="3" s="1"/>
  <c r="G30" i="3"/>
  <c r="R30" i="3" s="1"/>
  <c r="P30" i="3"/>
  <c r="W30" i="3" s="1"/>
  <c r="S30" i="3"/>
  <c r="AA30" i="3" s="1"/>
  <c r="U30" i="3"/>
  <c r="V30" i="3"/>
  <c r="X30" i="3"/>
  <c r="Z30" i="3"/>
  <c r="AC30" i="3"/>
  <c r="D31" i="3"/>
  <c r="E31" i="3"/>
  <c r="G31" i="3"/>
  <c r="R31" i="3" s="1"/>
  <c r="AC31" i="3" s="1"/>
  <c r="P31" i="3"/>
  <c r="W31" i="3" s="1"/>
  <c r="S31" i="3"/>
  <c r="T31" i="3"/>
  <c r="AE31" i="3" s="1"/>
  <c r="U31" i="3"/>
  <c r="V31" i="3"/>
  <c r="X31" i="3"/>
  <c r="Y31" i="3"/>
  <c r="Z31" i="3"/>
  <c r="AA31" i="3"/>
  <c r="D32" i="3"/>
  <c r="E32" i="3"/>
  <c r="G32" i="3"/>
  <c r="R32" i="3" s="1"/>
  <c r="AC32" i="3" s="1"/>
  <c r="P32" i="3"/>
  <c r="W32" i="3" s="1"/>
  <c r="S32" i="3"/>
  <c r="T32" i="3"/>
  <c r="V32" i="3"/>
  <c r="Y32" i="3"/>
  <c r="Z32" i="3"/>
  <c r="D33" i="3"/>
  <c r="E33" i="3"/>
  <c r="G33" i="3"/>
  <c r="R33" i="3" s="1"/>
  <c r="AC33" i="3" s="1"/>
  <c r="P33" i="3"/>
  <c r="W33" i="3" s="1"/>
  <c r="S33" i="3"/>
  <c r="AA33" i="3" s="1"/>
  <c r="T33" i="3"/>
  <c r="V33" i="3"/>
  <c r="Y33" i="3"/>
  <c r="Z33" i="3"/>
  <c r="B77" i="3"/>
  <c r="E77" i="3"/>
  <c r="B78" i="3"/>
  <c r="B79" i="3"/>
  <c r="E79" i="3"/>
  <c r="E83" i="3"/>
  <c r="D48" i="2"/>
  <c r="AE7" i="4" l="1"/>
  <c r="AH7" i="4"/>
  <c r="E82" i="4"/>
  <c r="W18" i="4"/>
  <c r="E82" i="3"/>
  <c r="X33" i="3"/>
  <c r="X32" i="3"/>
  <c r="AI32" i="3" s="1"/>
  <c r="Y20" i="3"/>
  <c r="E19" i="3"/>
  <c r="Y17" i="3"/>
  <c r="W15" i="3"/>
  <c r="AH15" i="3" s="1"/>
  <c r="W14" i="3"/>
  <c r="AH14" i="3" s="1"/>
  <c r="W13" i="3"/>
  <c r="AH13" i="3" s="1"/>
  <c r="W12" i="3"/>
  <c r="AH12" i="3" s="1"/>
  <c r="W11" i="3"/>
  <c r="AH11" i="3" s="1"/>
  <c r="W10" i="3"/>
  <c r="AH10" i="3" s="1"/>
  <c r="W9" i="3"/>
  <c r="AH9" i="3" s="1"/>
  <c r="W8" i="3"/>
  <c r="AH8" i="3" s="1"/>
  <c r="W7" i="3"/>
  <c r="AH7" i="3" s="1"/>
  <c r="Z12" i="4"/>
  <c r="S22" i="4"/>
  <c r="S24" i="4"/>
  <c r="AA24" i="4" s="1"/>
  <c r="S31" i="4"/>
  <c r="AE15" i="4"/>
  <c r="AF15" i="3"/>
  <c r="AF14" i="3"/>
  <c r="AF13" i="3"/>
  <c r="AF12" i="3"/>
  <c r="AF11" i="3"/>
  <c r="AF10" i="3"/>
  <c r="AF9" i="3"/>
  <c r="AF8" i="3"/>
  <c r="AF7" i="3"/>
  <c r="AJ8" i="4"/>
  <c r="AG9" i="4"/>
  <c r="AG15" i="4"/>
  <c r="S21" i="4"/>
  <c r="AH21" i="4" s="1"/>
  <c r="T22" i="4"/>
  <c r="T24" i="4"/>
  <c r="T31" i="4"/>
  <c r="AE9" i="4"/>
  <c r="B82" i="3"/>
  <c r="E81" i="3"/>
  <c r="U33" i="3"/>
  <c r="U32" i="3"/>
  <c r="Y30" i="3"/>
  <c r="AG30" i="3" s="1"/>
  <c r="Z29" i="3"/>
  <c r="AK29" i="3" s="1"/>
  <c r="Z28" i="3"/>
  <c r="AK28" i="3" s="1"/>
  <c r="Z27" i="3"/>
  <c r="AK27" i="3" s="1"/>
  <c r="Z26" i="3"/>
  <c r="AK26" i="3" s="1"/>
  <c r="AK25" i="3"/>
  <c r="AK24" i="3"/>
  <c r="AK23" i="3"/>
  <c r="AK22" i="3"/>
  <c r="Z21" i="3"/>
  <c r="W20" i="3"/>
  <c r="AH20" i="3" s="1"/>
  <c r="Z18" i="3"/>
  <c r="V17" i="3"/>
  <c r="AG16" i="3"/>
  <c r="T15" i="3"/>
  <c r="AE15" i="3" s="1"/>
  <c r="T14" i="3"/>
  <c r="AE14" i="3" s="1"/>
  <c r="T13" i="3"/>
  <c r="AE13" i="3" s="1"/>
  <c r="T12" i="3"/>
  <c r="AE12" i="3" s="1"/>
  <c r="T11" i="3"/>
  <c r="AE11" i="3" s="1"/>
  <c r="T10" i="3"/>
  <c r="AE10" i="3" s="1"/>
  <c r="T9" i="3"/>
  <c r="AE9" i="3" s="1"/>
  <c r="Z8" i="4"/>
  <c r="AK8" i="4" s="1"/>
  <c r="W9" i="4"/>
  <c r="T10" i="4"/>
  <c r="S11" i="4"/>
  <c r="AK11" i="4" s="1"/>
  <c r="T21" i="4"/>
  <c r="U22" i="4"/>
  <c r="U24" i="4"/>
  <c r="S26" i="4"/>
  <c r="AA26" i="4" s="1"/>
  <c r="U31" i="4"/>
  <c r="T33" i="4"/>
  <c r="E83" i="45"/>
  <c r="AE33" i="3"/>
  <c r="AF23" i="3"/>
  <c r="AF22" i="3"/>
  <c r="Y21" i="3"/>
  <c r="AJ21" i="3" s="1"/>
  <c r="T20" i="3"/>
  <c r="AD7" i="4"/>
  <c r="AL7" i="4" s="1"/>
  <c r="AA8" i="4"/>
  <c r="T11" i="4"/>
  <c r="AE11" i="4" s="1"/>
  <c r="AJ14" i="4"/>
  <c r="U21" i="4"/>
  <c r="T26" i="4"/>
  <c r="U33" i="4"/>
  <c r="H82" i="3"/>
  <c r="X21" i="3"/>
  <c r="AE16" i="3"/>
  <c r="AJ9" i="4"/>
  <c r="AK14" i="4"/>
  <c r="AH15" i="4"/>
  <c r="V21" i="4"/>
  <c r="E32" i="4"/>
  <c r="AK7" i="4"/>
  <c r="B81" i="3"/>
  <c r="AD32" i="3"/>
  <c r="AL32" i="3" s="1"/>
  <c r="AH33" i="3"/>
  <c r="AH16" i="3"/>
  <c r="AG15" i="3"/>
  <c r="AG14" i="3"/>
  <c r="AG13" i="3"/>
  <c r="AG12" i="3"/>
  <c r="AG11" i="3"/>
  <c r="AG10" i="3"/>
  <c r="AG9" i="3"/>
  <c r="AG8" i="3"/>
  <c r="AG7" i="3"/>
  <c r="U7" i="4"/>
  <c r="W10" i="4"/>
  <c r="V11" i="4"/>
  <c r="AG11" i="4" s="1"/>
  <c r="S12" i="4"/>
  <c r="AA12" i="4" s="1"/>
  <c r="W17" i="4"/>
  <c r="X21" i="4"/>
  <c r="U28" i="4"/>
  <c r="S30" i="4"/>
  <c r="AA30" i="4" s="1"/>
  <c r="H83" i="45"/>
  <c r="B82" i="45"/>
  <c r="E82" i="45"/>
  <c r="AE32" i="3"/>
  <c r="AH32" i="3"/>
  <c r="S21" i="3"/>
  <c r="T30" i="3"/>
  <c r="AE30" i="3" s="1"/>
  <c r="U29" i="3"/>
  <c r="AF29" i="3" s="1"/>
  <c r="U28" i="3"/>
  <c r="U27" i="3"/>
  <c r="AF27" i="3" s="1"/>
  <c r="U26" i="3"/>
  <c r="U25" i="3"/>
  <c r="AF25" i="3" s="1"/>
  <c r="U24" i="3"/>
  <c r="AF24" i="3" s="1"/>
  <c r="U23" i="3"/>
  <c r="U22" i="3"/>
  <c r="U18" i="3"/>
  <c r="V7" i="4"/>
  <c r="AG7" i="4" s="1"/>
  <c r="AA9" i="4"/>
  <c r="X10" i="4"/>
  <c r="W11" i="4"/>
  <c r="AH11" i="4" s="1"/>
  <c r="T12" i="4"/>
  <c r="AE12" i="4" s="1"/>
  <c r="S13" i="4"/>
  <c r="AA15" i="4"/>
  <c r="X17" i="4"/>
  <c r="Y21" i="4"/>
  <c r="AD21" i="4" s="1"/>
  <c r="AL21" i="4" s="1"/>
  <c r="T30" i="4"/>
  <c r="Z21" i="4"/>
  <c r="AH30" i="3"/>
  <c r="AD29" i="3"/>
  <c r="AL29" i="3" s="1"/>
  <c r="AD28" i="3"/>
  <c r="AL28" i="3" s="1"/>
  <c r="AD27" i="3"/>
  <c r="AL27" i="3" s="1"/>
  <c r="AD26" i="3"/>
  <c r="AL26" i="3" s="1"/>
  <c r="AD25" i="3"/>
  <c r="AL25" i="3" s="1"/>
  <c r="AD24" i="3"/>
  <c r="AL24" i="3" s="1"/>
  <c r="AD23" i="3"/>
  <c r="AL23" i="3" s="1"/>
  <c r="AD22" i="3"/>
  <c r="AL22" i="3" s="1"/>
  <c r="Y19" i="3"/>
  <c r="X7" i="4"/>
  <c r="AI7" i="4" s="1"/>
  <c r="T8" i="4"/>
  <c r="AE8" i="4" s="1"/>
  <c r="Y11" i="4"/>
  <c r="AJ11" i="4" s="1"/>
  <c r="V12" i="4"/>
  <c r="AG12" i="4" s="1"/>
  <c r="U13" i="4"/>
  <c r="AJ15" i="4"/>
  <c r="U23" i="4"/>
  <c r="T25" i="4"/>
  <c r="T32" i="4"/>
  <c r="AD30" i="3"/>
  <c r="AL30" i="3" s="1"/>
  <c r="AA32" i="3"/>
  <c r="AH29" i="3"/>
  <c r="AH28" i="3"/>
  <c r="AH27" i="3"/>
  <c r="AH26" i="3"/>
  <c r="AH25" i="3"/>
  <c r="AH24" i="3"/>
  <c r="AH23" i="3"/>
  <c r="AH22" i="3"/>
  <c r="E21" i="3"/>
  <c r="V19" i="3"/>
  <c r="U25" i="4"/>
  <c r="S27" i="4"/>
  <c r="U32" i="4"/>
  <c r="E30" i="47"/>
  <c r="E32" i="46"/>
  <c r="E60" i="2"/>
  <c r="E63" i="2" s="1"/>
  <c r="AF29" i="4"/>
  <c r="AF9" i="4"/>
  <c r="AF11" i="4"/>
  <c r="AF13" i="4"/>
  <c r="E22" i="4"/>
  <c r="AE26" i="4"/>
  <c r="E16" i="4"/>
  <c r="AA21" i="4"/>
  <c r="AA27" i="4"/>
  <c r="E33" i="4"/>
  <c r="AH12" i="4"/>
  <c r="AH14" i="4"/>
  <c r="E17" i="4"/>
  <c r="E77" i="4"/>
  <c r="E15" i="4"/>
  <c r="E13" i="4"/>
  <c r="E12" i="4"/>
  <c r="E11" i="4"/>
  <c r="E10" i="4"/>
  <c r="E9" i="4"/>
  <c r="E19" i="4"/>
  <c r="E20" i="4"/>
  <c r="E21" i="4"/>
  <c r="AH10" i="4"/>
  <c r="AI14" i="4"/>
  <c r="AE10" i="4"/>
  <c r="AI10" i="4"/>
  <c r="U16" i="4"/>
  <c r="E30" i="4"/>
  <c r="D96" i="4" s="1"/>
  <c r="B82" i="4"/>
  <c r="AE14" i="4"/>
  <c r="AK15" i="4"/>
  <c r="V16" i="4"/>
  <c r="S19" i="4"/>
  <c r="Z19" i="4"/>
  <c r="Y19" i="4"/>
  <c r="AJ19" i="4" s="1"/>
  <c r="W19" i="4"/>
  <c r="V19" i="4"/>
  <c r="U19" i="4"/>
  <c r="T19" i="4"/>
  <c r="AA23" i="4"/>
  <c r="E29" i="4"/>
  <c r="B81" i="4"/>
  <c r="AF10" i="4"/>
  <c r="AF12" i="4"/>
  <c r="AF14" i="4"/>
  <c r="W16" i="4"/>
  <c r="E18" i="4"/>
  <c r="AA22" i="4"/>
  <c r="E28" i="4"/>
  <c r="T20" i="4"/>
  <c r="AE20" i="4" s="1"/>
  <c r="Z20" i="4"/>
  <c r="X20" i="4"/>
  <c r="W20" i="4"/>
  <c r="V20" i="4"/>
  <c r="U20" i="4"/>
  <c r="E83" i="4"/>
  <c r="X16" i="4"/>
  <c r="H81" i="4"/>
  <c r="E81" i="4"/>
  <c r="T16" i="4"/>
  <c r="S16" i="4"/>
  <c r="H83" i="4"/>
  <c r="AD10" i="4"/>
  <c r="AL10" i="4" s="1"/>
  <c r="AD14" i="4"/>
  <c r="AL14" i="4" s="1"/>
  <c r="S20" i="4"/>
  <c r="AJ20" i="4" s="1"/>
  <c r="Y16" i="4"/>
  <c r="X19" i="4"/>
  <c r="E27" i="4"/>
  <c r="AA33" i="4"/>
  <c r="H82" i="4"/>
  <c r="Z16" i="4"/>
  <c r="AK16" i="4" s="1"/>
  <c r="AG17" i="4"/>
  <c r="Z18" i="4"/>
  <c r="X18" i="4"/>
  <c r="V18" i="4"/>
  <c r="U18" i="4"/>
  <c r="T18" i="4"/>
  <c r="S18" i="4"/>
  <c r="AH18" i="4" s="1"/>
  <c r="E26" i="4"/>
  <c r="AA32" i="4"/>
  <c r="B83" i="4"/>
  <c r="AD23" i="4"/>
  <c r="AL23" i="4" s="1"/>
  <c r="AI12" i="4"/>
  <c r="AF7" i="4"/>
  <c r="AH9" i="4"/>
  <c r="AH13" i="4"/>
  <c r="E25" i="4"/>
  <c r="AA31" i="4"/>
  <c r="E24" i="4"/>
  <c r="E14" i="4"/>
  <c r="E8" i="4"/>
  <c r="E23" i="4"/>
  <c r="D95" i="4" s="1"/>
  <c r="AF15" i="4"/>
  <c r="W22" i="4"/>
  <c r="W23" i="4"/>
  <c r="AH23" i="4" s="1"/>
  <c r="W24" i="4"/>
  <c r="W25" i="4"/>
  <c r="W26" i="4"/>
  <c r="AH26" i="4" s="1"/>
  <c r="W27" i="4"/>
  <c r="W28" i="4"/>
  <c r="W29" i="4"/>
  <c r="W30" i="4"/>
  <c r="W31" i="4"/>
  <c r="W32" i="4"/>
  <c r="W33" i="4"/>
  <c r="AH33" i="4" s="1"/>
  <c r="S17" i="4"/>
  <c r="X22" i="4"/>
  <c r="X23" i="4"/>
  <c r="X24" i="4"/>
  <c r="X25" i="4"/>
  <c r="X26" i="4"/>
  <c r="X27" i="4"/>
  <c r="X28" i="4"/>
  <c r="X29" i="4"/>
  <c r="X30" i="4"/>
  <c r="X31" i="4"/>
  <c r="X32" i="4"/>
  <c r="X33" i="4"/>
  <c r="Y22" i="4"/>
  <c r="AJ22" i="4" s="1"/>
  <c r="Y23" i="4"/>
  <c r="AJ23" i="4" s="1"/>
  <c r="Y24" i="4"/>
  <c r="AJ24" i="4" s="1"/>
  <c r="Y25" i="4"/>
  <c r="AJ25" i="4" s="1"/>
  <c r="Y26" i="4"/>
  <c r="AD26" i="4" s="1"/>
  <c r="AL26" i="4" s="1"/>
  <c r="Y27" i="4"/>
  <c r="AG27" i="4" s="1"/>
  <c r="Y28" i="4"/>
  <c r="AD28" i="4" s="1"/>
  <c r="AL28" i="4" s="1"/>
  <c r="Y29" i="4"/>
  <c r="AJ29" i="4" s="1"/>
  <c r="Y30" i="4"/>
  <c r="Y31" i="4"/>
  <c r="Y32" i="4"/>
  <c r="AF32" i="4" s="1"/>
  <c r="Y33" i="4"/>
  <c r="AJ33" i="4" s="1"/>
  <c r="U17" i="4"/>
  <c r="AF17" i="4" s="1"/>
  <c r="Z22" i="4"/>
  <c r="Z23" i="4"/>
  <c r="Z24" i="4"/>
  <c r="Z25" i="4"/>
  <c r="Z26" i="4"/>
  <c r="Z27" i="4"/>
  <c r="AK27" i="4" s="1"/>
  <c r="Z28" i="4"/>
  <c r="Z29" i="4"/>
  <c r="Z30" i="4"/>
  <c r="Z31" i="4"/>
  <c r="AK31" i="4" s="1"/>
  <c r="Z32" i="4"/>
  <c r="Z33" i="4"/>
  <c r="AK33" i="4" s="1"/>
  <c r="AF31" i="3"/>
  <c r="AG31" i="3"/>
  <c r="AI31" i="3"/>
  <c r="AJ31" i="3"/>
  <c r="AD33" i="3"/>
  <c r="AL33" i="3" s="1"/>
  <c r="AJ20" i="3"/>
  <c r="AD31" i="3"/>
  <c r="AL31" i="3" s="1"/>
  <c r="AA20" i="3"/>
  <c r="AD20" i="3"/>
  <c r="AL20" i="3" s="1"/>
  <c r="AE20" i="3"/>
  <c r="AK20" i="3"/>
  <c r="AH31" i="3"/>
  <c r="AK33" i="3"/>
  <c r="AF33" i="3"/>
  <c r="AG33" i="3"/>
  <c r="AI33" i="3"/>
  <c r="AJ33" i="3"/>
  <c r="AK32" i="3"/>
  <c r="AG32" i="3"/>
  <c r="AF32" i="3"/>
  <c r="AJ32" i="3"/>
  <c r="AG19" i="3"/>
  <c r="AK31" i="3"/>
  <c r="W21" i="3"/>
  <c r="AH21" i="3" s="1"/>
  <c r="V20" i="3"/>
  <c r="AG20" i="3" s="1"/>
  <c r="U19" i="3"/>
  <c r="S17" i="3"/>
  <c r="AD15" i="3"/>
  <c r="AL15" i="3" s="1"/>
  <c r="AD14" i="3"/>
  <c r="AL14" i="3" s="1"/>
  <c r="AD13" i="3"/>
  <c r="AL13" i="3" s="1"/>
  <c r="AD12" i="3"/>
  <c r="AL12" i="3" s="1"/>
  <c r="AD11" i="3"/>
  <c r="AL11" i="3" s="1"/>
  <c r="AD10" i="3"/>
  <c r="AL10" i="3" s="1"/>
  <c r="AD9" i="3"/>
  <c r="AL9" i="3" s="1"/>
  <c r="AD8" i="3"/>
  <c r="AL8" i="3" s="1"/>
  <c r="AD7" i="3"/>
  <c r="AL7" i="3" s="1"/>
  <c r="H83" i="3"/>
  <c r="AJ30" i="3"/>
  <c r="AJ29" i="3"/>
  <c r="AJ28" i="3"/>
  <c r="AJ27" i="3"/>
  <c r="AJ26" i="3"/>
  <c r="AJ25" i="3"/>
  <c r="AJ24" i="3"/>
  <c r="AJ23" i="3"/>
  <c r="AJ22" i="3"/>
  <c r="V21" i="3"/>
  <c r="AG21" i="3" s="1"/>
  <c r="U20" i="3"/>
  <c r="AF20" i="3" s="1"/>
  <c r="T19" i="3"/>
  <c r="S18" i="3"/>
  <c r="AG18" i="3" s="1"/>
  <c r="AD16" i="3"/>
  <c r="AL16" i="3" s="1"/>
  <c r="AI30" i="3"/>
  <c r="AI26" i="3"/>
  <c r="AI24" i="3"/>
  <c r="AI22" i="3"/>
  <c r="S19" i="3"/>
  <c r="AH19" i="3" s="1"/>
  <c r="AI29" i="3"/>
  <c r="AI28" i="3"/>
  <c r="AI27" i="3"/>
  <c r="AI25" i="3"/>
  <c r="AI23" i="3"/>
  <c r="U21" i="3"/>
  <c r="AF21" i="3" s="1"/>
  <c r="B83" i="3"/>
  <c r="AA16" i="3"/>
  <c r="E16" i="3"/>
  <c r="C72" i="3" s="1"/>
  <c r="D86" i="3" s="1"/>
  <c r="Z15" i="3"/>
  <c r="AK15" i="3" s="1"/>
  <c r="Z14" i="3"/>
  <c r="AK14" i="3" s="1"/>
  <c r="Z13" i="3"/>
  <c r="AK13" i="3" s="1"/>
  <c r="Z12" i="3"/>
  <c r="AK12" i="3" s="1"/>
  <c r="Z11" i="3"/>
  <c r="AK11" i="3" s="1"/>
  <c r="Z10" i="3"/>
  <c r="AK10" i="3" s="1"/>
  <c r="Z9" i="3"/>
  <c r="AK9" i="3" s="1"/>
  <c r="Z8" i="3"/>
  <c r="AK8" i="3" s="1"/>
  <c r="Z7" i="3"/>
  <c r="AK7" i="3" s="1"/>
  <c r="AG29" i="3"/>
  <c r="AG27" i="3"/>
  <c r="AG23" i="3"/>
  <c r="AG22" i="3"/>
  <c r="AG24" i="3"/>
  <c r="AF30" i="3"/>
  <c r="AF28" i="3"/>
  <c r="AF26" i="3"/>
  <c r="Z17" i="3"/>
  <c r="X15" i="3"/>
  <c r="X14" i="3"/>
  <c r="AI14" i="3" s="1"/>
  <c r="X13" i="3"/>
  <c r="AI13" i="3" s="1"/>
  <c r="X12" i="3"/>
  <c r="AI12" i="3" s="1"/>
  <c r="X11" i="3"/>
  <c r="AI11" i="3" s="1"/>
  <c r="X10" i="3"/>
  <c r="AI10" i="3" s="1"/>
  <c r="X9" i="3"/>
  <c r="AI9" i="3" s="1"/>
  <c r="X8" i="3"/>
  <c r="AI8" i="3" s="1"/>
  <c r="X7" i="3"/>
  <c r="AI7" i="3" s="1"/>
  <c r="H81" i="3"/>
  <c r="Z19" i="3"/>
  <c r="AJ16" i="3"/>
  <c r="X19" i="3"/>
  <c r="D39" i="2"/>
  <c r="D47" i="2"/>
  <c r="D55" i="2"/>
  <c r="D43" i="2"/>
  <c r="D38" i="2"/>
  <c r="D49" i="2"/>
  <c r="D44" i="2"/>
  <c r="D42" i="2"/>
  <c r="D40" i="2"/>
  <c r="D56" i="2"/>
  <c r="AH27" i="4" l="1"/>
  <c r="AK24" i="4"/>
  <c r="AJ18" i="4"/>
  <c r="AD13" i="4"/>
  <c r="AL13" i="4" s="1"/>
  <c r="AA13" i="4"/>
  <c r="AG21" i="4"/>
  <c r="C71" i="3"/>
  <c r="AH24" i="4"/>
  <c r="AF24" i="4"/>
  <c r="AI22" i="4"/>
  <c r="AG16" i="4"/>
  <c r="AE21" i="4"/>
  <c r="AK13" i="4"/>
  <c r="C75" i="3"/>
  <c r="AF21" i="4"/>
  <c r="AD33" i="4"/>
  <c r="AL33" i="4" s="1"/>
  <c r="AF20" i="4"/>
  <c r="AD21" i="3"/>
  <c r="AL21" i="3" s="1"/>
  <c r="AA21" i="3"/>
  <c r="AJ12" i="4"/>
  <c r="AD11" i="4"/>
  <c r="AL11" i="4" s="1"/>
  <c r="AA11" i="4"/>
  <c r="C74" i="3"/>
  <c r="AJ21" i="4"/>
  <c r="AK21" i="4"/>
  <c r="AI11" i="4"/>
  <c r="AD27" i="4"/>
  <c r="AL27" i="4" s="1"/>
  <c r="AE19" i="3"/>
  <c r="C73" i="3"/>
  <c r="AK30" i="4"/>
  <c r="AG18" i="4"/>
  <c r="AH20" i="4"/>
  <c r="AE13" i="4"/>
  <c r="AF19" i="3"/>
  <c r="AE30" i="4"/>
  <c r="AD12" i="4"/>
  <c r="AL12" i="4" s="1"/>
  <c r="AE21" i="3"/>
  <c r="AK21" i="3"/>
  <c r="AJ13" i="4"/>
  <c r="AI13" i="4"/>
  <c r="AK19" i="3"/>
  <c r="AK28" i="4"/>
  <c r="AH30" i="4"/>
  <c r="AK18" i="4"/>
  <c r="AK20" i="4"/>
  <c r="AK30" i="3"/>
  <c r="AK12" i="4"/>
  <c r="AG13" i="4"/>
  <c r="E31" i="47"/>
  <c r="D96" i="47"/>
  <c r="E33" i="46"/>
  <c r="C69" i="46"/>
  <c r="C70" i="46"/>
  <c r="C71" i="46"/>
  <c r="D62" i="2"/>
  <c r="D58" i="2"/>
  <c r="D60" i="2" s="1"/>
  <c r="D61" i="2"/>
  <c r="AK22" i="4"/>
  <c r="AI23" i="4"/>
  <c r="AA19" i="4"/>
  <c r="AD19" i="4"/>
  <c r="AL19" i="4" s="1"/>
  <c r="AE23" i="4"/>
  <c r="AG33" i="4"/>
  <c r="AK32" i="4"/>
  <c r="AI33" i="4"/>
  <c r="AD17" i="4"/>
  <c r="AL17" i="4" s="1"/>
  <c r="AE17" i="4"/>
  <c r="AJ17" i="4"/>
  <c r="AK17" i="4"/>
  <c r="AA17" i="4"/>
  <c r="AH22" i="4"/>
  <c r="AE29" i="4"/>
  <c r="AE33" i="4"/>
  <c r="C73" i="4"/>
  <c r="C72" i="4"/>
  <c r="C71" i="4"/>
  <c r="C69" i="4"/>
  <c r="C70" i="4"/>
  <c r="C75" i="4"/>
  <c r="C74" i="4"/>
  <c r="AD25" i="4"/>
  <c r="AL25" i="4" s="1"/>
  <c r="AG24" i="4"/>
  <c r="AI32" i="4"/>
  <c r="AJ31" i="4"/>
  <c r="AG31" i="4"/>
  <c r="AF31" i="4"/>
  <c r="AI31" i="4"/>
  <c r="AH32" i="4"/>
  <c r="AD16" i="4"/>
  <c r="AL16" i="4" s="1"/>
  <c r="AA16" i="4"/>
  <c r="AE32" i="4"/>
  <c r="AD22" i="4"/>
  <c r="AL22" i="4" s="1"/>
  <c r="AJ32" i="4"/>
  <c r="AG32" i="4"/>
  <c r="AD32" i="4"/>
  <c r="AL32" i="4" s="1"/>
  <c r="AG22" i="4"/>
  <c r="AK29" i="4"/>
  <c r="AJ30" i="4"/>
  <c r="AF30" i="4"/>
  <c r="AG30" i="4"/>
  <c r="AI30" i="4"/>
  <c r="AH31" i="4"/>
  <c r="AD29" i="4"/>
  <c r="AL29" i="4" s="1"/>
  <c r="AE31" i="4"/>
  <c r="AE16" i="4"/>
  <c r="AD31" i="4"/>
  <c r="AL31" i="4" s="1"/>
  <c r="AG29" i="4"/>
  <c r="AI29" i="4"/>
  <c r="AD30" i="4"/>
  <c r="AL30" i="4" s="1"/>
  <c r="AE19" i="4"/>
  <c r="AJ28" i="4"/>
  <c r="AG28" i="4"/>
  <c r="AI28" i="4"/>
  <c r="AH29" i="4"/>
  <c r="AH17" i="4"/>
  <c r="AA18" i="4"/>
  <c r="AD18" i="4"/>
  <c r="AL18" i="4" s="1"/>
  <c r="AF19" i="4"/>
  <c r="AE22" i="4"/>
  <c r="AE25" i="4"/>
  <c r="AF28" i="4"/>
  <c r="AF25" i="4"/>
  <c r="AK26" i="4"/>
  <c r="AJ27" i="4"/>
  <c r="AF27" i="4"/>
  <c r="AI27" i="4"/>
  <c r="AH28" i="4"/>
  <c r="AE27" i="4"/>
  <c r="AE18" i="4"/>
  <c r="AG19" i="4"/>
  <c r="AF16" i="4"/>
  <c r="AD24" i="4"/>
  <c r="AL24" i="4" s="1"/>
  <c r="AF33" i="4"/>
  <c r="AF23" i="4"/>
  <c r="AK25" i="4"/>
  <c r="AJ26" i="4"/>
  <c r="AF26" i="4"/>
  <c r="AI26" i="4"/>
  <c r="AE28" i="4"/>
  <c r="AF18" i="4"/>
  <c r="AJ16" i="4"/>
  <c r="AH16" i="4"/>
  <c r="AH19" i="4"/>
  <c r="AG26" i="4"/>
  <c r="AI25" i="4"/>
  <c r="AG25" i="4"/>
  <c r="AK23" i="4"/>
  <c r="AI24" i="4"/>
  <c r="AH25" i="4"/>
  <c r="AA20" i="4"/>
  <c r="AD20" i="4"/>
  <c r="AL20" i="4" s="1"/>
  <c r="AG20" i="4"/>
  <c r="AK19" i="4"/>
  <c r="AE24" i="4"/>
  <c r="AF22" i="4"/>
  <c r="AG23" i="4"/>
  <c r="AJ17" i="3"/>
  <c r="AA17" i="3"/>
  <c r="AD17" i="3"/>
  <c r="AL17" i="3" s="1"/>
  <c r="AG17" i="3"/>
  <c r="AH17" i="3"/>
  <c r="AK17" i="3"/>
  <c r="AE17" i="3"/>
  <c r="AA19" i="3"/>
  <c r="AD19" i="3"/>
  <c r="AL19" i="3" s="1"/>
  <c r="AJ19" i="3"/>
  <c r="AF17" i="3"/>
  <c r="AH18" i="3"/>
  <c r="AK18" i="3"/>
  <c r="AA18" i="3"/>
  <c r="AD18" i="3"/>
  <c r="AL18" i="3" s="1"/>
  <c r="AE18" i="3"/>
  <c r="AF18" i="3"/>
  <c r="C69" i="3"/>
  <c r="D91" i="3" s="1"/>
  <c r="C70" i="3"/>
  <c r="AJ18" i="3"/>
  <c r="E32" i="47" l="1"/>
  <c r="C74" i="46"/>
  <c r="C73" i="46"/>
  <c r="C75" i="46"/>
  <c r="C72" i="46"/>
  <c r="D59" i="2"/>
  <c r="D63" i="2" s="1"/>
  <c r="D86" i="4"/>
  <c r="D91" i="4"/>
  <c r="D89" i="4"/>
  <c r="D87" i="4"/>
  <c r="D90" i="4"/>
  <c r="D85" i="4"/>
  <c r="D94" i="4"/>
  <c r="D92" i="4"/>
  <c r="D90" i="3"/>
  <c r="D92" i="3"/>
  <c r="D94" i="3"/>
  <c r="D85" i="3"/>
  <c r="D87" i="3"/>
  <c r="D88" i="3" s="1"/>
  <c r="D89" i="3"/>
  <c r="E33" i="47" l="1"/>
  <c r="C69" i="47"/>
  <c r="D86" i="46"/>
  <c r="D87" i="46"/>
  <c r="D91" i="46"/>
  <c r="D89" i="46"/>
  <c r="D90" i="46"/>
  <c r="D92" i="46"/>
  <c r="D94" i="46"/>
  <c r="D85" i="46"/>
  <c r="D88" i="4"/>
  <c r="C43" i="2"/>
  <c r="C47" i="2"/>
  <c r="C44" i="2"/>
  <c r="C42" i="2"/>
  <c r="C38" i="2"/>
  <c r="C56" i="2"/>
  <c r="C49" i="2"/>
  <c r="C39" i="2"/>
  <c r="C40" i="2"/>
  <c r="C48" i="2"/>
  <c r="C55" i="2"/>
  <c r="C70" i="47" l="1"/>
  <c r="C75" i="47"/>
  <c r="C72" i="47"/>
  <c r="C73" i="47"/>
  <c r="C74" i="47"/>
  <c r="C71" i="47"/>
  <c r="D88" i="46"/>
  <c r="C62" i="2"/>
  <c r="C61" i="2"/>
  <c r="C58" i="2"/>
  <c r="D86" i="47" l="1"/>
  <c r="D87" i="47"/>
  <c r="D91" i="47"/>
  <c r="D89" i="47"/>
  <c r="D85" i="47"/>
  <c r="D92" i="47"/>
  <c r="D94" i="47"/>
  <c r="D90" i="47"/>
  <c r="C59" i="2"/>
  <c r="C60" i="2"/>
  <c r="D88" i="47" l="1"/>
  <c r="C63" i="2"/>
</calcChain>
</file>

<file path=xl/sharedStrings.xml><?xml version="1.0" encoding="utf-8"?>
<sst xmlns="http://schemas.openxmlformats.org/spreadsheetml/2006/main" count="1071" uniqueCount="109">
  <si>
    <t>Lithics (%)</t>
  </si>
  <si>
    <t>Dense Juvenile (%)</t>
  </si>
  <si>
    <t>Pumices (%)</t>
  </si>
  <si>
    <t>Crystals (%)</t>
  </si>
  <si>
    <t>Juvenile (%)</t>
  </si>
  <si>
    <t>Fine ash (%)</t>
  </si>
  <si>
    <t>Coarse ash (%)</t>
  </si>
  <si>
    <t>Lapilli (%)</t>
  </si>
  <si>
    <t>F2</t>
  </si>
  <si>
    <t>F1</t>
  </si>
  <si>
    <t>MΦ</t>
  </si>
  <si>
    <t>Graphic mean</t>
  </si>
  <si>
    <t>Graphic kurtosis</t>
  </si>
  <si>
    <t>Inclusive graphic skewness</t>
  </si>
  <si>
    <t>Inclusive graphic standard deviation</t>
  </si>
  <si>
    <t>aΦ</t>
  </si>
  <si>
    <t>σΦ</t>
  </si>
  <si>
    <t>MdΦ</t>
  </si>
  <si>
    <t>MzΦ</t>
  </si>
  <si>
    <t>Φ95%</t>
  </si>
  <si>
    <t>Φ84%</t>
  </si>
  <si>
    <t>Φ75%</t>
  </si>
  <si>
    <t>Φ50%</t>
  </si>
  <si>
    <t>Φ25%</t>
  </si>
  <si>
    <t>Φ16%</t>
  </si>
  <si>
    <t>Φ5%</t>
  </si>
  <si>
    <t>Sample name</t>
  </si>
  <si>
    <t>Graphical Parameters</t>
  </si>
  <si>
    <t>Mean diameter MΦ (Φ16+Φ84)/2</t>
  </si>
  <si>
    <t>Graphic mean =</t>
  </si>
  <si>
    <t>Graphic kurtosis =</t>
  </si>
  <si>
    <t>Inclusive graphic skewness =</t>
  </si>
  <si>
    <t>Inclusive graphic standard deviation =</t>
  </si>
  <si>
    <r>
      <t>aΦ (</t>
    </r>
    <r>
      <rPr>
        <b/>
        <i/>
        <sz val="10"/>
        <color indexed="8"/>
        <rFont val="Calibri Light"/>
        <family val="2"/>
        <scheme val="major"/>
      </rPr>
      <t>skewness</t>
    </r>
    <r>
      <rPr>
        <b/>
        <sz val="10"/>
        <color indexed="8"/>
        <rFont val="Calibri Light"/>
        <family val="2"/>
        <scheme val="major"/>
      </rPr>
      <t>) = (Φ84 + Φ16-Mdf)/σΦ</t>
    </r>
  </si>
  <si>
    <t>σΦ (sorting) = (Φ84- Φ16)/2</t>
  </si>
  <si>
    <t>MdΦ (mean) = Φ50</t>
  </si>
  <si>
    <t>Mz</t>
  </si>
  <si>
    <t>Mixed (%)</t>
  </si>
  <si>
    <t>Ash</t>
  </si>
  <si>
    <t>Lapilli</t>
  </si>
  <si>
    <t>Block and bombs</t>
  </si>
  <si>
    <t>Φ</t>
  </si>
  <si>
    <t>(totale)</t>
  </si>
  <si>
    <t>&gt;6</t>
  </si>
  <si>
    <t>&lt;32</t>
  </si>
  <si>
    <t>45 - 31</t>
  </si>
  <si>
    <t xml:space="preserve"> 63 - 45</t>
  </si>
  <si>
    <t xml:space="preserve"> 90 - 63</t>
  </si>
  <si>
    <t>125-90</t>
  </si>
  <si>
    <t xml:space="preserve"> 180 - 125</t>
  </si>
  <si>
    <t>250-180</t>
  </si>
  <si>
    <t xml:space="preserve"> 355 - 250</t>
  </si>
  <si>
    <t>500-355</t>
  </si>
  <si>
    <t>710-500</t>
  </si>
  <si>
    <t>1000-710</t>
  </si>
  <si>
    <t xml:space="preserve"> 1400 - 1000</t>
  </si>
  <si>
    <t>2000-1400</t>
  </si>
  <si>
    <t xml:space="preserve"> 2800 - 2000</t>
  </si>
  <si>
    <t xml:space="preserve"> 4000 - 2800</t>
  </si>
  <si>
    <t>5,66-4</t>
  </si>
  <si>
    <t>8-5,66</t>
  </si>
  <si>
    <t>11.3-8</t>
  </si>
  <si>
    <t>16-11.3</t>
  </si>
  <si>
    <t>22,6-16</t>
  </si>
  <si>
    <t>32-22.6</t>
  </si>
  <si>
    <t>45.3-32</t>
  </si>
  <si>
    <t>64-45.3</t>
  </si>
  <si>
    <t>&gt;64</t>
  </si>
  <si>
    <t>128-90,5</t>
  </si>
  <si>
    <t>181-128</t>
  </si>
  <si>
    <t>256-181</t>
  </si>
  <si>
    <t>%Cum</t>
  </si>
  <si>
    <t>% Wt</t>
  </si>
  <si>
    <t>Wt</t>
  </si>
  <si>
    <t>F</t>
  </si>
  <si>
    <t xml:space="preserve">  Diameters (mm/μ)</t>
  </si>
  <si>
    <t>Total</t>
  </si>
  <si>
    <t>Crystals</t>
  </si>
  <si>
    <t>Accretionnary lapilli</t>
  </si>
  <si>
    <t>Aggregate</t>
  </si>
  <si>
    <t>Mafic clasts</t>
  </si>
  <si>
    <t>Coral fragments</t>
  </si>
  <si>
    <t>Obsidian</t>
  </si>
  <si>
    <t>Dense juveniles</t>
  </si>
  <si>
    <t>Pumices</t>
  </si>
  <si>
    <t>Grain size (phi)</t>
  </si>
  <si>
    <t>Total weight (g)</t>
  </si>
  <si>
    <t>Lithics</t>
  </si>
  <si>
    <t>Juveniles</t>
  </si>
  <si>
    <t>Location : Airport Beach</t>
  </si>
  <si>
    <t>Sample :</t>
  </si>
  <si>
    <t>Grain size analysis of sample</t>
  </si>
  <si>
    <t>Granulometry</t>
  </si>
  <si>
    <t>Componentry</t>
  </si>
  <si>
    <t>Presence of mixed ?</t>
  </si>
  <si>
    <t>Presence of obsidian ?</t>
  </si>
  <si>
    <t>Dense/Pumice ratio</t>
  </si>
  <si>
    <t>Dense</t>
  </si>
  <si>
    <t>Non juveniles</t>
  </si>
  <si>
    <t>Mixed</t>
  </si>
  <si>
    <t>90.5-64</t>
  </si>
  <si>
    <t>total</t>
  </si>
  <si>
    <t>MAY210717_5_no_aggr</t>
  </si>
  <si>
    <t>MAY210717_6_no_aggr</t>
  </si>
  <si>
    <t>MAY210717_7_no_aggr</t>
  </si>
  <si>
    <t>Only Aggregates</t>
  </si>
  <si>
    <t>Coral</t>
  </si>
  <si>
    <t>Mafics</t>
  </si>
  <si>
    <t>Xenolith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</si>
</sst>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0"/>
      <name val="Helv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 Light"/>
      <family val="2"/>
      <scheme val="major"/>
    </font>
    <font>
      <b/>
      <sz val="10"/>
      <color indexed="8"/>
      <name val="Calibri Light"/>
      <family val="2"/>
      <scheme val="major"/>
    </font>
    <font>
      <b/>
      <i/>
      <sz val="10"/>
      <color indexed="8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name val="Calibri"/>
      <family val="2"/>
    </font>
    <font>
      <sz val="11"/>
      <name val="Calibri"/>
      <family val="2"/>
    </font>
    <font>
      <b/>
      <sz val="8"/>
      <name val="Calibri Light"/>
      <family val="2"/>
      <scheme val="major"/>
    </font>
    <font>
      <b/>
      <sz val="10"/>
      <name val="Arial"/>
      <family val="2"/>
    </font>
    <font>
      <sz val="10"/>
      <color theme="1"/>
      <name val="Calibri Light"/>
      <family val="2"/>
      <scheme val="major"/>
    </font>
    <font>
      <sz val="10"/>
      <name val="Arial"/>
      <family val="2"/>
    </font>
    <font>
      <b/>
      <i/>
      <sz val="10"/>
      <name val="Calibri Light"/>
      <family val="2"/>
      <scheme val="maj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1"/>
      <color theme="1"/>
      <name val="Calibri"/>
      <family val="2"/>
      <scheme val="minor"/>
    </font>
    <font>
      <sz val="8"/>
      <color rgb="FF0A010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8" fillId="0" borderId="0"/>
  </cellStyleXfs>
  <cellXfs count="146">
    <xf numFmtId="0" fontId="0" fillId="0" borderId="0" xfId="0"/>
    <xf numFmtId="2" fontId="7" fillId="0" borderId="0" xfId="0" applyNumberFormat="1" applyFont="1"/>
    <xf numFmtId="0" fontId="7" fillId="0" borderId="0" xfId="0" applyFont="1"/>
    <xf numFmtId="0" fontId="9" fillId="0" borderId="0" xfId="3" applyFont="1" applyAlignment="1">
      <alignment horizontal="left"/>
    </xf>
    <xf numFmtId="2" fontId="9" fillId="0" borderId="0" xfId="3" applyNumberFormat="1" applyFont="1"/>
    <xf numFmtId="0" fontId="9" fillId="0" borderId="0" xfId="3" applyFont="1" applyAlignment="1">
      <alignment horizontal="centerContinuous"/>
    </xf>
    <xf numFmtId="0" fontId="9" fillId="0" borderId="0" xfId="3" applyFont="1"/>
    <xf numFmtId="2" fontId="10" fillId="0" borderId="0" xfId="3" applyNumberFormat="1" applyFont="1" applyAlignment="1">
      <alignment horizontal="center" vertical="center"/>
    </xf>
    <xf numFmtId="2" fontId="11" fillId="0" borderId="0" xfId="3" applyNumberFormat="1" applyFont="1"/>
    <xf numFmtId="0" fontId="11" fillId="0" borderId="0" xfId="3" applyFont="1" applyAlignment="1">
      <alignment horizontal="right"/>
    </xf>
    <xf numFmtId="0" fontId="11" fillId="0" borderId="0" xfId="3" applyFont="1" applyAlignment="1">
      <alignment horizontal="left"/>
    </xf>
    <xf numFmtId="0" fontId="11" fillId="0" borderId="0" xfId="3" applyFont="1"/>
    <xf numFmtId="2" fontId="11" fillId="0" borderId="0" xfId="3" applyNumberFormat="1" applyFont="1" applyAlignment="1">
      <alignment horizontal="right"/>
    </xf>
    <xf numFmtId="2" fontId="10" fillId="0" borderId="0" xfId="0" applyNumberFormat="1" applyFont="1" applyAlignment="1">
      <alignment horizontal="center" vertical="center"/>
    </xf>
    <xf numFmtId="0" fontId="9" fillId="0" borderId="0" xfId="0" applyFont="1"/>
    <xf numFmtId="0" fontId="12" fillId="0" borderId="0" xfId="0" applyFont="1"/>
    <xf numFmtId="0" fontId="14" fillId="0" borderId="0" xfId="0" applyFont="1"/>
    <xf numFmtId="0" fontId="4" fillId="0" borderId="0" xfId="0" applyFont="1"/>
    <xf numFmtId="2" fontId="15" fillId="0" borderId="0" xfId="3" applyNumberFormat="1" applyFont="1"/>
    <xf numFmtId="0" fontId="16" fillId="0" borderId="0" xfId="3" applyFont="1"/>
    <xf numFmtId="0" fontId="4" fillId="0" borderId="0" xfId="0" applyFont="1" applyAlignment="1">
      <alignment horizontal="left"/>
    </xf>
    <xf numFmtId="2" fontId="17" fillId="0" borderId="0" xfId="3" applyNumberFormat="1" applyFont="1" applyAlignment="1">
      <alignment horizontal="left"/>
    </xf>
    <xf numFmtId="0" fontId="15" fillId="0" borderId="0" xfId="3" applyFont="1"/>
    <xf numFmtId="0" fontId="0" fillId="0" borderId="0" xfId="0" applyAlignment="1">
      <alignment horizontal="left"/>
    </xf>
    <xf numFmtId="2" fontId="18" fillId="0" borderId="0" xfId="3" applyNumberFormat="1" applyFont="1" applyAlignment="1">
      <alignment horizontal="right"/>
    </xf>
    <xf numFmtId="0" fontId="11" fillId="0" borderId="0" xfId="3" applyFont="1" applyAlignment="1">
      <alignment horizontal="centerContinuous"/>
    </xf>
    <xf numFmtId="0" fontId="19" fillId="0" borderId="0" xfId="3" applyFont="1" applyAlignment="1">
      <alignment horizontal="centerContinuous"/>
    </xf>
    <xf numFmtId="0" fontId="20" fillId="0" borderId="0" xfId="3" applyFont="1"/>
    <xf numFmtId="164" fontId="5" fillId="0" borderId="0" xfId="0" applyNumberFormat="1" applyFont="1" applyAlignment="1">
      <alignment horizontal="center"/>
    </xf>
    <xf numFmtId="0" fontId="0" fillId="0" borderId="3" xfId="1" applyNumberFormat="1" applyFont="1" applyBorder="1" applyAlignment="1">
      <alignment horizontal="center"/>
    </xf>
    <xf numFmtId="0" fontId="0" fillId="0" borderId="4" xfId="1" applyNumberFormat="1" applyFont="1" applyBorder="1" applyAlignment="1">
      <alignment horizontal="center"/>
    </xf>
    <xf numFmtId="0" fontId="0" fillId="0" borderId="5" xfId="1" applyNumberFormat="1" applyFont="1" applyBorder="1" applyAlignment="1">
      <alignment horizontal="center"/>
    </xf>
    <xf numFmtId="0" fontId="0" fillId="0" borderId="6" xfId="1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0" fillId="0" borderId="3" xfId="0" applyBorder="1"/>
    <xf numFmtId="2" fontId="0" fillId="0" borderId="3" xfId="0" applyNumberFormat="1" applyBorder="1"/>
    <xf numFmtId="2" fontId="0" fillId="0" borderId="5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21" fillId="0" borderId="7" xfId="0" applyNumberFormat="1" applyFont="1" applyBorder="1"/>
    <xf numFmtId="2" fontId="21" fillId="0" borderId="8" xfId="0" applyNumberFormat="1" applyFont="1" applyBorder="1"/>
    <xf numFmtId="2" fontId="22" fillId="0" borderId="9" xfId="0" applyNumberFormat="1" applyFont="1" applyBorder="1"/>
    <xf numFmtId="164" fontId="23" fillId="0" borderId="7" xfId="3" applyNumberFormat="1" applyFont="1" applyBorder="1" applyAlignment="1">
      <alignment horizontal="center"/>
    </xf>
    <xf numFmtId="0" fontId="23" fillId="0" borderId="6" xfId="3" applyFont="1" applyBorder="1" applyAlignment="1">
      <alignment horizontal="center"/>
    </xf>
    <xf numFmtId="0" fontId="0" fillId="0" borderId="10" xfId="1" applyNumberFormat="1" applyFont="1" applyBorder="1" applyAlignment="1">
      <alignment horizontal="center"/>
    </xf>
    <xf numFmtId="0" fontId="0" fillId="0" borderId="11" xfId="1" applyNumberFormat="1" applyFont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0" fontId="0" fillId="0" borderId="12" xfId="1" applyNumberFormat="1" applyFont="1" applyBorder="1" applyAlignment="1">
      <alignment horizontal="center"/>
    </xf>
    <xf numFmtId="164" fontId="5" fillId="0" borderId="12" xfId="0" applyNumberFormat="1" applyFont="1" applyBorder="1" applyAlignment="1">
      <alignment horizontal="center"/>
    </xf>
    <xf numFmtId="0" fontId="0" fillId="0" borderId="10" xfId="0" applyBorder="1"/>
    <xf numFmtId="2" fontId="0" fillId="0" borderId="10" xfId="0" applyNumberFormat="1" applyBorder="1"/>
    <xf numFmtId="2" fontId="24" fillId="0" borderId="11" xfId="0" applyNumberFormat="1" applyFont="1" applyBorder="1" applyAlignment="1">
      <alignment horizontal="center"/>
    </xf>
    <xf numFmtId="2" fontId="24" fillId="0" borderId="0" xfId="0" applyNumberFormat="1" applyFont="1" applyAlignment="1">
      <alignment horizontal="center"/>
    </xf>
    <xf numFmtId="2" fontId="24" fillId="0" borderId="12" xfId="0" applyNumberFormat="1" applyFont="1" applyBorder="1" applyAlignment="1">
      <alignment horizontal="center"/>
    </xf>
    <xf numFmtId="2" fontId="21" fillId="0" borderId="13" xfId="0" applyNumberFormat="1" applyFont="1" applyBorder="1"/>
    <xf numFmtId="2" fontId="21" fillId="0" borderId="1" xfId="0" applyNumberFormat="1" applyFont="1" applyBorder="1"/>
    <xf numFmtId="2" fontId="22" fillId="0" borderId="0" xfId="0" applyNumberFormat="1" applyFont="1"/>
    <xf numFmtId="164" fontId="23" fillId="0" borderId="13" xfId="3" applyNumberFormat="1" applyFont="1" applyBorder="1" applyAlignment="1">
      <alignment horizontal="center"/>
    </xf>
    <xf numFmtId="0" fontId="23" fillId="0" borderId="12" xfId="3" applyFon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2" xfId="0" applyNumberFormat="1" applyBorder="1" applyAlignment="1">
      <alignment horizontal="center"/>
    </xf>
    <xf numFmtId="0" fontId="0" fillId="0" borderId="14" xfId="0" applyBorder="1"/>
    <xf numFmtId="2" fontId="0" fillId="0" borderId="14" xfId="0" applyNumberFormat="1" applyBorder="1"/>
    <xf numFmtId="2" fontId="0" fillId="0" borderId="10" xfId="1" applyNumberFormat="1" applyFont="1" applyBorder="1" applyAlignment="1">
      <alignment horizontal="center"/>
    </xf>
    <xf numFmtId="2" fontId="0" fillId="0" borderId="11" xfId="1" applyNumberFormat="1" applyFont="1" applyBorder="1" applyAlignment="1">
      <alignment horizontal="center"/>
    </xf>
    <xf numFmtId="2" fontId="0" fillId="0" borderId="0" xfId="1" applyNumberFormat="1" applyFont="1" applyBorder="1" applyAlignment="1">
      <alignment horizontal="center"/>
    </xf>
    <xf numFmtId="2" fontId="0" fillId="0" borderId="12" xfId="1" applyNumberFormat="1" applyFont="1" applyBorder="1" applyAlignment="1">
      <alignment horizontal="center"/>
    </xf>
    <xf numFmtId="0" fontId="24" fillId="0" borderId="0" xfId="2" applyFont="1" applyFill="1" applyBorder="1"/>
    <xf numFmtId="2" fontId="24" fillId="0" borderId="10" xfId="0" applyNumberFormat="1" applyFont="1" applyBorder="1"/>
    <xf numFmtId="164" fontId="25" fillId="0" borderId="12" xfId="0" applyNumberFormat="1" applyFont="1" applyBorder="1" applyAlignment="1">
      <alignment horizontal="center"/>
    </xf>
    <xf numFmtId="16" fontId="23" fillId="0" borderId="12" xfId="3" applyNumberFormat="1" applyFont="1" applyBorder="1" applyAlignment="1">
      <alignment horizontal="center"/>
    </xf>
    <xf numFmtId="0" fontId="0" fillId="0" borderId="15" xfId="0" applyBorder="1"/>
    <xf numFmtId="0" fontId="21" fillId="0" borderId="13" xfId="0" applyFont="1" applyBorder="1"/>
    <xf numFmtId="164" fontId="23" fillId="0" borderId="13" xfId="3" applyNumberFormat="1" applyFont="1" applyBorder="1" applyAlignment="1">
      <alignment horizontal="center" vertical="center"/>
    </xf>
    <xf numFmtId="0" fontId="23" fillId="0" borderId="12" xfId="3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21" fillId="0" borderId="1" xfId="0" applyFont="1" applyBorder="1"/>
    <xf numFmtId="0" fontId="21" fillId="0" borderId="16" xfId="0" applyFont="1" applyBorder="1"/>
    <xf numFmtId="0" fontId="10" fillId="0" borderId="17" xfId="3" applyFont="1" applyBorder="1" applyAlignment="1">
      <alignment horizontal="center" vertical="center"/>
    </xf>
    <xf numFmtId="0" fontId="26" fillId="0" borderId="18" xfId="3" applyFont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27" fillId="0" borderId="23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21" fillId="0" borderId="26" xfId="0" applyFont="1" applyBorder="1"/>
    <xf numFmtId="0" fontId="21" fillId="0" borderId="27" xfId="0" applyFont="1" applyBorder="1"/>
    <xf numFmtId="0" fontId="0" fillId="0" borderId="28" xfId="0" applyBorder="1"/>
    <xf numFmtId="0" fontId="9" fillId="0" borderId="30" xfId="0" applyFont="1" applyBorder="1"/>
    <xf numFmtId="0" fontId="9" fillId="0" borderId="28" xfId="0" applyFont="1" applyBorder="1"/>
    <xf numFmtId="0" fontId="0" fillId="3" borderId="29" xfId="0" applyFill="1" applyBorder="1"/>
    <xf numFmtId="0" fontId="21" fillId="0" borderId="4" xfId="0" applyFont="1" applyBorder="1"/>
    <xf numFmtId="0" fontId="21" fillId="0" borderId="5" xfId="0" applyFont="1" applyBorder="1"/>
    <xf numFmtId="0" fontId="21" fillId="0" borderId="6" xfId="0" applyFont="1" applyBorder="1"/>
    <xf numFmtId="0" fontId="4" fillId="0" borderId="26" xfId="0" applyFont="1" applyBorder="1"/>
    <xf numFmtId="0" fontId="4" fillId="0" borderId="27" xfId="0" applyFont="1" applyBorder="1"/>
    <xf numFmtId="0" fontId="4" fillId="0" borderId="28" xfId="0" applyFont="1" applyBorder="1"/>
    <xf numFmtId="0" fontId="29" fillId="0" borderId="0" xfId="0" applyFont="1"/>
    <xf numFmtId="0" fontId="3" fillId="0" borderId="0" xfId="0" applyFont="1"/>
    <xf numFmtId="0" fontId="6" fillId="4" borderId="0" xfId="0" applyFont="1" applyFill="1"/>
    <xf numFmtId="0" fontId="0" fillId="4" borderId="0" xfId="0" applyFill="1"/>
    <xf numFmtId="0" fontId="4" fillId="4" borderId="0" xfId="0" applyFont="1" applyFill="1"/>
    <xf numFmtId="0" fontId="5" fillId="4" borderId="1" xfId="0" applyFont="1" applyFill="1" applyBorder="1" applyAlignment="1">
      <alignment horizontal="center" vertical="center"/>
    </xf>
    <xf numFmtId="0" fontId="0" fillId="4" borderId="2" xfId="0" applyFill="1" applyBorder="1"/>
    <xf numFmtId="2" fontId="0" fillId="4" borderId="1" xfId="0" applyNumberFormat="1" applyFill="1" applyBorder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wrapText="1"/>
    </xf>
    <xf numFmtId="2" fontId="17" fillId="4" borderId="0" xfId="3" applyNumberFormat="1" applyFont="1" applyFill="1" applyAlignment="1">
      <alignment horizontal="left"/>
    </xf>
    <xf numFmtId="0" fontId="16" fillId="4" borderId="0" xfId="3" applyFont="1" applyFill="1"/>
    <xf numFmtId="0" fontId="4" fillId="4" borderId="0" xfId="0" applyFont="1" applyFill="1" applyAlignment="1">
      <alignment horizontal="left"/>
    </xf>
    <xf numFmtId="0" fontId="14" fillId="4" borderId="0" xfId="0" applyFont="1" applyFill="1"/>
    <xf numFmtId="0" fontId="4" fillId="4" borderId="2" xfId="0" applyFont="1" applyFill="1" applyBorder="1"/>
    <xf numFmtId="0" fontId="4" fillId="4" borderId="14" xfId="0" applyFont="1" applyFill="1" applyBorder="1"/>
    <xf numFmtId="2" fontId="0" fillId="4" borderId="0" xfId="0" applyNumberFormat="1" applyFill="1"/>
    <xf numFmtId="2" fontId="0" fillId="4" borderId="2" xfId="0" applyNumberFormat="1" applyFill="1" applyBorder="1"/>
    <xf numFmtId="2" fontId="0" fillId="0" borderId="31" xfId="0" applyNumberFormat="1" applyBorder="1"/>
    <xf numFmtId="2" fontId="22" fillId="0" borderId="32" xfId="0" applyNumberFormat="1" applyFont="1" applyBorder="1"/>
    <xf numFmtId="2" fontId="0" fillId="0" borderId="0" xfId="0" applyNumberFormat="1"/>
    <xf numFmtId="2" fontId="0" fillId="4" borderId="2" xfId="0" applyNumberFormat="1" applyFill="1" applyBorder="1" applyAlignment="1">
      <alignment horizontal="center" vertical="center"/>
    </xf>
    <xf numFmtId="2" fontId="9" fillId="0" borderId="30" xfId="0" applyNumberFormat="1" applyFont="1" applyBorder="1"/>
    <xf numFmtId="1" fontId="0" fillId="0" borderId="0" xfId="0" applyNumberFormat="1"/>
    <xf numFmtId="0" fontId="28" fillId="0" borderId="22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0" fontId="28" fillId="0" borderId="20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7" xfId="0" applyFont="1" applyBorder="1" applyAlignment="1">
      <alignment horizontal="left"/>
    </xf>
    <xf numFmtId="0" fontId="9" fillId="0" borderId="26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6" xfId="0" applyFont="1" applyBorder="1" applyAlignment="1">
      <alignment horizontal="center"/>
    </xf>
  </cellXfs>
  <cellStyles count="4">
    <cellStyle name="Insatisfaisant" xfId="2" builtinId="27"/>
    <cellStyle name="Normal" xfId="0" builtinId="0"/>
    <cellStyle name="Normale_cdo14_1d" xfId="3" xr:uid="{00000000-0005-0000-0000-000002000000}"/>
    <cellStyle name="Pourcentage" xfId="1" builtinId="5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v>Juveniles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Resume!$C$38:$G$38</c:f>
              <c:numCache>
                <c:formatCode>0.00</c:formatCode>
                <c:ptCount val="5"/>
                <c:pt idx="0">
                  <c:v>57.386095877740502</c:v>
                </c:pt>
                <c:pt idx="1">
                  <c:v>1.5158225448892126</c:v>
                </c:pt>
                <c:pt idx="2">
                  <c:v>4.4517237518397446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C8-4B0E-AD51-56011777A064}"/>
            </c:ext>
          </c:extLst>
        </c:ser>
        <c:ser>
          <c:idx val="1"/>
          <c:order val="1"/>
          <c:tx>
            <c:v>Non juvenile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Resume!$C$39:$G$39</c:f>
              <c:numCache>
                <c:formatCode>0.00</c:formatCode>
                <c:ptCount val="5"/>
                <c:pt idx="0">
                  <c:v>8.8211021150567728</c:v>
                </c:pt>
                <c:pt idx="1">
                  <c:v>5.1805185379969969E-2</c:v>
                </c:pt>
                <c:pt idx="2">
                  <c:v>1.1530688871380843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C8-4B0E-AD51-56011777A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tx>
            <c:v>Juveniles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Resume!$C$43:$G$43</c:f>
              <c:numCache>
                <c:formatCode>0.00</c:formatCode>
                <c:ptCount val="5"/>
                <c:pt idx="0">
                  <c:v>8.8211021150567728</c:v>
                </c:pt>
                <c:pt idx="1">
                  <c:v>5.1805185379969969E-2</c:v>
                </c:pt>
                <c:pt idx="2">
                  <c:v>1.1530688871380843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AA-4E91-B101-2DE93103EABD}"/>
            </c:ext>
          </c:extLst>
        </c:ser>
        <c:ser>
          <c:idx val="0"/>
          <c:order val="1"/>
          <c:tx>
            <c:v>Non-juvenile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Resume!$C$42:$G$42</c:f>
              <c:numCache>
                <c:formatCode>0.00</c:formatCode>
                <c:ptCount val="5"/>
                <c:pt idx="0">
                  <c:v>57.386095877740502</c:v>
                </c:pt>
                <c:pt idx="1">
                  <c:v>1.5158225448892126</c:v>
                </c:pt>
                <c:pt idx="2">
                  <c:v>4.4517237518397446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AA-4E91-B101-2DE93103EABD}"/>
            </c:ext>
          </c:extLst>
        </c:ser>
        <c:ser>
          <c:idx val="2"/>
          <c:order val="2"/>
          <c:tx>
            <c:v>Mixed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Resume!$C$44:$G$44</c:f>
              <c:numCache>
                <c:formatCode>0.00</c:formatCode>
                <c:ptCount val="5"/>
                <c:pt idx="0">
                  <c:v>33.750908416922037</c:v>
                </c:pt>
                <c:pt idx="1">
                  <c:v>98.43094859667066</c:v>
                </c:pt>
                <c:pt idx="2">
                  <c:v>94.395207361022159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AA-4E91-B101-2DE93103EA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tx>
            <c:v>Pumices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Resume!$C$47:$G$47</c:f>
              <c:numCache>
                <c:formatCode>0.00</c:formatCode>
                <c:ptCount val="5"/>
                <c:pt idx="0">
                  <c:v>13.809847066854742</c:v>
                </c:pt>
                <c:pt idx="1">
                  <c:v>78.472244927209161</c:v>
                </c:pt>
                <c:pt idx="2">
                  <c:v>37.775093448264855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88-420F-A085-4358B7DFC8DE}"/>
            </c:ext>
          </c:extLst>
        </c:ser>
        <c:ser>
          <c:idx val="0"/>
          <c:order val="1"/>
          <c:tx>
            <c:v>Dense juvenile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Resume!$C$48:$G$48</c:f>
              <c:numCache>
                <c:formatCode>0.00</c:formatCode>
                <c:ptCount val="5"/>
                <c:pt idx="0">
                  <c:v>41.180492965012725</c:v>
                </c:pt>
                <c:pt idx="1">
                  <c:v>18.135332216076833</c:v>
                </c:pt>
                <c:pt idx="2">
                  <c:v>41.651997589515673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88-420F-A085-4358B7DFC8DE}"/>
            </c:ext>
          </c:extLst>
        </c:ser>
        <c:ser>
          <c:idx val="2"/>
          <c:order val="2"/>
          <c:tx>
            <c:v>Non-juvenile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Resume!$C$49:$G$49</c:f>
              <c:numCache>
                <c:formatCode>0.00</c:formatCode>
                <c:ptCount val="5"/>
                <c:pt idx="0">
                  <c:v>8.8211021150567728</c:v>
                </c:pt>
                <c:pt idx="1">
                  <c:v>3.3016882219438584</c:v>
                </c:pt>
                <c:pt idx="2">
                  <c:v>20.572908962219415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88-420F-A085-4358B7DFC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3"/>
          <c:order val="0"/>
          <c:tx>
            <c:v>Mixed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Resume!$C$62:$G$62</c:f>
              <c:numCache>
                <c:formatCode>0.00</c:formatCode>
                <c:ptCount val="5"/>
                <c:pt idx="0">
                  <c:v>33.750908416922037</c:v>
                </c:pt>
                <c:pt idx="1">
                  <c:v>98.43094859667066</c:v>
                </c:pt>
                <c:pt idx="2">
                  <c:v>94.395207361022159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52-4532-84F0-774A93FB384D}"/>
            </c:ext>
          </c:extLst>
        </c:ser>
        <c:ser>
          <c:idx val="1"/>
          <c:order val="1"/>
          <c:tx>
            <c:v>Pumices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Resume!$C$60:$G$60</c:f>
              <c:numCache>
                <c:formatCode>0.00</c:formatCode>
                <c:ptCount val="5"/>
                <c:pt idx="0">
                  <c:v>14.411498590046939</c:v>
                </c:pt>
                <c:pt idx="1">
                  <c:v>1.2312698602544194</c:v>
                </c:pt>
                <c:pt idx="2">
                  <c:v>2.1172156569553464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52-4532-84F0-774A93FB384D}"/>
            </c:ext>
          </c:extLst>
        </c:ser>
        <c:ser>
          <c:idx val="0"/>
          <c:order val="2"/>
          <c:tx>
            <c:v>Dense juvenile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Resume!$C$3:$G$3</c:f>
              <c:strCache>
                <c:ptCount val="3"/>
                <c:pt idx="0">
                  <c:v>MAY210717_5</c:v>
                </c:pt>
                <c:pt idx="1">
                  <c:v>MAY210717_6</c:v>
                </c:pt>
                <c:pt idx="2">
                  <c:v>MAY210717_7</c:v>
                </c:pt>
              </c:strCache>
            </c:strRef>
          </c:cat>
          <c:val>
            <c:numRef>
              <c:f>Resume!$C$59:$G$59</c:f>
              <c:numCache>
                <c:formatCode>0.00</c:formatCode>
                <c:ptCount val="5"/>
                <c:pt idx="0">
                  <c:v>42.974597287693562</c:v>
                </c:pt>
                <c:pt idx="1">
                  <c:v>0.28455268463479316</c:v>
                </c:pt>
                <c:pt idx="2">
                  <c:v>2.3345080948843981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52-4532-84F0-774A93FB384D}"/>
            </c:ext>
          </c:extLst>
        </c:ser>
        <c:ser>
          <c:idx val="2"/>
          <c:order val="3"/>
          <c:tx>
            <c:v>Non-juvenile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Resume!$C$61:$G$61</c:f>
              <c:numCache>
                <c:formatCode>0.00</c:formatCode>
                <c:ptCount val="5"/>
                <c:pt idx="0">
                  <c:v>8.8211021150567728</c:v>
                </c:pt>
                <c:pt idx="1">
                  <c:v>5.1805185379969969E-2</c:v>
                </c:pt>
                <c:pt idx="2">
                  <c:v>1.1530688871380843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52-4532-84F0-774A93FB3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34-4A74-8878-C6D754ED8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D0-4CB3-B58C-7D691810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57-45FD-9651-5EE2A2EBBC59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57-45FD-9651-5EE2A2EBBC59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57-45FD-9651-5EE2A2EBBC59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57-45FD-9651-5EE2A2EBBC59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57-45FD-9651-5EE2A2EBBC59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57-45FD-9651-5EE2A2EBBC59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57-45FD-9651-5EE2A2EBBC59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57-45FD-9651-5EE2A2EBB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67-4D74-B26B-96B0E7779060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67-4D74-B26B-96B0E7779060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67-4D74-B26B-96B0E7779060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67-4D74-B26B-96B0E7779060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67-4D74-B26B-96B0E7779060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67-4D74-B26B-96B0E7779060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67-4D74-B26B-96B0E7779060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D67-4D74-B26B-96B0E7779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C6-4D78-927F-0F1E68AF5E5E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Blank!$AE$7:$AE$33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C6-4D78-927F-0F1E68AF5E5E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Blank!$AF$7:$AF$33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C6-4D78-927F-0F1E68AF5E5E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Blank!$AG$7:$AG$33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5C6-4D78-927F-0F1E68AF5E5E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Blank!$AH$7:$AH$33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C6-4D78-927F-0F1E68AF5E5E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Blank!$AJ$7:$AJ$33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C6-4D78-927F-0F1E68AF5E5E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Blank!$AK$7:$AK$33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5C6-4D78-927F-0F1E68AF5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64-4972-998F-56F53D8F3124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4-4972-998F-56F53D8F3124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64-4972-998F-56F53D8F3124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64-4972-998F-56F53D8F3124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64-4972-998F-56F53D8F3124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64-4972-998F-56F53D8F3124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E64-4972-998F-56F53D8F3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MAY210717_5!$D$2</c:f>
              <c:strCache>
                <c:ptCount val="1"/>
                <c:pt idx="0">
                  <c:v>MAY210717_5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9.7637298934026688</c:v>
                </c:pt>
                <c:pt idx="5">
                  <c:v>9.6264028185819264</c:v>
                </c:pt>
                <c:pt idx="6">
                  <c:v>14.09966343610351</c:v>
                </c:pt>
                <c:pt idx="7">
                  <c:v>7.7454721462420775</c:v>
                </c:pt>
                <c:pt idx="8">
                  <c:v>7.6981956122873951</c:v>
                </c:pt>
                <c:pt idx="9">
                  <c:v>3.5175992525805095</c:v>
                </c:pt>
                <c:pt idx="10">
                  <c:v>4.0286360719954057</c:v>
                </c:pt>
                <c:pt idx="11">
                  <c:v>4.7647992435754549</c:v>
                </c:pt>
                <c:pt idx="12">
                  <c:v>4.6511104357320532</c:v>
                </c:pt>
                <c:pt idx="13">
                  <c:v>4.5914519524082884</c:v>
                </c:pt>
                <c:pt idx="14">
                  <c:v>3.3746440189556379</c:v>
                </c:pt>
                <c:pt idx="15">
                  <c:v>2.4505003433176862</c:v>
                </c:pt>
                <c:pt idx="16">
                  <c:v>1.9585992638368279</c:v>
                </c:pt>
                <c:pt idx="17">
                  <c:v>1.7143371717376374</c:v>
                </c:pt>
                <c:pt idx="18">
                  <c:v>1.3473812177084385</c:v>
                </c:pt>
                <c:pt idx="19">
                  <c:v>1.3563862717950448</c:v>
                </c:pt>
                <c:pt idx="20">
                  <c:v>1.4869595560508333</c:v>
                </c:pt>
                <c:pt idx="21">
                  <c:v>1.3721451164466052</c:v>
                </c:pt>
                <c:pt idx="22">
                  <c:v>1.2471999909949456</c:v>
                </c:pt>
                <c:pt idx="23">
                  <c:v>2.6294757932889827</c:v>
                </c:pt>
                <c:pt idx="24">
                  <c:v>10.575310392958045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08-4191-AC88-4CC7AF472D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MAY210717_5!$D$2</c:f>
              <c:strCache>
                <c:ptCount val="1"/>
                <c:pt idx="0">
                  <c:v>MAY210717_5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9.7637298934026688</c:v>
                </c:pt>
                <c:pt idx="5">
                  <c:v>19.390132711984595</c:v>
                </c:pt>
                <c:pt idx="6">
                  <c:v>33.489796148088104</c:v>
                </c:pt>
                <c:pt idx="7">
                  <c:v>41.235268294330183</c:v>
                </c:pt>
                <c:pt idx="8">
                  <c:v>48.933463906617575</c:v>
                </c:pt>
                <c:pt idx="9">
                  <c:v>52.451063159198085</c:v>
                </c:pt>
                <c:pt idx="10">
                  <c:v>56.479699231193493</c:v>
                </c:pt>
                <c:pt idx="11">
                  <c:v>61.244498474768946</c:v>
                </c:pt>
                <c:pt idx="12">
                  <c:v>65.895608910500997</c:v>
                </c:pt>
                <c:pt idx="13">
                  <c:v>70.487060862909289</c:v>
                </c:pt>
                <c:pt idx="14">
                  <c:v>73.861704881864924</c:v>
                </c:pt>
                <c:pt idx="15">
                  <c:v>76.312205225182609</c:v>
                </c:pt>
                <c:pt idx="16">
                  <c:v>78.27080448901944</c:v>
                </c:pt>
                <c:pt idx="17">
                  <c:v>79.98514166075708</c:v>
                </c:pt>
                <c:pt idx="18">
                  <c:v>81.332522878465525</c:v>
                </c:pt>
                <c:pt idx="19">
                  <c:v>82.688909150260571</c:v>
                </c:pt>
                <c:pt idx="20">
                  <c:v>84.175868706311405</c:v>
                </c:pt>
                <c:pt idx="21">
                  <c:v>85.548013822758008</c:v>
                </c:pt>
                <c:pt idx="22">
                  <c:v>86.795213813752952</c:v>
                </c:pt>
                <c:pt idx="23">
                  <c:v>89.424689607041941</c:v>
                </c:pt>
                <c:pt idx="24">
                  <c:v>99.999999999999986</c:v>
                </c:pt>
                <c:pt idx="25">
                  <c:v>99.999999999999986</c:v>
                </c:pt>
                <c:pt idx="26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60-4EDA-88FD-174D4DA9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1.399795321637427</c:v>
                </c:pt>
                <c:pt idx="9">
                  <c:v>5.22508038585209</c:v>
                </c:pt>
                <c:pt idx="10">
                  <c:v>8.5975977653631279</c:v>
                </c:pt>
                <c:pt idx="11">
                  <c:v>7.2393349168646095</c:v>
                </c:pt>
                <c:pt idx="12">
                  <c:v>7.9222556390977443</c:v>
                </c:pt>
                <c:pt idx="13">
                  <c:v>4.0707762096774198</c:v>
                </c:pt>
                <c:pt idx="14">
                  <c:v>2.2858651026392964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18-4B73-9105-80D03ECAD200}"/>
            </c:ext>
          </c:extLst>
        </c:ser>
        <c:ser>
          <c:idx val="1"/>
          <c:order val="1"/>
          <c:tx>
            <c:strRef>
              <c:f>MAY210717_5!$I$4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2.6996052631578955</c:v>
                </c:pt>
                <c:pt idx="9">
                  <c:v>5.627009646302251</c:v>
                </c:pt>
                <c:pt idx="10">
                  <c:v>12.096620111731843</c:v>
                </c:pt>
                <c:pt idx="11">
                  <c:v>19.606532066508315</c:v>
                </c:pt>
                <c:pt idx="12">
                  <c:v>15.999849624060152</c:v>
                </c:pt>
                <c:pt idx="13">
                  <c:v>28.454314516129031</c:v>
                </c:pt>
                <c:pt idx="14">
                  <c:v>23.298240469208213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18-4B73-9105-80D03ECAD200}"/>
            </c:ext>
          </c:extLst>
        </c:ser>
        <c:ser>
          <c:idx val="2"/>
          <c:order val="2"/>
          <c:tx>
            <c:strRef>
              <c:f>MAY210717_5!$J$4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0.79977653631284928</c:v>
                </c:pt>
                <c:pt idx="11">
                  <c:v>1.307102137767221</c:v>
                </c:pt>
                <c:pt idx="12">
                  <c:v>1.2427067669172933</c:v>
                </c:pt>
                <c:pt idx="13">
                  <c:v>1.7681149193548387</c:v>
                </c:pt>
                <c:pt idx="14">
                  <c:v>1.2308504398826983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18-4B73-9105-80D03ECAD200}"/>
            </c:ext>
          </c:extLst>
        </c:ser>
        <c:ser>
          <c:idx val="3"/>
          <c:order val="3"/>
          <c:tx>
            <c:strRef>
              <c:f>MAY210717_5!$K$4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1.4995810055865924</c:v>
                </c:pt>
                <c:pt idx="11">
                  <c:v>0.90491686460807619</c:v>
                </c:pt>
                <c:pt idx="12">
                  <c:v>2.0193984962406013</c:v>
                </c:pt>
                <c:pt idx="13">
                  <c:v>1.809233870967742</c:v>
                </c:pt>
                <c:pt idx="14">
                  <c:v>0.61542521994134913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18-4B73-9105-80D03ECAD200}"/>
            </c:ext>
          </c:extLst>
        </c:ser>
        <c:ser>
          <c:idx val="4"/>
          <c:order val="4"/>
          <c:tx>
            <c:strRef>
              <c:f>MAY210717_5!$L$4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4.320739549839228</c:v>
                </c:pt>
                <c:pt idx="10">
                  <c:v>3.2990782122905027</c:v>
                </c:pt>
                <c:pt idx="11">
                  <c:v>1.2065558194774348</c:v>
                </c:pt>
                <c:pt idx="12">
                  <c:v>3.5727819548872173</c:v>
                </c:pt>
                <c:pt idx="13">
                  <c:v>1.6036391129032259</c:v>
                </c:pt>
                <c:pt idx="14">
                  <c:v>1.6704398826979474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918-4B73-9105-80D03ECAD200}"/>
            </c:ext>
          </c:extLst>
        </c:ser>
        <c:ser>
          <c:idx val="6"/>
          <c:order val="5"/>
          <c:tx>
            <c:strRef>
              <c:f>MAY210717_5!$N$4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918-4B73-9105-80D03ECAD200}"/>
            </c:ext>
          </c:extLst>
        </c:ser>
        <c:ser>
          <c:idx val="7"/>
          <c:order val="6"/>
          <c:tx>
            <c:strRef>
              <c:f>MAY210717_5!$O$4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8.791788856304987E-2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918-4B73-9105-80D03ECAD200}"/>
            </c:ext>
          </c:extLst>
        </c:ser>
        <c:ser>
          <c:idx val="5"/>
          <c:order val="7"/>
          <c:tx>
            <c:strRef>
              <c:f>MAY210717_5!$M$4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86.74</c:v>
                </c:pt>
                <c:pt idx="5">
                  <c:v>85.52</c:v>
                </c:pt>
                <c:pt idx="6">
                  <c:v>125.26</c:v>
                </c:pt>
                <c:pt idx="7">
                  <c:v>68.81</c:v>
                </c:pt>
                <c:pt idx="8">
                  <c:v>64.290599415204682</c:v>
                </c:pt>
                <c:pt idx="9">
                  <c:v>16.077170418006432</c:v>
                </c:pt>
                <c:pt idx="10">
                  <c:v>9.4973463687150836</c:v>
                </c:pt>
                <c:pt idx="11">
                  <c:v>12.065558194774347</c:v>
                </c:pt>
                <c:pt idx="12">
                  <c:v>10.563007518796992</c:v>
                </c:pt>
                <c:pt idx="13">
                  <c:v>3.083921370967742</c:v>
                </c:pt>
                <c:pt idx="14">
                  <c:v>0.79126099706744868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918-4B73-9105-80D03ECAD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2.0467836257309941</c:v>
                </c:pt>
                <c:pt idx="9" formatCode="0.00">
                  <c:v>16.720257234726688</c:v>
                </c:pt>
                <c:pt idx="10" formatCode="0.00">
                  <c:v>24.02234636871508</c:v>
                </c:pt>
                <c:pt idx="11" formatCode="0.00">
                  <c:v>17.102137767220906</c:v>
                </c:pt>
                <c:pt idx="12" formatCode="0.00">
                  <c:v>19.172932330827066</c:v>
                </c:pt>
                <c:pt idx="13" formatCode="0.00">
                  <c:v>9.9798387096774217</c:v>
                </c:pt>
                <c:pt idx="14" formatCode="0.00">
                  <c:v>7.6246334310850434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46-4082-B6E2-4DBA4021498B}"/>
            </c:ext>
          </c:extLst>
        </c:ser>
        <c:ser>
          <c:idx val="1"/>
          <c:order val="1"/>
          <c:tx>
            <c:strRef>
              <c:f>MAY210717_5!$I$4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3.9473684210526323</c:v>
                </c:pt>
                <c:pt idx="9" formatCode="0.00">
                  <c:v>18.006430868167204</c:v>
                </c:pt>
                <c:pt idx="10" formatCode="0.00">
                  <c:v>33.798882681564244</c:v>
                </c:pt>
                <c:pt idx="11" formatCode="0.00">
                  <c:v>46.318289786223282</c:v>
                </c:pt>
                <c:pt idx="12" formatCode="0.00">
                  <c:v>38.721804511278201</c:v>
                </c:pt>
                <c:pt idx="13" formatCode="0.00">
                  <c:v>69.758064516129025</c:v>
                </c:pt>
                <c:pt idx="14" formatCode="0.00">
                  <c:v>77.712609970674478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46-4082-B6E2-4DBA4021498B}"/>
            </c:ext>
          </c:extLst>
        </c:ser>
        <c:ser>
          <c:idx val="2"/>
          <c:order val="2"/>
          <c:tx>
            <c:strRef>
              <c:f>MAY210717_5!$J$4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2.2346368715083802</c:v>
                </c:pt>
                <c:pt idx="11" formatCode="0.00">
                  <c:v>3.087885985748219</c:v>
                </c:pt>
                <c:pt idx="12" formatCode="0.00">
                  <c:v>3.0075187969924815</c:v>
                </c:pt>
                <c:pt idx="13" formatCode="0.00">
                  <c:v>4.334677419354839</c:v>
                </c:pt>
                <c:pt idx="14" formatCode="0.00">
                  <c:v>4.1055718475073313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46-4082-B6E2-4DBA4021498B}"/>
            </c:ext>
          </c:extLst>
        </c:ser>
        <c:ser>
          <c:idx val="3"/>
          <c:order val="3"/>
          <c:tx>
            <c:strRef>
              <c:f>MAY210717_5!$K$4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4.1899441340782122</c:v>
                </c:pt>
                <c:pt idx="11" formatCode="0.00">
                  <c:v>2.1377672209026133</c:v>
                </c:pt>
                <c:pt idx="12" formatCode="0.00">
                  <c:v>4.8872180451127809</c:v>
                </c:pt>
                <c:pt idx="13" formatCode="0.00">
                  <c:v>4.435483870967742</c:v>
                </c:pt>
                <c:pt idx="14" formatCode="0.00">
                  <c:v>2.0527859237536656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46-4082-B6E2-4DBA4021498B}"/>
            </c:ext>
          </c:extLst>
        </c:ser>
        <c:ser>
          <c:idx val="4"/>
          <c:order val="4"/>
          <c:tx>
            <c:strRef>
              <c:f>MAY210717_5!$L$4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13.82636655948553</c:v>
                </c:pt>
                <c:pt idx="10" formatCode="0.00">
                  <c:v>9.2178770949720672</c:v>
                </c:pt>
                <c:pt idx="11" formatCode="0.00">
                  <c:v>2.8503562945368177</c:v>
                </c:pt>
                <c:pt idx="12" formatCode="0.00">
                  <c:v>8.6466165413533815</c:v>
                </c:pt>
                <c:pt idx="13" formatCode="0.00">
                  <c:v>3.931451612903226</c:v>
                </c:pt>
                <c:pt idx="14" formatCode="0.00">
                  <c:v>5.5718475073313778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546-4082-B6E2-4DBA4021498B}"/>
            </c:ext>
          </c:extLst>
        </c:ser>
        <c:ser>
          <c:idx val="6"/>
          <c:order val="5"/>
          <c:tx>
            <c:strRef>
              <c:f>MAY210717_5!$N$4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546-4082-B6E2-4DBA4021498B}"/>
            </c:ext>
          </c:extLst>
        </c:ser>
        <c:ser>
          <c:idx val="7"/>
          <c:order val="6"/>
          <c:tx>
            <c:strRef>
              <c:f>MAY210717_5!$O$4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0.29325513196480935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546-4082-B6E2-4DBA4021498B}"/>
            </c:ext>
          </c:extLst>
        </c:ser>
        <c:ser>
          <c:idx val="5"/>
          <c:order val="7"/>
          <c:tx>
            <c:strRef>
              <c:f>MAY210717_5!$M$4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94.005847953216374</c:v>
                </c:pt>
                <c:pt idx="9" formatCode="0.00">
                  <c:v>51.446945337620576</c:v>
                </c:pt>
                <c:pt idx="10" formatCode="0.00">
                  <c:v>26.536312849162009</c:v>
                </c:pt>
                <c:pt idx="11" formatCode="0.00">
                  <c:v>28.50356294536817</c:v>
                </c:pt>
                <c:pt idx="12" formatCode="0.00">
                  <c:v>25.563909774436087</c:v>
                </c:pt>
                <c:pt idx="13" formatCode="0.00">
                  <c:v>7.560483870967742</c:v>
                </c:pt>
                <c:pt idx="14" formatCode="0.00">
                  <c:v>2.6392961876832839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546-4082-B6E2-4DBA40214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32.699619771863112</c:v>
                </c:pt>
                <c:pt idx="11" formatCode="0.00">
                  <c:v>23.920265780730897</c:v>
                </c:pt>
                <c:pt idx="12" formatCode="0.00">
                  <c:v>25.757575757575758</c:v>
                </c:pt>
                <c:pt idx="13" formatCode="0.00">
                  <c:v>10.796074154852784</c:v>
                </c:pt>
                <c:pt idx="14" formatCode="0.00">
                  <c:v>7.831325301204819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8B-4DDF-8708-6740012AE23A}"/>
            </c:ext>
          </c:extLst>
        </c:ser>
        <c:ser>
          <c:idx val="1"/>
          <c:order val="1"/>
          <c:tx>
            <c:strRef>
              <c:f>MAY210717_5!$I$4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MAY210717_5!$AE$7:$AE$33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37.086092715231793</c:v>
                </c:pt>
                <c:pt idx="10" formatCode="0.00">
                  <c:v>46.007604562737647</c:v>
                </c:pt>
                <c:pt idx="11" formatCode="0.00">
                  <c:v>64.784053156146186</c:v>
                </c:pt>
                <c:pt idx="12" formatCode="0.00">
                  <c:v>52.020202020202035</c:v>
                </c:pt>
                <c:pt idx="13" formatCode="0.00">
                  <c:v>75.463467829880031</c:v>
                </c:pt>
                <c:pt idx="14" formatCode="0.00">
                  <c:v>79.819277108433724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8B-4DDF-8708-6740012AE23A}"/>
            </c:ext>
          </c:extLst>
        </c:ser>
        <c:ser>
          <c:idx val="2"/>
          <c:order val="2"/>
          <c:tx>
            <c:strRef>
              <c:f>MAY210717_5!$J$4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MAY210717_5!$AF$7:$AF$33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3.0418250950570349</c:v>
                </c:pt>
                <c:pt idx="11" formatCode="0.00">
                  <c:v>4.3189368770764114</c:v>
                </c:pt>
                <c:pt idx="12" formatCode="0.00">
                  <c:v>4.0404040404040416</c:v>
                </c:pt>
                <c:pt idx="13" formatCode="0.00">
                  <c:v>4.6892039258451472</c:v>
                </c:pt>
                <c:pt idx="14" formatCode="0.00">
                  <c:v>4.2168674698795181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38B-4DDF-8708-6740012AE23A}"/>
            </c:ext>
          </c:extLst>
        </c:ser>
        <c:ser>
          <c:idx val="3"/>
          <c:order val="3"/>
          <c:tx>
            <c:strRef>
              <c:f>MAY210717_5!$K$4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MAY210717_5!$AG$7:$AG$33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5.7034220532319395</c:v>
                </c:pt>
                <c:pt idx="11" formatCode="0.00">
                  <c:v>2.9900332225913622</c:v>
                </c:pt>
                <c:pt idx="12" formatCode="0.00">
                  <c:v>6.5656565656565649</c:v>
                </c:pt>
                <c:pt idx="13" formatCode="0.00">
                  <c:v>4.7982551799345696</c:v>
                </c:pt>
                <c:pt idx="14" formatCode="0.00">
                  <c:v>2.1084337349397591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38B-4DDF-8708-6740012AE23A}"/>
            </c:ext>
          </c:extLst>
        </c:ser>
        <c:ser>
          <c:idx val="4"/>
          <c:order val="4"/>
          <c:tx>
            <c:strRef>
              <c:f>MAY210717_5!$L$4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MAY210717_5!$AH$7:$AH$33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28.476821192052981</c:v>
                </c:pt>
                <c:pt idx="10" formatCode="0.00">
                  <c:v>12.547528517110267</c:v>
                </c:pt>
                <c:pt idx="11" formatCode="0.00">
                  <c:v>3.9867109634551499</c:v>
                </c:pt>
                <c:pt idx="12" formatCode="0.00">
                  <c:v>11.616161616161614</c:v>
                </c:pt>
                <c:pt idx="13" formatCode="0.00">
                  <c:v>4.2529989094874594</c:v>
                </c:pt>
                <c:pt idx="14" formatCode="0.00">
                  <c:v>5.7228915662650595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8B-4DDF-8708-6740012AE23A}"/>
            </c:ext>
          </c:extLst>
        </c:ser>
        <c:ser>
          <c:idx val="6"/>
          <c:order val="5"/>
          <c:tx>
            <c:strRef>
              <c:f>MAY210717_5!$N$4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MAY210717_5!$AJ$7:$AJ$33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38B-4DDF-8708-6740012AE23A}"/>
            </c:ext>
          </c:extLst>
        </c:ser>
        <c:ser>
          <c:idx val="7"/>
          <c:order val="6"/>
          <c:tx>
            <c:strRef>
              <c:f>MAY210717_5!$O$4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MAY210717_5!$AK$7:$AK$33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38B-4DDF-8708-6740012AE2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MAY210717_5!$H$4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MAY210717_5!$AD$15:$AD$21</c:f>
              <c:numCache>
                <c:formatCode>0.00</c:formatCode>
                <c:ptCount val="7"/>
                <c:pt idx="0">
                  <c:v>34.146341463414629</c:v>
                </c:pt>
                <c:pt idx="1">
                  <c:v>34.437086092715234</c:v>
                </c:pt>
                <c:pt idx="2">
                  <c:v>32.699619771863112</c:v>
                </c:pt>
                <c:pt idx="3">
                  <c:v>23.920265780730897</c:v>
                </c:pt>
                <c:pt idx="4">
                  <c:v>25.757575757575758</c:v>
                </c:pt>
                <c:pt idx="5">
                  <c:v>10.796074154852784</c:v>
                </c:pt>
                <c:pt idx="6">
                  <c:v>7.831325301204819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C5-4ED8-AE1D-AF835D4B9279}"/>
            </c:ext>
          </c:extLst>
        </c:ser>
        <c:ser>
          <c:idx val="1"/>
          <c:order val="1"/>
          <c:tx>
            <c:strRef>
              <c:f>MAY210717_5!$I$4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MAY210717_5!$AE$15:$AE$21</c:f>
              <c:numCache>
                <c:formatCode>0.00</c:formatCode>
                <c:ptCount val="7"/>
                <c:pt idx="0">
                  <c:v>65.853658536585371</c:v>
                </c:pt>
                <c:pt idx="1">
                  <c:v>37.086092715231793</c:v>
                </c:pt>
                <c:pt idx="2">
                  <c:v>46.007604562737647</c:v>
                </c:pt>
                <c:pt idx="3">
                  <c:v>64.784053156146186</c:v>
                </c:pt>
                <c:pt idx="4">
                  <c:v>52.020202020202035</c:v>
                </c:pt>
                <c:pt idx="5">
                  <c:v>75.463467829880031</c:v>
                </c:pt>
                <c:pt idx="6">
                  <c:v>79.819277108433724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C5-4ED8-AE1D-AF835D4B9279}"/>
            </c:ext>
          </c:extLst>
        </c:ser>
        <c:ser>
          <c:idx val="2"/>
          <c:order val="2"/>
          <c:tx>
            <c:strRef>
              <c:f>MAY210717_5!$J$4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3.0418250950570349</c:v>
                </c:pt>
                <c:pt idx="3">
                  <c:v>4.3189368770764114</c:v>
                </c:pt>
                <c:pt idx="4">
                  <c:v>4.0404040404040416</c:v>
                </c:pt>
                <c:pt idx="5">
                  <c:v>4.6892039258451472</c:v>
                </c:pt>
                <c:pt idx="6">
                  <c:v>4.2168674698795181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C5-4ED8-AE1D-AF835D4B9279}"/>
            </c:ext>
          </c:extLst>
        </c:ser>
        <c:ser>
          <c:idx val="3"/>
          <c:order val="3"/>
          <c:tx>
            <c:strRef>
              <c:f>MAY210717_5!$K$4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5.7034220532319395</c:v>
                </c:pt>
                <c:pt idx="3">
                  <c:v>2.9900332225913622</c:v>
                </c:pt>
                <c:pt idx="4">
                  <c:v>6.5656565656565649</c:v>
                </c:pt>
                <c:pt idx="5">
                  <c:v>4.7982551799345696</c:v>
                </c:pt>
                <c:pt idx="6">
                  <c:v>2.1084337349397591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C5-4ED8-AE1D-AF835D4B9279}"/>
            </c:ext>
          </c:extLst>
        </c:ser>
        <c:ser>
          <c:idx val="4"/>
          <c:order val="4"/>
          <c:tx>
            <c:strRef>
              <c:f>MAY210717_5!$L$4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MAY210717_5!$AH$15:$AH$21</c:f>
              <c:numCache>
                <c:formatCode>0.00</c:formatCode>
                <c:ptCount val="7"/>
                <c:pt idx="0">
                  <c:v>0</c:v>
                </c:pt>
                <c:pt idx="1">
                  <c:v>28.476821192052981</c:v>
                </c:pt>
                <c:pt idx="2">
                  <c:v>12.547528517110267</c:v>
                </c:pt>
                <c:pt idx="3">
                  <c:v>3.9867109634551499</c:v>
                </c:pt>
                <c:pt idx="4">
                  <c:v>11.616161616161614</c:v>
                </c:pt>
                <c:pt idx="5">
                  <c:v>4.2529989094874594</c:v>
                </c:pt>
                <c:pt idx="6">
                  <c:v>5.7228915662650595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C5-4ED8-AE1D-AF835D4B9279}"/>
            </c:ext>
          </c:extLst>
        </c:ser>
        <c:ser>
          <c:idx val="6"/>
          <c:order val="5"/>
          <c:tx>
            <c:strRef>
              <c:f>MAY210717_5!$N$4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C5-4ED8-AE1D-AF835D4B9279}"/>
            </c:ext>
          </c:extLst>
        </c:ser>
        <c:ser>
          <c:idx val="7"/>
          <c:order val="6"/>
          <c:tx>
            <c:strRef>
              <c:f>MAY210717_5!$O$4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0.3012048192771084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3C5-4ED8-AE1D-AF835D4B92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MAY210717_5_aggr!$D$2</c:f>
              <c:strCache>
                <c:ptCount val="1"/>
                <c:pt idx="0">
                  <c:v>MAY210717_5_aggr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1.0104732945558716</c:v>
                </c:pt>
                <c:pt idx="9">
                  <c:v>3.7399953428111572</c:v>
                </c:pt>
                <c:pt idx="10">
                  <c:v>6.4809534437697298</c:v>
                </c:pt>
                <c:pt idx="11">
                  <c:v>7.4599711802372513</c:v>
                </c:pt>
                <c:pt idx="12">
                  <c:v>7.5813814435173414</c:v>
                </c:pt>
                <c:pt idx="13">
                  <c:v>9.2942821051393611</c:v>
                </c:pt>
                <c:pt idx="14">
                  <c:v>7.194818035987903</c:v>
                </c:pt>
                <c:pt idx="15">
                  <c:v>5.3661512622289074</c:v>
                </c:pt>
                <c:pt idx="16">
                  <c:v>4.2889771227736784</c:v>
                </c:pt>
                <c:pt idx="17">
                  <c:v>3.7540874471174215</c:v>
                </c:pt>
                <c:pt idx="18">
                  <c:v>2.950520468942583</c:v>
                </c:pt>
                <c:pt idx="19">
                  <c:v>2.9702399039898184</c:v>
                </c:pt>
                <c:pt idx="20">
                  <c:v>3.2561717121747304</c:v>
                </c:pt>
                <c:pt idx="21">
                  <c:v>3.0047489153224798</c:v>
                </c:pt>
                <c:pt idx="22">
                  <c:v>2.7311417540420901</c:v>
                </c:pt>
                <c:pt idx="23">
                  <c:v>5.7580750337927098</c:v>
                </c:pt>
                <c:pt idx="24">
                  <c:v>23.158011533596966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AE-4A98-B170-11D836151C61}"/>
            </c:ext>
          </c:extLst>
        </c:ser>
        <c:ser>
          <c:idx val="1"/>
          <c:order val="1"/>
          <c:tx>
            <c:v>Aggr</c:v>
          </c:tx>
          <c:invertIfNegative val="0"/>
          <c:val>
            <c:numRef>
              <c:f>MAY210717_5_aggr!$Q$7:$Q$33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9.7637298934026688</c:v>
                </c:pt>
                <c:pt idx="5">
                  <c:v>9.6264028185819264</c:v>
                </c:pt>
                <c:pt idx="6">
                  <c:v>14.09966343610351</c:v>
                </c:pt>
                <c:pt idx="7">
                  <c:v>7.7454721462420775</c:v>
                </c:pt>
                <c:pt idx="8">
                  <c:v>7.2367540624280622</c:v>
                </c:pt>
                <c:pt idx="9">
                  <c:v>1.809697364671645</c:v>
                </c:pt>
                <c:pt idx="10">
                  <c:v>1.0690514716188928</c:v>
                </c:pt>
                <c:pt idx="11">
                  <c:v>1.3581375516129564</c:v>
                </c:pt>
                <c:pt idx="12">
                  <c:v>1.1890056752999234</c:v>
                </c:pt>
                <c:pt idx="13">
                  <c:v>0.3471359843050621</c:v>
                </c:pt>
                <c:pt idx="14">
                  <c:v>8.9066850940178133E-2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AE-4A98-B170-11D836151C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MAY210717_5_aggr!$D$2</c:f>
              <c:strCache>
                <c:ptCount val="1"/>
                <c:pt idx="0">
                  <c:v>MAY210717_5_aggr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MAY210717_5_aggr!$E$7:$E$33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1.0104732945558716</c:v>
                </c:pt>
                <c:pt idx="9">
                  <c:v>4.7504686373670291</c:v>
                </c:pt>
                <c:pt idx="10">
                  <c:v>11.23142208113676</c:v>
                </c:pt>
                <c:pt idx="11">
                  <c:v>18.69139326137401</c:v>
                </c:pt>
                <c:pt idx="12">
                  <c:v>26.272774704891351</c:v>
                </c:pt>
                <c:pt idx="13">
                  <c:v>35.567056810030714</c:v>
                </c:pt>
                <c:pt idx="14">
                  <c:v>42.761874846018614</c:v>
                </c:pt>
                <c:pt idx="15">
                  <c:v>48.128026108247525</c:v>
                </c:pt>
                <c:pt idx="16">
                  <c:v>52.417003231021205</c:v>
                </c:pt>
                <c:pt idx="17">
                  <c:v>56.171090678138626</c:v>
                </c:pt>
                <c:pt idx="18">
                  <c:v>59.121611147081211</c:v>
                </c:pt>
                <c:pt idx="19">
                  <c:v>62.091851051071032</c:v>
                </c:pt>
                <c:pt idx="20">
                  <c:v>65.348022763245766</c:v>
                </c:pt>
                <c:pt idx="21">
                  <c:v>68.352771678568246</c:v>
                </c:pt>
                <c:pt idx="22">
                  <c:v>71.083913432610331</c:v>
                </c:pt>
                <c:pt idx="23">
                  <c:v>76.841988466403038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5E-4223-8D6E-27973CB4D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1.399795321637427</c:v>
                </c:pt>
                <c:pt idx="9">
                  <c:v>5.22508038585209</c:v>
                </c:pt>
                <c:pt idx="10">
                  <c:v>8.5975977653631279</c:v>
                </c:pt>
                <c:pt idx="11">
                  <c:v>7.2393349168646095</c:v>
                </c:pt>
                <c:pt idx="12">
                  <c:v>7.9222556390977443</c:v>
                </c:pt>
                <c:pt idx="13">
                  <c:v>4.0707762096774198</c:v>
                </c:pt>
                <c:pt idx="14">
                  <c:v>2.2858651026392964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3F-4BEF-8CC3-2D6AF781FFFF}"/>
            </c:ext>
          </c:extLst>
        </c:ser>
        <c:ser>
          <c:idx val="1"/>
          <c:order val="1"/>
          <c:tx>
            <c:strRef>
              <c:f>MAY210717_5_aggr!$I$4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2.6996052631578955</c:v>
                </c:pt>
                <c:pt idx="9">
                  <c:v>5.627009646302251</c:v>
                </c:pt>
                <c:pt idx="10">
                  <c:v>12.096620111731843</c:v>
                </c:pt>
                <c:pt idx="11">
                  <c:v>19.606532066508315</c:v>
                </c:pt>
                <c:pt idx="12">
                  <c:v>15.999849624060152</c:v>
                </c:pt>
                <c:pt idx="13">
                  <c:v>28.454314516129031</c:v>
                </c:pt>
                <c:pt idx="14">
                  <c:v>23.298240469208213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3F-4BEF-8CC3-2D6AF781FFFF}"/>
            </c:ext>
          </c:extLst>
        </c:ser>
        <c:ser>
          <c:idx val="2"/>
          <c:order val="2"/>
          <c:tx>
            <c:strRef>
              <c:f>MAY210717_5_aggr!$J$4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0.79977653631284928</c:v>
                </c:pt>
                <c:pt idx="11">
                  <c:v>1.307102137767221</c:v>
                </c:pt>
                <c:pt idx="12">
                  <c:v>1.2427067669172933</c:v>
                </c:pt>
                <c:pt idx="13">
                  <c:v>1.7681149193548387</c:v>
                </c:pt>
                <c:pt idx="14">
                  <c:v>1.2308504398826983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33F-4BEF-8CC3-2D6AF781FFFF}"/>
            </c:ext>
          </c:extLst>
        </c:ser>
        <c:ser>
          <c:idx val="3"/>
          <c:order val="3"/>
          <c:tx>
            <c:strRef>
              <c:f>MAY210717_5_aggr!$K$4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1.4995810055865924</c:v>
                </c:pt>
                <c:pt idx="11">
                  <c:v>0.90491686460807619</c:v>
                </c:pt>
                <c:pt idx="12">
                  <c:v>2.0193984962406013</c:v>
                </c:pt>
                <c:pt idx="13">
                  <c:v>1.809233870967742</c:v>
                </c:pt>
                <c:pt idx="14">
                  <c:v>0.61542521994134913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33F-4BEF-8CC3-2D6AF781FFFF}"/>
            </c:ext>
          </c:extLst>
        </c:ser>
        <c:ser>
          <c:idx val="4"/>
          <c:order val="4"/>
          <c:tx>
            <c:strRef>
              <c:f>MAY210717_5_aggr!$L$4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4.320739549839228</c:v>
                </c:pt>
                <c:pt idx="10">
                  <c:v>3.2990782122905027</c:v>
                </c:pt>
                <c:pt idx="11">
                  <c:v>1.2065558194774348</c:v>
                </c:pt>
                <c:pt idx="12">
                  <c:v>3.5727819548872173</c:v>
                </c:pt>
                <c:pt idx="13">
                  <c:v>1.6036391129032259</c:v>
                </c:pt>
                <c:pt idx="14">
                  <c:v>1.6704398826979474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3F-4BEF-8CC3-2D6AF781FFFF}"/>
            </c:ext>
          </c:extLst>
        </c:ser>
        <c:ser>
          <c:idx val="6"/>
          <c:order val="5"/>
          <c:tx>
            <c:strRef>
              <c:f>MAY210717_5_aggr!$N$4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33F-4BEF-8CC3-2D6AF781FFFF}"/>
            </c:ext>
          </c:extLst>
        </c:ser>
        <c:ser>
          <c:idx val="7"/>
          <c:order val="6"/>
          <c:tx>
            <c:strRef>
              <c:f>MAY210717_5_aggr!$O$4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8.791788856304987E-2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33F-4BEF-8CC3-2D6AF781FFFF}"/>
            </c:ext>
          </c:extLst>
        </c:ser>
        <c:ser>
          <c:idx val="5"/>
          <c:order val="7"/>
          <c:tx>
            <c:strRef>
              <c:f>MAY210717_5_aggr!$M$4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86.74</c:v>
                </c:pt>
                <c:pt idx="5">
                  <c:v>85.52</c:v>
                </c:pt>
                <c:pt idx="6">
                  <c:v>125.26</c:v>
                </c:pt>
                <c:pt idx="7">
                  <c:v>68.81</c:v>
                </c:pt>
                <c:pt idx="8">
                  <c:v>64.290599415204682</c:v>
                </c:pt>
                <c:pt idx="9">
                  <c:v>16.077170418006432</c:v>
                </c:pt>
                <c:pt idx="10">
                  <c:v>9.4973463687150836</c:v>
                </c:pt>
                <c:pt idx="11">
                  <c:v>12.065558194774347</c:v>
                </c:pt>
                <c:pt idx="12">
                  <c:v>10.563007518796992</c:v>
                </c:pt>
                <c:pt idx="13">
                  <c:v>3.083921370967742</c:v>
                </c:pt>
                <c:pt idx="14">
                  <c:v>0.79126099706744868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33F-4BEF-8CC3-2D6AF781FF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2.0467836257309941</c:v>
                </c:pt>
                <c:pt idx="9" formatCode="0.00">
                  <c:v>16.720257234726688</c:v>
                </c:pt>
                <c:pt idx="10" formatCode="0.00">
                  <c:v>24.02234636871508</c:v>
                </c:pt>
                <c:pt idx="11" formatCode="0.00">
                  <c:v>17.102137767220906</c:v>
                </c:pt>
                <c:pt idx="12" formatCode="0.00">
                  <c:v>19.172932330827066</c:v>
                </c:pt>
                <c:pt idx="13" formatCode="0.00">
                  <c:v>9.9798387096774217</c:v>
                </c:pt>
                <c:pt idx="14" formatCode="0.00">
                  <c:v>7.6246334310850434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3B-4B4D-802C-DCC63F66BCD8}"/>
            </c:ext>
          </c:extLst>
        </c:ser>
        <c:ser>
          <c:idx val="1"/>
          <c:order val="1"/>
          <c:tx>
            <c:strRef>
              <c:f>MAY210717_5_aggr!$I$4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3.9473684210526323</c:v>
                </c:pt>
                <c:pt idx="9" formatCode="0.00">
                  <c:v>18.006430868167204</c:v>
                </c:pt>
                <c:pt idx="10" formatCode="0.00">
                  <c:v>33.798882681564244</c:v>
                </c:pt>
                <c:pt idx="11" formatCode="0.00">
                  <c:v>46.318289786223282</c:v>
                </c:pt>
                <c:pt idx="12" formatCode="0.00">
                  <c:v>38.721804511278201</c:v>
                </c:pt>
                <c:pt idx="13" formatCode="0.00">
                  <c:v>69.758064516129025</c:v>
                </c:pt>
                <c:pt idx="14" formatCode="0.00">
                  <c:v>77.712609970674478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3B-4B4D-802C-DCC63F66BCD8}"/>
            </c:ext>
          </c:extLst>
        </c:ser>
        <c:ser>
          <c:idx val="2"/>
          <c:order val="2"/>
          <c:tx>
            <c:strRef>
              <c:f>MAY210717_5_aggr!$J$4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2.2346368715083802</c:v>
                </c:pt>
                <c:pt idx="11" formatCode="0.00">
                  <c:v>3.087885985748219</c:v>
                </c:pt>
                <c:pt idx="12" formatCode="0.00">
                  <c:v>3.0075187969924815</c:v>
                </c:pt>
                <c:pt idx="13" formatCode="0.00">
                  <c:v>4.334677419354839</c:v>
                </c:pt>
                <c:pt idx="14" formatCode="0.00">
                  <c:v>4.1055718475073313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73B-4B4D-802C-DCC63F66BCD8}"/>
            </c:ext>
          </c:extLst>
        </c:ser>
        <c:ser>
          <c:idx val="3"/>
          <c:order val="3"/>
          <c:tx>
            <c:strRef>
              <c:f>MAY210717_5_aggr!$K$4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4.1899441340782122</c:v>
                </c:pt>
                <c:pt idx="11" formatCode="0.00">
                  <c:v>2.1377672209026133</c:v>
                </c:pt>
                <c:pt idx="12" formatCode="0.00">
                  <c:v>4.8872180451127809</c:v>
                </c:pt>
                <c:pt idx="13" formatCode="0.00">
                  <c:v>4.435483870967742</c:v>
                </c:pt>
                <c:pt idx="14" formatCode="0.00">
                  <c:v>2.0527859237536656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3B-4B4D-802C-DCC63F66BCD8}"/>
            </c:ext>
          </c:extLst>
        </c:ser>
        <c:ser>
          <c:idx val="4"/>
          <c:order val="4"/>
          <c:tx>
            <c:strRef>
              <c:f>MAY210717_5_aggr!$L$4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13.82636655948553</c:v>
                </c:pt>
                <c:pt idx="10" formatCode="0.00">
                  <c:v>9.2178770949720672</c:v>
                </c:pt>
                <c:pt idx="11" formatCode="0.00">
                  <c:v>2.8503562945368177</c:v>
                </c:pt>
                <c:pt idx="12" formatCode="0.00">
                  <c:v>8.6466165413533815</c:v>
                </c:pt>
                <c:pt idx="13" formatCode="0.00">
                  <c:v>3.931451612903226</c:v>
                </c:pt>
                <c:pt idx="14" formatCode="0.00">
                  <c:v>5.5718475073313778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3B-4B4D-802C-DCC63F66BCD8}"/>
            </c:ext>
          </c:extLst>
        </c:ser>
        <c:ser>
          <c:idx val="6"/>
          <c:order val="5"/>
          <c:tx>
            <c:strRef>
              <c:f>MAY210717_5_aggr!$N$4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73B-4B4D-802C-DCC63F66BCD8}"/>
            </c:ext>
          </c:extLst>
        </c:ser>
        <c:ser>
          <c:idx val="7"/>
          <c:order val="6"/>
          <c:tx>
            <c:strRef>
              <c:f>MAY210717_5_aggr!$O$4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0.29325513196480935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3B-4B4D-802C-DCC63F66BCD8}"/>
            </c:ext>
          </c:extLst>
        </c:ser>
        <c:ser>
          <c:idx val="5"/>
          <c:order val="7"/>
          <c:tx>
            <c:strRef>
              <c:f>MAY210717_5_aggr!$M$4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94.005847953216374</c:v>
                </c:pt>
                <c:pt idx="9" formatCode="0.00">
                  <c:v>51.446945337620576</c:v>
                </c:pt>
                <c:pt idx="10" formatCode="0.00">
                  <c:v>26.536312849162009</c:v>
                </c:pt>
                <c:pt idx="11" formatCode="0.00">
                  <c:v>28.50356294536817</c:v>
                </c:pt>
                <c:pt idx="12" formatCode="0.00">
                  <c:v>25.563909774436087</c:v>
                </c:pt>
                <c:pt idx="13" formatCode="0.00">
                  <c:v>7.560483870967742</c:v>
                </c:pt>
                <c:pt idx="14" formatCode="0.00">
                  <c:v>2.6392961876832839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73B-4B4D-802C-DCC63F66B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32.699619771863112</c:v>
                </c:pt>
                <c:pt idx="11" formatCode="0.00">
                  <c:v>23.920265780730897</c:v>
                </c:pt>
                <c:pt idx="12" formatCode="0.00">
                  <c:v>25.757575757575758</c:v>
                </c:pt>
                <c:pt idx="13" formatCode="0.00">
                  <c:v>10.796074154852784</c:v>
                </c:pt>
                <c:pt idx="14" formatCode="0.00">
                  <c:v>7.831325301204819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BE-4D08-A9F3-EDA0715B9A8C}"/>
            </c:ext>
          </c:extLst>
        </c:ser>
        <c:ser>
          <c:idx val="1"/>
          <c:order val="1"/>
          <c:tx>
            <c:strRef>
              <c:f>MAY210717_5_aggr!$I$4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MAY210717_5_aggr!$AE$7:$AE$33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37.086092715231793</c:v>
                </c:pt>
                <c:pt idx="10" formatCode="0.00">
                  <c:v>46.007604562737647</c:v>
                </c:pt>
                <c:pt idx="11" formatCode="0.00">
                  <c:v>64.784053156146186</c:v>
                </c:pt>
                <c:pt idx="12" formatCode="0.00">
                  <c:v>52.020202020202035</c:v>
                </c:pt>
                <c:pt idx="13" formatCode="0.00">
                  <c:v>75.463467829880031</c:v>
                </c:pt>
                <c:pt idx="14" formatCode="0.00">
                  <c:v>79.819277108433724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BE-4D08-A9F3-EDA0715B9A8C}"/>
            </c:ext>
          </c:extLst>
        </c:ser>
        <c:ser>
          <c:idx val="2"/>
          <c:order val="2"/>
          <c:tx>
            <c:strRef>
              <c:f>MAY210717_5_aggr!$J$4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MAY210717_5_aggr!$AF$7:$AF$33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3.0418250950570349</c:v>
                </c:pt>
                <c:pt idx="11" formatCode="0.00">
                  <c:v>4.3189368770764114</c:v>
                </c:pt>
                <c:pt idx="12" formatCode="0.00">
                  <c:v>4.0404040404040416</c:v>
                </c:pt>
                <c:pt idx="13" formatCode="0.00">
                  <c:v>4.6892039258451472</c:v>
                </c:pt>
                <c:pt idx="14" formatCode="0.00">
                  <c:v>4.2168674698795181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BE-4D08-A9F3-EDA0715B9A8C}"/>
            </c:ext>
          </c:extLst>
        </c:ser>
        <c:ser>
          <c:idx val="3"/>
          <c:order val="3"/>
          <c:tx>
            <c:strRef>
              <c:f>MAY210717_5_aggr!$K$4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MAY210717_5_aggr!$AG$7:$AG$33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5.7034220532319395</c:v>
                </c:pt>
                <c:pt idx="11" formatCode="0.00">
                  <c:v>2.9900332225913622</c:v>
                </c:pt>
                <c:pt idx="12" formatCode="0.00">
                  <c:v>6.5656565656565649</c:v>
                </c:pt>
                <c:pt idx="13" formatCode="0.00">
                  <c:v>4.7982551799345696</c:v>
                </c:pt>
                <c:pt idx="14" formatCode="0.00">
                  <c:v>2.1084337349397591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BE-4D08-A9F3-EDA0715B9A8C}"/>
            </c:ext>
          </c:extLst>
        </c:ser>
        <c:ser>
          <c:idx val="4"/>
          <c:order val="4"/>
          <c:tx>
            <c:strRef>
              <c:f>MAY210717_5_aggr!$L$4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MAY210717_5_aggr!$AH$7:$AH$33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28.476821192052981</c:v>
                </c:pt>
                <c:pt idx="10" formatCode="0.00">
                  <c:v>12.547528517110267</c:v>
                </c:pt>
                <c:pt idx="11" formatCode="0.00">
                  <c:v>3.9867109634551499</c:v>
                </c:pt>
                <c:pt idx="12" formatCode="0.00">
                  <c:v>11.616161616161614</c:v>
                </c:pt>
                <c:pt idx="13" formatCode="0.00">
                  <c:v>4.2529989094874594</c:v>
                </c:pt>
                <c:pt idx="14" formatCode="0.00">
                  <c:v>5.7228915662650595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0BE-4D08-A9F3-EDA0715B9A8C}"/>
            </c:ext>
          </c:extLst>
        </c:ser>
        <c:ser>
          <c:idx val="6"/>
          <c:order val="5"/>
          <c:tx>
            <c:strRef>
              <c:f>MAY210717_5_aggr!$N$4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MAY210717_5_aggr!$AJ$7:$AJ$33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0BE-4D08-A9F3-EDA0715B9A8C}"/>
            </c:ext>
          </c:extLst>
        </c:ser>
        <c:ser>
          <c:idx val="7"/>
          <c:order val="6"/>
          <c:tx>
            <c:strRef>
              <c:f>MAY210717_5_aggr!$O$4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MAY210717_5_aggr!$AK$7:$AK$33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0BE-4D08-A9F3-EDA0715B9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MAY210717_5_aggr!$H$4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MAY210717_5_aggr!$AD$15:$AD$21</c:f>
              <c:numCache>
                <c:formatCode>0.00</c:formatCode>
                <c:ptCount val="7"/>
                <c:pt idx="0">
                  <c:v>34.146341463414629</c:v>
                </c:pt>
                <c:pt idx="1">
                  <c:v>34.437086092715234</c:v>
                </c:pt>
                <c:pt idx="2">
                  <c:v>32.699619771863112</c:v>
                </c:pt>
                <c:pt idx="3">
                  <c:v>23.920265780730897</c:v>
                </c:pt>
                <c:pt idx="4">
                  <c:v>25.757575757575758</c:v>
                </c:pt>
                <c:pt idx="5">
                  <c:v>10.796074154852784</c:v>
                </c:pt>
                <c:pt idx="6">
                  <c:v>7.831325301204819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0D-4134-8212-8D9EB495AA72}"/>
            </c:ext>
          </c:extLst>
        </c:ser>
        <c:ser>
          <c:idx val="1"/>
          <c:order val="1"/>
          <c:tx>
            <c:strRef>
              <c:f>MAY210717_5_aggr!$I$4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MAY210717_5_aggr!$AE$15:$AE$21</c:f>
              <c:numCache>
                <c:formatCode>0.00</c:formatCode>
                <c:ptCount val="7"/>
                <c:pt idx="0">
                  <c:v>65.853658536585371</c:v>
                </c:pt>
                <c:pt idx="1">
                  <c:v>37.086092715231793</c:v>
                </c:pt>
                <c:pt idx="2">
                  <c:v>46.007604562737647</c:v>
                </c:pt>
                <c:pt idx="3">
                  <c:v>64.784053156146186</c:v>
                </c:pt>
                <c:pt idx="4">
                  <c:v>52.020202020202035</c:v>
                </c:pt>
                <c:pt idx="5">
                  <c:v>75.463467829880031</c:v>
                </c:pt>
                <c:pt idx="6">
                  <c:v>79.819277108433724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0D-4134-8212-8D9EB495AA72}"/>
            </c:ext>
          </c:extLst>
        </c:ser>
        <c:ser>
          <c:idx val="2"/>
          <c:order val="2"/>
          <c:tx>
            <c:strRef>
              <c:f>MAY210717_5_aggr!$J$4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3.0418250950570349</c:v>
                </c:pt>
                <c:pt idx="3">
                  <c:v>4.3189368770764114</c:v>
                </c:pt>
                <c:pt idx="4">
                  <c:v>4.0404040404040416</c:v>
                </c:pt>
                <c:pt idx="5">
                  <c:v>4.6892039258451472</c:v>
                </c:pt>
                <c:pt idx="6">
                  <c:v>4.2168674698795181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C0D-4134-8212-8D9EB495AA72}"/>
            </c:ext>
          </c:extLst>
        </c:ser>
        <c:ser>
          <c:idx val="3"/>
          <c:order val="3"/>
          <c:tx>
            <c:strRef>
              <c:f>MAY210717_5_aggr!$K$4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5.7034220532319395</c:v>
                </c:pt>
                <c:pt idx="3">
                  <c:v>2.9900332225913622</c:v>
                </c:pt>
                <c:pt idx="4">
                  <c:v>6.5656565656565649</c:v>
                </c:pt>
                <c:pt idx="5">
                  <c:v>4.7982551799345696</c:v>
                </c:pt>
                <c:pt idx="6">
                  <c:v>2.1084337349397591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0D-4134-8212-8D9EB495AA72}"/>
            </c:ext>
          </c:extLst>
        </c:ser>
        <c:ser>
          <c:idx val="4"/>
          <c:order val="4"/>
          <c:tx>
            <c:strRef>
              <c:f>MAY210717_5_aggr!$L$4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28.476821192052981</c:v>
                </c:pt>
                <c:pt idx="2">
                  <c:v>12.547528517110267</c:v>
                </c:pt>
                <c:pt idx="3">
                  <c:v>3.9867109634551499</c:v>
                </c:pt>
                <c:pt idx="4">
                  <c:v>11.616161616161614</c:v>
                </c:pt>
                <c:pt idx="5">
                  <c:v>4.2529989094874594</c:v>
                </c:pt>
                <c:pt idx="6">
                  <c:v>5.7228915662650595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0D-4134-8212-8D9EB495AA72}"/>
            </c:ext>
          </c:extLst>
        </c:ser>
        <c:ser>
          <c:idx val="6"/>
          <c:order val="5"/>
          <c:tx>
            <c:strRef>
              <c:f>MAY210717_5_aggr!$N$4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C0D-4134-8212-8D9EB495AA72}"/>
            </c:ext>
          </c:extLst>
        </c:ser>
        <c:ser>
          <c:idx val="7"/>
          <c:order val="6"/>
          <c:tx>
            <c:strRef>
              <c:f>MAY210717_5_aggr!$O$4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0.3012048192771084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C0D-4134-8212-8D9EB495AA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MAY210717_5_no_aggr!$D$2</c:f>
              <c:strCache>
                <c:ptCount val="1"/>
                <c:pt idx="0">
                  <c:v>MAY210717_5_no_aggr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1.0104732945558716</c:v>
                </c:pt>
                <c:pt idx="9">
                  <c:v>3.7399953428111572</c:v>
                </c:pt>
                <c:pt idx="10">
                  <c:v>6.4809534437697298</c:v>
                </c:pt>
                <c:pt idx="11">
                  <c:v>7.4599711802372513</c:v>
                </c:pt>
                <c:pt idx="12">
                  <c:v>7.5813814435173414</c:v>
                </c:pt>
                <c:pt idx="13">
                  <c:v>9.2942821051393611</c:v>
                </c:pt>
                <c:pt idx="14">
                  <c:v>7.194818035987903</c:v>
                </c:pt>
                <c:pt idx="15">
                  <c:v>5.3661512622289074</c:v>
                </c:pt>
                <c:pt idx="16">
                  <c:v>4.2889771227736784</c:v>
                </c:pt>
                <c:pt idx="17">
                  <c:v>3.7540874471174215</c:v>
                </c:pt>
                <c:pt idx="18">
                  <c:v>2.950520468942583</c:v>
                </c:pt>
                <c:pt idx="19">
                  <c:v>2.9702399039898184</c:v>
                </c:pt>
                <c:pt idx="20">
                  <c:v>3.2561717121747304</c:v>
                </c:pt>
                <c:pt idx="21">
                  <c:v>3.0047489153224798</c:v>
                </c:pt>
                <c:pt idx="22">
                  <c:v>2.7311417540420901</c:v>
                </c:pt>
                <c:pt idx="23">
                  <c:v>5.7580750337927098</c:v>
                </c:pt>
                <c:pt idx="24">
                  <c:v>23.158011533596966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B7-420E-BA50-EAD53B6AE0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MAY210717_5_no_aggr!$D$2</c:f>
              <c:strCache>
                <c:ptCount val="1"/>
                <c:pt idx="0">
                  <c:v>MAY210717_5_no_aggr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MAY210717_5_no_aggr!$E$7:$E$33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1.0104732945558716</c:v>
                </c:pt>
                <c:pt idx="9">
                  <c:v>4.7504686373670291</c:v>
                </c:pt>
                <c:pt idx="10">
                  <c:v>11.23142208113676</c:v>
                </c:pt>
                <c:pt idx="11">
                  <c:v>18.69139326137401</c:v>
                </c:pt>
                <c:pt idx="12">
                  <c:v>26.272774704891351</c:v>
                </c:pt>
                <c:pt idx="13">
                  <c:v>35.567056810030714</c:v>
                </c:pt>
                <c:pt idx="14">
                  <c:v>42.761874846018614</c:v>
                </c:pt>
                <c:pt idx="15">
                  <c:v>48.128026108247525</c:v>
                </c:pt>
                <c:pt idx="16">
                  <c:v>52.417003231021205</c:v>
                </c:pt>
                <c:pt idx="17">
                  <c:v>56.171090678138626</c:v>
                </c:pt>
                <c:pt idx="18">
                  <c:v>59.121611147081211</c:v>
                </c:pt>
                <c:pt idx="19">
                  <c:v>62.091851051071032</c:v>
                </c:pt>
                <c:pt idx="20">
                  <c:v>65.348022763245766</c:v>
                </c:pt>
                <c:pt idx="21">
                  <c:v>68.352771678568246</c:v>
                </c:pt>
                <c:pt idx="22">
                  <c:v>71.083913432610331</c:v>
                </c:pt>
                <c:pt idx="23">
                  <c:v>76.841988466403038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93-4F22-89CB-54D91C47E0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1.399795321637427</c:v>
                </c:pt>
                <c:pt idx="9">
                  <c:v>5.22508038585209</c:v>
                </c:pt>
                <c:pt idx="10">
                  <c:v>8.5975977653631279</c:v>
                </c:pt>
                <c:pt idx="11">
                  <c:v>7.2393349168646095</c:v>
                </c:pt>
                <c:pt idx="12">
                  <c:v>7.9222556390977443</c:v>
                </c:pt>
                <c:pt idx="13">
                  <c:v>4.0707762096774198</c:v>
                </c:pt>
                <c:pt idx="14">
                  <c:v>2.2858651026392964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0D-4416-92DE-F6B5471FBF5F}"/>
            </c:ext>
          </c:extLst>
        </c:ser>
        <c:ser>
          <c:idx val="1"/>
          <c:order val="1"/>
          <c:tx>
            <c:strRef>
              <c:f>MAY210717_5_no_aggr!$I$4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2.6996052631578955</c:v>
                </c:pt>
                <c:pt idx="9">
                  <c:v>5.627009646302251</c:v>
                </c:pt>
                <c:pt idx="10">
                  <c:v>12.096620111731843</c:v>
                </c:pt>
                <c:pt idx="11">
                  <c:v>19.606532066508315</c:v>
                </c:pt>
                <c:pt idx="12">
                  <c:v>15.999849624060152</c:v>
                </c:pt>
                <c:pt idx="13">
                  <c:v>28.454314516129031</c:v>
                </c:pt>
                <c:pt idx="14">
                  <c:v>23.298240469208213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0D-4416-92DE-F6B5471FBF5F}"/>
            </c:ext>
          </c:extLst>
        </c:ser>
        <c:ser>
          <c:idx val="2"/>
          <c:order val="2"/>
          <c:tx>
            <c:strRef>
              <c:f>MAY210717_5_no_aggr!$J$4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0.79977653631284928</c:v>
                </c:pt>
                <c:pt idx="11">
                  <c:v>1.307102137767221</c:v>
                </c:pt>
                <c:pt idx="12">
                  <c:v>1.2427067669172933</c:v>
                </c:pt>
                <c:pt idx="13">
                  <c:v>1.7681149193548387</c:v>
                </c:pt>
                <c:pt idx="14">
                  <c:v>1.2308504398826983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0D-4416-92DE-F6B5471FBF5F}"/>
            </c:ext>
          </c:extLst>
        </c:ser>
        <c:ser>
          <c:idx val="3"/>
          <c:order val="3"/>
          <c:tx>
            <c:strRef>
              <c:f>MAY210717_5_no_aggr!$K$4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1.4995810055865924</c:v>
                </c:pt>
                <c:pt idx="11">
                  <c:v>0.90491686460807619</c:v>
                </c:pt>
                <c:pt idx="12">
                  <c:v>2.0193984962406013</c:v>
                </c:pt>
                <c:pt idx="13">
                  <c:v>1.809233870967742</c:v>
                </c:pt>
                <c:pt idx="14">
                  <c:v>0.61542521994134913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20D-4416-92DE-F6B5471FBF5F}"/>
            </c:ext>
          </c:extLst>
        </c:ser>
        <c:ser>
          <c:idx val="4"/>
          <c:order val="4"/>
          <c:tx>
            <c:strRef>
              <c:f>MAY210717_5_no_aggr!$L$4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4.320739549839228</c:v>
                </c:pt>
                <c:pt idx="10">
                  <c:v>3.2990782122905027</c:v>
                </c:pt>
                <c:pt idx="11">
                  <c:v>1.2065558194774348</c:v>
                </c:pt>
                <c:pt idx="12">
                  <c:v>3.5727819548872173</c:v>
                </c:pt>
                <c:pt idx="13">
                  <c:v>1.6036391129032259</c:v>
                </c:pt>
                <c:pt idx="14">
                  <c:v>1.6704398826979474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0D-4416-92DE-F6B5471FBF5F}"/>
            </c:ext>
          </c:extLst>
        </c:ser>
        <c:ser>
          <c:idx val="6"/>
          <c:order val="5"/>
          <c:tx>
            <c:strRef>
              <c:f>MAY210717_5_no_aggr!$N$4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20D-4416-92DE-F6B5471FBF5F}"/>
            </c:ext>
          </c:extLst>
        </c:ser>
        <c:ser>
          <c:idx val="7"/>
          <c:order val="6"/>
          <c:tx>
            <c:strRef>
              <c:f>MAY210717_5_no_aggr!$O$4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8.791788856304987E-2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20D-4416-92DE-F6B5471FBF5F}"/>
            </c:ext>
          </c:extLst>
        </c:ser>
        <c:ser>
          <c:idx val="5"/>
          <c:order val="7"/>
          <c:tx>
            <c:strRef>
              <c:f>MAY210717_5_no_aggr!$M$4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20D-4416-92DE-F6B5471FB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32.699619771863119</c:v>
                </c:pt>
                <c:pt idx="11" formatCode="0.00">
                  <c:v>23.920265780730901</c:v>
                </c:pt>
                <c:pt idx="12" formatCode="0.00">
                  <c:v>25.757575757575758</c:v>
                </c:pt>
                <c:pt idx="13" formatCode="0.00">
                  <c:v>10.796074154852784</c:v>
                </c:pt>
                <c:pt idx="14" formatCode="0.00">
                  <c:v>7.831325301204819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7D-4489-9A56-A73C976B7D09}"/>
            </c:ext>
          </c:extLst>
        </c:ser>
        <c:ser>
          <c:idx val="1"/>
          <c:order val="1"/>
          <c:tx>
            <c:strRef>
              <c:f>MAY210717_5_no_aggr!$I$4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37.086092715231793</c:v>
                </c:pt>
                <c:pt idx="10" formatCode="0.00">
                  <c:v>46.007604562737647</c:v>
                </c:pt>
                <c:pt idx="11" formatCode="0.00">
                  <c:v>64.784053156146172</c:v>
                </c:pt>
                <c:pt idx="12" formatCode="0.00">
                  <c:v>52.020202020202028</c:v>
                </c:pt>
                <c:pt idx="13" formatCode="0.00">
                  <c:v>75.463467829880045</c:v>
                </c:pt>
                <c:pt idx="14" formatCode="0.00">
                  <c:v>79.819277108433724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7D-4489-9A56-A73C976B7D09}"/>
            </c:ext>
          </c:extLst>
        </c:ser>
        <c:ser>
          <c:idx val="2"/>
          <c:order val="2"/>
          <c:tx>
            <c:strRef>
              <c:f>MAY210717_5_no_aggr!$J$4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3.0418250950570349</c:v>
                </c:pt>
                <c:pt idx="11" formatCode="0.00">
                  <c:v>4.3189368770764123</c:v>
                </c:pt>
                <c:pt idx="12" formatCode="0.00">
                  <c:v>4.0404040404040407</c:v>
                </c:pt>
                <c:pt idx="13" formatCode="0.00">
                  <c:v>4.6892039258451472</c:v>
                </c:pt>
                <c:pt idx="14" formatCode="0.00">
                  <c:v>4.2168674698795181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7D-4489-9A56-A73C976B7D09}"/>
            </c:ext>
          </c:extLst>
        </c:ser>
        <c:ser>
          <c:idx val="3"/>
          <c:order val="3"/>
          <c:tx>
            <c:strRef>
              <c:f>MAY210717_5_no_aggr!$K$4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5.7034220532319404</c:v>
                </c:pt>
                <c:pt idx="11" formatCode="0.00">
                  <c:v>2.9900332225913626</c:v>
                </c:pt>
                <c:pt idx="12" formatCode="0.00">
                  <c:v>6.5656565656565649</c:v>
                </c:pt>
                <c:pt idx="13" formatCode="0.00">
                  <c:v>4.7982551799345696</c:v>
                </c:pt>
                <c:pt idx="14" formatCode="0.00">
                  <c:v>2.1084337349397591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7D-4489-9A56-A73C976B7D09}"/>
            </c:ext>
          </c:extLst>
        </c:ser>
        <c:ser>
          <c:idx val="4"/>
          <c:order val="4"/>
          <c:tx>
            <c:strRef>
              <c:f>MAY210717_5_no_aggr!$L$4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28.476821192052981</c:v>
                </c:pt>
                <c:pt idx="10" formatCode="0.00">
                  <c:v>12.547528517110267</c:v>
                </c:pt>
                <c:pt idx="11" formatCode="0.00">
                  <c:v>3.9867109634551499</c:v>
                </c:pt>
                <c:pt idx="12" formatCode="0.00">
                  <c:v>11.616161616161614</c:v>
                </c:pt>
                <c:pt idx="13" formatCode="0.00">
                  <c:v>4.2529989094874594</c:v>
                </c:pt>
                <c:pt idx="14" formatCode="0.00">
                  <c:v>5.7228915662650595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07D-4489-9A56-A73C976B7D09}"/>
            </c:ext>
          </c:extLst>
        </c:ser>
        <c:ser>
          <c:idx val="6"/>
          <c:order val="5"/>
          <c:tx>
            <c:strRef>
              <c:f>MAY210717_5_no_aggr!$N$4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07D-4489-9A56-A73C976B7D09}"/>
            </c:ext>
          </c:extLst>
        </c:ser>
        <c:ser>
          <c:idx val="7"/>
          <c:order val="6"/>
          <c:tx>
            <c:strRef>
              <c:f>MAY210717_5_no_aggr!$O$4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7D-4489-9A56-A73C976B7D09}"/>
            </c:ext>
          </c:extLst>
        </c:ser>
        <c:ser>
          <c:idx val="5"/>
          <c:order val="7"/>
          <c:tx>
            <c:strRef>
              <c:f>MAY210717_5_no_aggr!$M$4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MAY210717_5_no_aggr!$X$7:$X$33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07D-4489-9A56-A73C976B7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MAY210717_5_no_aggr!$H$4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MAY210717_5_no_aggr!$AD$7:$AD$33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32.699619771863112</c:v>
                </c:pt>
                <c:pt idx="11" formatCode="0.00">
                  <c:v>23.920265780730901</c:v>
                </c:pt>
                <c:pt idx="12" formatCode="0.00">
                  <c:v>25.757575757575758</c:v>
                </c:pt>
                <c:pt idx="13" formatCode="0.00">
                  <c:v>10.796074154852782</c:v>
                </c:pt>
                <c:pt idx="14" formatCode="0.00">
                  <c:v>7.8313253012048198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E7-4257-9883-D9EC100B22C9}"/>
            </c:ext>
          </c:extLst>
        </c:ser>
        <c:ser>
          <c:idx val="1"/>
          <c:order val="1"/>
          <c:tx>
            <c:strRef>
              <c:f>MAY210717_5_no_aggr!$I$4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MAY210717_5_no_aggr!$AE$7:$AE$33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37.086092715231786</c:v>
                </c:pt>
                <c:pt idx="10" formatCode="0.00">
                  <c:v>46.007604562737647</c:v>
                </c:pt>
                <c:pt idx="11" formatCode="0.00">
                  <c:v>64.784053156146172</c:v>
                </c:pt>
                <c:pt idx="12" formatCode="0.00">
                  <c:v>52.020202020202028</c:v>
                </c:pt>
                <c:pt idx="13" formatCode="0.00">
                  <c:v>75.463467829880031</c:v>
                </c:pt>
                <c:pt idx="14" formatCode="0.00">
                  <c:v>79.819277108433738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E7-4257-9883-D9EC100B22C9}"/>
            </c:ext>
          </c:extLst>
        </c:ser>
        <c:ser>
          <c:idx val="2"/>
          <c:order val="2"/>
          <c:tx>
            <c:strRef>
              <c:f>MAY210717_5_no_aggr!$J$4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MAY210717_5_no_aggr!$AF$7:$AF$33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3.0418250950570345</c:v>
                </c:pt>
                <c:pt idx="11" formatCode="0.00">
                  <c:v>4.3189368770764123</c:v>
                </c:pt>
                <c:pt idx="12" formatCode="0.00">
                  <c:v>4.0404040404040398</c:v>
                </c:pt>
                <c:pt idx="13" formatCode="0.00">
                  <c:v>4.6892039258451463</c:v>
                </c:pt>
                <c:pt idx="14" formatCode="0.00">
                  <c:v>4.216867469879519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E7-4257-9883-D9EC100B22C9}"/>
            </c:ext>
          </c:extLst>
        </c:ser>
        <c:ser>
          <c:idx val="3"/>
          <c:order val="3"/>
          <c:tx>
            <c:strRef>
              <c:f>MAY210717_5_no_aggr!$K$4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MAY210717_5_no_aggr!$AG$7:$AG$33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5.7034220532319404</c:v>
                </c:pt>
                <c:pt idx="11" formatCode="0.00">
                  <c:v>2.9900332225913626</c:v>
                </c:pt>
                <c:pt idx="12" formatCode="0.00">
                  <c:v>6.565656565656564</c:v>
                </c:pt>
                <c:pt idx="13" formatCode="0.00">
                  <c:v>4.7982551799345687</c:v>
                </c:pt>
                <c:pt idx="14" formatCode="0.00">
                  <c:v>2.1084337349397595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E7-4257-9883-D9EC100B22C9}"/>
            </c:ext>
          </c:extLst>
        </c:ser>
        <c:ser>
          <c:idx val="4"/>
          <c:order val="4"/>
          <c:tx>
            <c:strRef>
              <c:f>MAY210717_5_no_aggr!$L$4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MAY210717_5_no_aggr!$AH$7:$AH$33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28.476821192052977</c:v>
                </c:pt>
                <c:pt idx="10" formatCode="0.00">
                  <c:v>12.547528517110266</c:v>
                </c:pt>
                <c:pt idx="11" formatCode="0.00">
                  <c:v>3.9867109634551499</c:v>
                </c:pt>
                <c:pt idx="12" formatCode="0.00">
                  <c:v>11.616161616161612</c:v>
                </c:pt>
                <c:pt idx="13" formatCode="0.00">
                  <c:v>4.2529989094874585</c:v>
                </c:pt>
                <c:pt idx="14" formatCode="0.00">
                  <c:v>5.7228915662650603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1E7-4257-9883-D9EC100B22C9}"/>
            </c:ext>
          </c:extLst>
        </c:ser>
        <c:ser>
          <c:idx val="6"/>
          <c:order val="5"/>
          <c:tx>
            <c:strRef>
              <c:f>MAY210717_5_no_aggr!$N$4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MAY210717_5_no_aggr!$AJ$7:$AJ$33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1E7-4257-9883-D9EC100B22C9}"/>
            </c:ext>
          </c:extLst>
        </c:ser>
        <c:ser>
          <c:idx val="7"/>
          <c:order val="6"/>
          <c:tx>
            <c:strRef>
              <c:f>MAY210717_5_no_aggr!$O$4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MAY210717_5_no_aggr!$AK$7:$AK$33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1E7-4257-9883-D9EC100B2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MAY210717_5_no_aggr!$H$4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MAY210717_5_no_aggr!$AD$15:$AD$21</c:f>
              <c:numCache>
                <c:formatCode>0.00</c:formatCode>
                <c:ptCount val="7"/>
                <c:pt idx="0">
                  <c:v>34.146341463414629</c:v>
                </c:pt>
                <c:pt idx="1">
                  <c:v>34.437086092715234</c:v>
                </c:pt>
                <c:pt idx="2">
                  <c:v>32.699619771863112</c:v>
                </c:pt>
                <c:pt idx="3">
                  <c:v>23.920265780730901</c:v>
                </c:pt>
                <c:pt idx="4">
                  <c:v>25.757575757575758</c:v>
                </c:pt>
                <c:pt idx="5">
                  <c:v>10.796074154852782</c:v>
                </c:pt>
                <c:pt idx="6">
                  <c:v>7.8313253012048198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7D-4D5E-94C2-AE4B7747DBFA}"/>
            </c:ext>
          </c:extLst>
        </c:ser>
        <c:ser>
          <c:idx val="1"/>
          <c:order val="1"/>
          <c:tx>
            <c:strRef>
              <c:f>MAY210717_5_no_aggr!$I$4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MAY210717_5_no_aggr!$AE$15:$AE$21</c:f>
              <c:numCache>
                <c:formatCode>0.00</c:formatCode>
                <c:ptCount val="7"/>
                <c:pt idx="0">
                  <c:v>65.853658536585371</c:v>
                </c:pt>
                <c:pt idx="1">
                  <c:v>37.086092715231786</c:v>
                </c:pt>
                <c:pt idx="2">
                  <c:v>46.007604562737647</c:v>
                </c:pt>
                <c:pt idx="3">
                  <c:v>64.784053156146172</c:v>
                </c:pt>
                <c:pt idx="4">
                  <c:v>52.020202020202028</c:v>
                </c:pt>
                <c:pt idx="5">
                  <c:v>75.463467829880031</c:v>
                </c:pt>
                <c:pt idx="6">
                  <c:v>79.819277108433738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7D-4D5E-94C2-AE4B7747DBFA}"/>
            </c:ext>
          </c:extLst>
        </c:ser>
        <c:ser>
          <c:idx val="2"/>
          <c:order val="2"/>
          <c:tx>
            <c:strRef>
              <c:f>MAY210717_5_no_aggr!$J$4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3.0418250950570345</c:v>
                </c:pt>
                <c:pt idx="3">
                  <c:v>4.3189368770764123</c:v>
                </c:pt>
                <c:pt idx="4">
                  <c:v>4.0404040404040398</c:v>
                </c:pt>
                <c:pt idx="5">
                  <c:v>4.6892039258451463</c:v>
                </c:pt>
                <c:pt idx="6">
                  <c:v>4.216867469879519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07D-4D5E-94C2-AE4B7747DBFA}"/>
            </c:ext>
          </c:extLst>
        </c:ser>
        <c:ser>
          <c:idx val="3"/>
          <c:order val="3"/>
          <c:tx>
            <c:strRef>
              <c:f>MAY210717_5_no_aggr!$K$4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5.7034220532319404</c:v>
                </c:pt>
                <c:pt idx="3">
                  <c:v>2.9900332225913626</c:v>
                </c:pt>
                <c:pt idx="4">
                  <c:v>6.565656565656564</c:v>
                </c:pt>
                <c:pt idx="5">
                  <c:v>4.7982551799345687</c:v>
                </c:pt>
                <c:pt idx="6">
                  <c:v>2.1084337349397595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07D-4D5E-94C2-AE4B7747DBFA}"/>
            </c:ext>
          </c:extLst>
        </c:ser>
        <c:ser>
          <c:idx val="4"/>
          <c:order val="4"/>
          <c:tx>
            <c:strRef>
              <c:f>MAY210717_5_no_aggr!$L$4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28.476821192052977</c:v>
                </c:pt>
                <c:pt idx="2">
                  <c:v>12.547528517110266</c:v>
                </c:pt>
                <c:pt idx="3">
                  <c:v>3.9867109634551499</c:v>
                </c:pt>
                <c:pt idx="4">
                  <c:v>11.616161616161612</c:v>
                </c:pt>
                <c:pt idx="5">
                  <c:v>4.2529989094874585</c:v>
                </c:pt>
                <c:pt idx="6">
                  <c:v>5.7228915662650603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07D-4D5E-94C2-AE4B7747DBFA}"/>
            </c:ext>
          </c:extLst>
        </c:ser>
        <c:ser>
          <c:idx val="6"/>
          <c:order val="5"/>
          <c:tx>
            <c:strRef>
              <c:f>MAY210717_5_no_aggr!$N$4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07D-4D5E-94C2-AE4B7747DBFA}"/>
            </c:ext>
          </c:extLst>
        </c:ser>
        <c:ser>
          <c:idx val="7"/>
          <c:order val="6"/>
          <c:tx>
            <c:strRef>
              <c:f>MAY210717_5_no_aggr!$O$4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MAY210717_5_no_aggr!$AK$15:$AK$21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0.30120481927710846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07D-4D5E-94C2-AE4B7747D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MAY210717_6!$D$2</c:f>
              <c:strCache>
                <c:ptCount val="1"/>
                <c:pt idx="0">
                  <c:v>MAY210717_6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28.996080139372825</c:v>
                </c:pt>
                <c:pt idx="4">
                  <c:v>43.181075783972126</c:v>
                </c:pt>
                <c:pt idx="5">
                  <c:v>5.7559342334494783</c:v>
                </c:pt>
                <c:pt idx="6">
                  <c:v>3.7320339721254361</c:v>
                </c:pt>
                <c:pt idx="7">
                  <c:v>6.3003593205574919</c:v>
                </c:pt>
                <c:pt idx="8">
                  <c:v>1.8646559233449478</c:v>
                </c:pt>
                <c:pt idx="9">
                  <c:v>1.8973214285714288</c:v>
                </c:pt>
                <c:pt idx="10">
                  <c:v>1.2998148954703834</c:v>
                </c:pt>
                <c:pt idx="11">
                  <c:v>1.0357687282229968</c:v>
                </c:pt>
                <c:pt idx="12">
                  <c:v>0.85883057491289194</c:v>
                </c:pt>
                <c:pt idx="13">
                  <c:v>0.75947299651567957</c:v>
                </c:pt>
                <c:pt idx="14">
                  <c:v>0.61111716027874574</c:v>
                </c:pt>
                <c:pt idx="15">
                  <c:v>0.47228876306620221</c:v>
                </c:pt>
                <c:pt idx="16">
                  <c:v>0.39198606271777003</c:v>
                </c:pt>
                <c:pt idx="17">
                  <c:v>0.36340374564459937</c:v>
                </c:pt>
                <c:pt idx="18">
                  <c:v>0.27085148083623695</c:v>
                </c:pt>
                <c:pt idx="19">
                  <c:v>0.28854529616724744</c:v>
                </c:pt>
                <c:pt idx="20">
                  <c:v>0.24226916376306626</c:v>
                </c:pt>
                <c:pt idx="21">
                  <c:v>0.23138066202090593</c:v>
                </c:pt>
                <c:pt idx="22">
                  <c:v>0.20415940766550525</c:v>
                </c:pt>
                <c:pt idx="23">
                  <c:v>0.22321428571428575</c:v>
                </c:pt>
                <c:pt idx="24">
                  <c:v>1.0194359756097564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0D-4336-9C76-790C0EE144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6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MAY210717_6!$D$2</c:f>
              <c:strCache>
                <c:ptCount val="1"/>
                <c:pt idx="0">
                  <c:v>MAY210717_6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28.996080139372825</c:v>
                </c:pt>
                <c:pt idx="4">
                  <c:v>72.177155923344955</c:v>
                </c:pt>
                <c:pt idx="5">
                  <c:v>77.933090156794435</c:v>
                </c:pt>
                <c:pt idx="6">
                  <c:v>81.665124128919871</c:v>
                </c:pt>
                <c:pt idx="7">
                  <c:v>87.965483449477361</c:v>
                </c:pt>
                <c:pt idx="8">
                  <c:v>89.830139372822302</c:v>
                </c:pt>
                <c:pt idx="9">
                  <c:v>91.727460801393732</c:v>
                </c:pt>
                <c:pt idx="10">
                  <c:v>93.027275696864109</c:v>
                </c:pt>
                <c:pt idx="11">
                  <c:v>94.063044425087099</c:v>
                </c:pt>
                <c:pt idx="12">
                  <c:v>94.921874999999986</c:v>
                </c:pt>
                <c:pt idx="13">
                  <c:v>95.681347996515669</c:v>
                </c:pt>
                <c:pt idx="14">
                  <c:v>96.292465156794421</c:v>
                </c:pt>
                <c:pt idx="15">
                  <c:v>96.764753919860624</c:v>
                </c:pt>
                <c:pt idx="16">
                  <c:v>97.156739982578401</c:v>
                </c:pt>
                <c:pt idx="17">
                  <c:v>97.520143728223005</c:v>
                </c:pt>
                <c:pt idx="18">
                  <c:v>97.790995209059247</c:v>
                </c:pt>
                <c:pt idx="19">
                  <c:v>98.07954050522649</c:v>
                </c:pt>
                <c:pt idx="20">
                  <c:v>98.321809668989559</c:v>
                </c:pt>
                <c:pt idx="21">
                  <c:v>98.55319033101047</c:v>
                </c:pt>
                <c:pt idx="22">
                  <c:v>98.75734973867597</c:v>
                </c:pt>
                <c:pt idx="23">
                  <c:v>98.980564024390262</c:v>
                </c:pt>
                <c:pt idx="24">
                  <c:v>100.00000000000001</c:v>
                </c:pt>
                <c:pt idx="25">
                  <c:v>100.00000000000001</c:v>
                </c:pt>
                <c:pt idx="26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2B-4E07-80C6-3C28D60BDC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0.80811594202898551</c:v>
                </c:pt>
                <c:pt idx="10">
                  <c:v>2.2115789473684213</c:v>
                </c:pt>
                <c:pt idx="11">
                  <c:v>2.1308000000000002</c:v>
                </c:pt>
                <c:pt idx="12">
                  <c:v>1.2212903225806448</c:v>
                </c:pt>
                <c:pt idx="13">
                  <c:v>1.3093862815884478</c:v>
                </c:pt>
                <c:pt idx="14">
                  <c:v>1.0298165137614679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D8-4BB0-B557-B9BA7AF5830D}"/>
            </c:ext>
          </c:extLst>
        </c:ser>
        <c:ser>
          <c:idx val="1"/>
          <c:order val="1"/>
          <c:tx>
            <c:strRef>
              <c:f>MAY210717_6!$I$4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0.80421052631578949</c:v>
                </c:pt>
                <c:pt idx="11">
                  <c:v>0.40586666666666671</c:v>
                </c:pt>
                <c:pt idx="12">
                  <c:v>0.40709677419354834</c:v>
                </c:pt>
                <c:pt idx="13">
                  <c:v>0.20144404332129964</c:v>
                </c:pt>
                <c:pt idx="14">
                  <c:v>0.14417431192660551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D8-4BB0-B557-B9BA7AF5830D}"/>
            </c:ext>
          </c:extLst>
        </c:ser>
        <c:ser>
          <c:idx val="2"/>
          <c:order val="2"/>
          <c:tx>
            <c:strRef>
              <c:f>MAY210717_6!$J$4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5.0361010830324911E-2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AD8-4BB0-B557-B9BA7AF5830D}"/>
            </c:ext>
          </c:extLst>
        </c:ser>
        <c:ser>
          <c:idx val="3"/>
          <c:order val="3"/>
          <c:tx>
            <c:strRef>
              <c:f>MAY210717_6!$K$4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0.10177419354838708</c:v>
                </c:pt>
                <c:pt idx="13">
                  <c:v>5.0361010830324911E-2</c:v>
                </c:pt>
                <c:pt idx="14">
                  <c:v>6.1788990825688075E-2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D8-4BB0-B557-B9BA7AF5830D}"/>
            </c:ext>
          </c:extLst>
        </c:ser>
        <c:ser>
          <c:idx val="4"/>
          <c:order val="4"/>
          <c:tx>
            <c:strRef>
              <c:f>MAY210717_6!$L$4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0.10177419354838708</c:v>
                </c:pt>
                <c:pt idx="13">
                  <c:v>3.0216606498194944E-2</c:v>
                </c:pt>
                <c:pt idx="14">
                  <c:v>2.0596330275229356E-2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AD8-4BB0-B557-B9BA7AF5830D}"/>
            </c:ext>
          </c:extLst>
        </c:ser>
        <c:ser>
          <c:idx val="6"/>
          <c:order val="5"/>
          <c:tx>
            <c:strRef>
              <c:f>MAY210717_6!$N$4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AD8-4BB0-B557-B9BA7AF5830D}"/>
            </c:ext>
          </c:extLst>
        </c:ser>
        <c:ser>
          <c:idx val="7"/>
          <c:order val="6"/>
          <c:tx>
            <c:strRef>
              <c:f>MAY210717_6!$O$4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1.0072202166064982E-2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AD8-4BB0-B557-B9BA7AF5830D}"/>
            </c:ext>
          </c:extLst>
        </c:ser>
        <c:ser>
          <c:idx val="5"/>
          <c:order val="7"/>
          <c:tx>
            <c:strRef>
              <c:f>MAY210717_6!$M$4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213.04</c:v>
                </c:pt>
                <c:pt idx="4">
                  <c:v>317.26</c:v>
                </c:pt>
                <c:pt idx="5">
                  <c:v>42.29</c:v>
                </c:pt>
                <c:pt idx="6">
                  <c:v>27.42</c:v>
                </c:pt>
                <c:pt idx="7">
                  <c:v>46.29</c:v>
                </c:pt>
                <c:pt idx="8">
                  <c:v>13.7</c:v>
                </c:pt>
                <c:pt idx="9">
                  <c:v>13.131884057971014</c:v>
                </c:pt>
                <c:pt idx="10">
                  <c:v>6.5342105263157899</c:v>
                </c:pt>
                <c:pt idx="11">
                  <c:v>5.0733333333333341</c:v>
                </c:pt>
                <c:pt idx="12">
                  <c:v>4.4780645161290318</c:v>
                </c:pt>
                <c:pt idx="13">
                  <c:v>3.9281588447653428</c:v>
                </c:pt>
                <c:pt idx="14">
                  <c:v>3.2336238532110091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AD8-4BB0-B557-B9BA7AF583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5.7971014492753623</c:v>
                </c:pt>
                <c:pt idx="10" formatCode="0.00">
                  <c:v>23.157894736842106</c:v>
                </c:pt>
                <c:pt idx="11" formatCode="0.00">
                  <c:v>27.999999999999996</c:v>
                </c:pt>
                <c:pt idx="12" formatCode="0.00">
                  <c:v>19.35483870967742</c:v>
                </c:pt>
                <c:pt idx="13" formatCode="0.00">
                  <c:v>23.465703971119133</c:v>
                </c:pt>
                <c:pt idx="14" formatCode="0.00">
                  <c:v>22.935779816513758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3F-4316-93D9-5075C6070EB5}"/>
            </c:ext>
          </c:extLst>
        </c:ser>
        <c:ser>
          <c:idx val="1"/>
          <c:order val="1"/>
          <c:tx>
            <c:strRef>
              <c:f>MAY210717_6!$I$4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8.4210526315789469</c:v>
                </c:pt>
                <c:pt idx="11" formatCode="0.00">
                  <c:v>5.333333333333333</c:v>
                </c:pt>
                <c:pt idx="12" formatCode="0.00">
                  <c:v>6.4516129032258069</c:v>
                </c:pt>
                <c:pt idx="13" formatCode="0.00">
                  <c:v>3.6101083032490973</c:v>
                </c:pt>
                <c:pt idx="14" formatCode="0.00">
                  <c:v>3.2110091743119265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3F-4316-93D9-5075C6070EB5}"/>
            </c:ext>
          </c:extLst>
        </c:ser>
        <c:ser>
          <c:idx val="2"/>
          <c:order val="2"/>
          <c:tx>
            <c:strRef>
              <c:f>MAY210717_6!$J$4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0.90252707581227432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3F-4316-93D9-5075C6070EB5}"/>
            </c:ext>
          </c:extLst>
        </c:ser>
        <c:ser>
          <c:idx val="3"/>
          <c:order val="3"/>
          <c:tx>
            <c:strRef>
              <c:f>MAY210717_6!$K$4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1.6129032258064517</c:v>
                </c:pt>
                <c:pt idx="13" formatCode="0.00">
                  <c:v>0.90252707581227432</c:v>
                </c:pt>
                <c:pt idx="14" formatCode="0.00">
                  <c:v>1.3761467889908257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3F-4316-93D9-5075C6070EB5}"/>
            </c:ext>
          </c:extLst>
        </c:ser>
        <c:ser>
          <c:idx val="4"/>
          <c:order val="4"/>
          <c:tx>
            <c:strRef>
              <c:f>MAY210717_6!$L$4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1.6129032258064517</c:v>
                </c:pt>
                <c:pt idx="13" formatCode="0.00">
                  <c:v>0.54151624548736454</c:v>
                </c:pt>
                <c:pt idx="14" formatCode="0.00">
                  <c:v>0.4587155963302752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73F-4316-93D9-5075C6070EB5}"/>
            </c:ext>
          </c:extLst>
        </c:ser>
        <c:ser>
          <c:idx val="6"/>
          <c:order val="5"/>
          <c:tx>
            <c:strRef>
              <c:f>MAY210717_6!$N$4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73F-4316-93D9-5075C6070EB5}"/>
            </c:ext>
          </c:extLst>
        </c:ser>
        <c:ser>
          <c:idx val="7"/>
          <c:order val="6"/>
          <c:tx>
            <c:strRef>
              <c:f>MAY210717_6!$O$4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0.18050541516245483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3F-4316-93D9-5075C6070EB5}"/>
            </c:ext>
          </c:extLst>
        </c:ser>
        <c:ser>
          <c:idx val="5"/>
          <c:order val="7"/>
          <c:tx>
            <c:strRef>
              <c:f>MAY210717_6!$M$4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94.20289855072464</c:v>
                </c:pt>
                <c:pt idx="10" formatCode="0.00">
                  <c:v>68.421052631578945</c:v>
                </c:pt>
                <c:pt idx="11" formatCode="0.00">
                  <c:v>66.666666666666671</c:v>
                </c:pt>
                <c:pt idx="12" formatCode="0.00">
                  <c:v>70.967741935483872</c:v>
                </c:pt>
                <c:pt idx="13" formatCode="0.00">
                  <c:v>70.397111913357392</c:v>
                </c:pt>
                <c:pt idx="14" formatCode="0.00">
                  <c:v>72.018348623853214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73F-4316-93D9-5075C6070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73.333333333333329</c:v>
                </c:pt>
                <c:pt idx="11" formatCode="0.00">
                  <c:v>84</c:v>
                </c:pt>
                <c:pt idx="12" formatCode="0.00">
                  <c:v>66.666666666666657</c:v>
                </c:pt>
                <c:pt idx="13" formatCode="0.00">
                  <c:v>79.268292682926827</c:v>
                </c:pt>
                <c:pt idx="14" formatCode="0.00">
                  <c:v>81.967213114754102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95-4AE6-A3AC-2A37C290CB04}"/>
            </c:ext>
          </c:extLst>
        </c:ser>
        <c:ser>
          <c:idx val="1"/>
          <c:order val="1"/>
          <c:tx>
            <c:strRef>
              <c:f>MAY210717_6!$I$4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MAY210717_6!$AE$7:$AE$33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26.666666666666664</c:v>
                </c:pt>
                <c:pt idx="11" formatCode="0.00">
                  <c:v>16</c:v>
                </c:pt>
                <c:pt idx="12" formatCode="0.00">
                  <c:v>22.222222222222221</c:v>
                </c:pt>
                <c:pt idx="13" formatCode="0.00">
                  <c:v>12.195121951219512</c:v>
                </c:pt>
                <c:pt idx="14" formatCode="0.00">
                  <c:v>11.475409836065575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95-4AE6-A3AC-2A37C290CB04}"/>
            </c:ext>
          </c:extLst>
        </c:ser>
        <c:ser>
          <c:idx val="2"/>
          <c:order val="2"/>
          <c:tx>
            <c:strRef>
              <c:f>MAY210717_6!$J$4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MAY210717_6!$AF$7:$AF$33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3.0487804878048781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495-4AE6-A3AC-2A37C290CB04}"/>
            </c:ext>
          </c:extLst>
        </c:ser>
        <c:ser>
          <c:idx val="3"/>
          <c:order val="3"/>
          <c:tx>
            <c:strRef>
              <c:f>MAY210717_6!$K$4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MAY210717_6!$AG$7:$AG$33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5.5555555555555554</c:v>
                </c:pt>
                <c:pt idx="13" formatCode="0.00">
                  <c:v>3.0487804878048781</c:v>
                </c:pt>
                <c:pt idx="14" formatCode="0.00">
                  <c:v>4.9180327868852469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495-4AE6-A3AC-2A37C290CB04}"/>
            </c:ext>
          </c:extLst>
        </c:ser>
        <c:ser>
          <c:idx val="4"/>
          <c:order val="4"/>
          <c:tx>
            <c:strRef>
              <c:f>MAY210717_6!$L$4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MAY210717_6!$AH$7:$AH$33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5.5555555555555554</c:v>
                </c:pt>
                <c:pt idx="13" formatCode="0.00">
                  <c:v>1.8292682926829269</c:v>
                </c:pt>
                <c:pt idx="14" formatCode="0.00">
                  <c:v>1.6393442622950822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495-4AE6-A3AC-2A37C290CB04}"/>
            </c:ext>
          </c:extLst>
        </c:ser>
        <c:ser>
          <c:idx val="6"/>
          <c:order val="5"/>
          <c:tx>
            <c:strRef>
              <c:f>MAY210717_6!$N$4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MAY210717_6!$AJ$7:$AJ$33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495-4AE6-A3AC-2A37C290CB04}"/>
            </c:ext>
          </c:extLst>
        </c:ser>
        <c:ser>
          <c:idx val="7"/>
          <c:order val="6"/>
          <c:tx>
            <c:strRef>
              <c:f>MAY210717_6!$O$4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MAY210717_6!$AK$7:$AK$33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0.6097560975609756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495-4AE6-A3AC-2A37C290C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MAY210717_6!$H$4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MAY210717_6!$AD$15:$AD$21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73.333333333333329</c:v>
                </c:pt>
                <c:pt idx="3">
                  <c:v>84</c:v>
                </c:pt>
                <c:pt idx="4">
                  <c:v>66.666666666666657</c:v>
                </c:pt>
                <c:pt idx="5">
                  <c:v>79.268292682926827</c:v>
                </c:pt>
                <c:pt idx="6">
                  <c:v>81.967213114754102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B-44E2-8AB4-6F8A65906E48}"/>
            </c:ext>
          </c:extLst>
        </c:ser>
        <c:ser>
          <c:idx val="1"/>
          <c:order val="1"/>
          <c:tx>
            <c:strRef>
              <c:f>MAY210717_6!$I$4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26.666666666666664</c:v>
                </c:pt>
                <c:pt idx="3">
                  <c:v>16</c:v>
                </c:pt>
                <c:pt idx="4">
                  <c:v>22.222222222222221</c:v>
                </c:pt>
                <c:pt idx="5">
                  <c:v>12.195121951219512</c:v>
                </c:pt>
                <c:pt idx="6">
                  <c:v>11.475409836065575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BB-44E2-8AB4-6F8A65906E48}"/>
            </c:ext>
          </c:extLst>
        </c:ser>
        <c:ser>
          <c:idx val="2"/>
          <c:order val="2"/>
          <c:tx>
            <c:strRef>
              <c:f>MAY210717_6!$J$4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3.0487804878048781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BB-44E2-8AB4-6F8A65906E48}"/>
            </c:ext>
          </c:extLst>
        </c:ser>
        <c:ser>
          <c:idx val="3"/>
          <c:order val="3"/>
          <c:tx>
            <c:strRef>
              <c:f>MAY210717_6!$K$4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5.5555555555555554</c:v>
                </c:pt>
                <c:pt idx="5">
                  <c:v>3.0487804878048781</c:v>
                </c:pt>
                <c:pt idx="6">
                  <c:v>4.9180327868852469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BB-44E2-8AB4-6F8A65906E48}"/>
            </c:ext>
          </c:extLst>
        </c:ser>
        <c:ser>
          <c:idx val="4"/>
          <c:order val="4"/>
          <c:tx>
            <c:strRef>
              <c:f>MAY210717_6!$L$4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5.5555555555555554</c:v>
                </c:pt>
                <c:pt idx="5">
                  <c:v>1.8292682926829269</c:v>
                </c:pt>
                <c:pt idx="6">
                  <c:v>1.6393442622950822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BB-44E2-8AB4-6F8A65906E48}"/>
            </c:ext>
          </c:extLst>
        </c:ser>
        <c:ser>
          <c:idx val="6"/>
          <c:order val="5"/>
          <c:tx>
            <c:strRef>
              <c:f>MAY210717_6!$N$4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BB-44E2-8AB4-6F8A65906E48}"/>
            </c:ext>
          </c:extLst>
        </c:ser>
        <c:ser>
          <c:idx val="7"/>
          <c:order val="6"/>
          <c:tx>
            <c:strRef>
              <c:f>MAY210717_6!$O$4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0.6097560975609756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BB-44E2-8AB4-6F8A65906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MAY210717_6_aggr!$D$2</c:f>
              <c:strCache>
                <c:ptCount val="1"/>
                <c:pt idx="0">
                  <c:v>MAY210717_6_aggr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MAY210717_6_aggr!$B$7:$B$33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2.1077221278559373</c:v>
                </c:pt>
                <c:pt idx="10">
                  <c:v>7.8657601911425106</c:v>
                </c:pt>
                <c:pt idx="11">
                  <c:v>6.6161155674071868</c:v>
                </c:pt>
                <c:pt idx="12">
                  <c:v>4.7780408173420481</c:v>
                </c:pt>
                <c:pt idx="13">
                  <c:v>4.3083200980414809</c:v>
                </c:pt>
                <c:pt idx="14">
                  <c:v>3.2768711366450862</c:v>
                </c:pt>
                <c:pt idx="15">
                  <c:v>9.0504287853756669</c:v>
                </c:pt>
                <c:pt idx="16">
                  <c:v>7.5115950725884488</c:v>
                </c:pt>
                <c:pt idx="17">
                  <c:v>6.9638745985455417</c:v>
                </c:pt>
                <c:pt idx="18">
                  <c:v>5.1903035397399355</c:v>
                </c:pt>
                <c:pt idx="19">
                  <c:v>5.5293685950998306</c:v>
                </c:pt>
                <c:pt idx="20">
                  <c:v>4.6425830656970275</c:v>
                </c:pt>
                <c:pt idx="21">
                  <c:v>4.4339276470140154</c:v>
                </c:pt>
                <c:pt idx="22">
                  <c:v>3.9122891003064839</c:v>
                </c:pt>
                <c:pt idx="23">
                  <c:v>4.2774360830017555</c:v>
                </c:pt>
                <c:pt idx="24">
                  <c:v>19.535363574197046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54-44F6-B9A8-3A712957070C}"/>
            </c:ext>
          </c:extLst>
        </c:ser>
        <c:ser>
          <c:idx val="1"/>
          <c:order val="1"/>
          <c:tx>
            <c:v>Aggr</c:v>
          </c:tx>
          <c:invertIfNegative val="0"/>
          <c:val>
            <c:numRef>
              <c:f>MAY210717_6_aggr!$Q$7:$Q$33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28.996080139372825</c:v>
                </c:pt>
                <c:pt idx="4">
                  <c:v>43.181075783972126</c:v>
                </c:pt>
                <c:pt idx="5">
                  <c:v>5.7559342334494783</c:v>
                </c:pt>
                <c:pt idx="6">
                  <c:v>3.7320339721254361</c:v>
                </c:pt>
                <c:pt idx="7">
                  <c:v>6.3003593205574919</c:v>
                </c:pt>
                <c:pt idx="8">
                  <c:v>1.8646559233449478</c:v>
                </c:pt>
                <c:pt idx="9">
                  <c:v>1.7873317805383024</c:v>
                </c:pt>
                <c:pt idx="10">
                  <c:v>0.88934703374289392</c:v>
                </c:pt>
                <c:pt idx="11">
                  <c:v>0.69051248548199795</c:v>
                </c:pt>
                <c:pt idx="12">
                  <c:v>0.60949266606721364</c:v>
                </c:pt>
                <c:pt idx="13">
                  <c:v>0.53464705530887191</c:v>
                </c:pt>
                <c:pt idx="14">
                  <c:v>0.44011648698973882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54-44F6-B9A8-3A71295707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MAY210717_6_aggr!$D$2</c:f>
              <c:strCache>
                <c:ptCount val="1"/>
                <c:pt idx="0">
                  <c:v>MAY210717_6_aggr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MAY210717_6_aggr!$B$7:$B$33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MAY210717_6_aggr!$E$7:$E$33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2.1077221278559373</c:v>
                </c:pt>
                <c:pt idx="10">
                  <c:v>9.9734823189984478</c:v>
                </c:pt>
                <c:pt idx="11">
                  <c:v>16.589597886405635</c:v>
                </c:pt>
                <c:pt idx="12">
                  <c:v>21.367638703747684</c:v>
                </c:pt>
                <c:pt idx="13">
                  <c:v>25.675958801789164</c:v>
                </c:pt>
                <c:pt idx="14">
                  <c:v>28.952829938434249</c:v>
                </c:pt>
                <c:pt idx="15">
                  <c:v>38.003258723809914</c:v>
                </c:pt>
                <c:pt idx="16">
                  <c:v>45.514853796398363</c:v>
                </c:pt>
                <c:pt idx="17">
                  <c:v>52.478728394943907</c:v>
                </c:pt>
                <c:pt idx="18">
                  <c:v>57.669031934683844</c:v>
                </c:pt>
                <c:pt idx="19">
                  <c:v>63.198400529783676</c:v>
                </c:pt>
                <c:pt idx="20">
                  <c:v>67.840983595480708</c:v>
                </c:pt>
                <c:pt idx="21">
                  <c:v>72.274911242494724</c:v>
                </c:pt>
                <c:pt idx="22">
                  <c:v>76.187200342801205</c:v>
                </c:pt>
                <c:pt idx="23">
                  <c:v>80.464636425802965</c:v>
                </c:pt>
                <c:pt idx="24">
                  <c:v>100.00000000000001</c:v>
                </c:pt>
                <c:pt idx="25">
                  <c:v>100.00000000000001</c:v>
                </c:pt>
                <c:pt idx="26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53-4DA1-B7A6-21029E73A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MAY210717_6_aggr!$B$7:$B$33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0.80811594202898551</c:v>
                </c:pt>
                <c:pt idx="10">
                  <c:v>2.2115789473684213</c:v>
                </c:pt>
                <c:pt idx="11">
                  <c:v>2.1308000000000002</c:v>
                </c:pt>
                <c:pt idx="12">
                  <c:v>1.2212903225806448</c:v>
                </c:pt>
                <c:pt idx="13">
                  <c:v>1.3093862815884478</c:v>
                </c:pt>
                <c:pt idx="14">
                  <c:v>1.0298165137614679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A9-4675-A165-FB1A641DF553}"/>
            </c:ext>
          </c:extLst>
        </c:ser>
        <c:ser>
          <c:idx val="1"/>
          <c:order val="1"/>
          <c:tx>
            <c:strRef>
              <c:f>MAY210717_6_aggr!$I$4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0.80421052631578949</c:v>
                </c:pt>
                <c:pt idx="11">
                  <c:v>0.40586666666666671</c:v>
                </c:pt>
                <c:pt idx="12">
                  <c:v>0.40709677419354834</c:v>
                </c:pt>
                <c:pt idx="13">
                  <c:v>0.20144404332129964</c:v>
                </c:pt>
                <c:pt idx="14">
                  <c:v>0.14417431192660551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A9-4675-A165-FB1A641DF553}"/>
            </c:ext>
          </c:extLst>
        </c:ser>
        <c:ser>
          <c:idx val="2"/>
          <c:order val="2"/>
          <c:tx>
            <c:strRef>
              <c:f>MAY210717_6_aggr!$J$4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5.0361010830324911E-2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A9-4675-A165-FB1A641DF553}"/>
            </c:ext>
          </c:extLst>
        </c:ser>
        <c:ser>
          <c:idx val="3"/>
          <c:order val="3"/>
          <c:tx>
            <c:strRef>
              <c:f>MAY210717_6_aggr!$K$4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0.10177419354838708</c:v>
                </c:pt>
                <c:pt idx="13">
                  <c:v>5.0361010830324911E-2</c:v>
                </c:pt>
                <c:pt idx="14">
                  <c:v>6.1788990825688075E-2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A9-4675-A165-FB1A641DF553}"/>
            </c:ext>
          </c:extLst>
        </c:ser>
        <c:ser>
          <c:idx val="4"/>
          <c:order val="4"/>
          <c:tx>
            <c:strRef>
              <c:f>MAY210717_6_aggr!$L$4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0.10177419354838708</c:v>
                </c:pt>
                <c:pt idx="13">
                  <c:v>3.0216606498194944E-2</c:v>
                </c:pt>
                <c:pt idx="14">
                  <c:v>2.0596330275229356E-2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A9-4675-A165-FB1A641DF553}"/>
            </c:ext>
          </c:extLst>
        </c:ser>
        <c:ser>
          <c:idx val="6"/>
          <c:order val="5"/>
          <c:tx>
            <c:strRef>
              <c:f>MAY210717_6_aggr!$N$4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FA9-4675-A165-FB1A641DF553}"/>
            </c:ext>
          </c:extLst>
        </c:ser>
        <c:ser>
          <c:idx val="7"/>
          <c:order val="6"/>
          <c:tx>
            <c:strRef>
              <c:f>MAY210717_6_aggr!$O$4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1.0072202166064982E-2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FA9-4675-A165-FB1A641DF553}"/>
            </c:ext>
          </c:extLst>
        </c:ser>
        <c:ser>
          <c:idx val="5"/>
          <c:order val="7"/>
          <c:tx>
            <c:strRef>
              <c:f>MAY210717_6_aggr!$M$4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213.04</c:v>
                </c:pt>
                <c:pt idx="4">
                  <c:v>317.26</c:v>
                </c:pt>
                <c:pt idx="5">
                  <c:v>42.29</c:v>
                </c:pt>
                <c:pt idx="6">
                  <c:v>27.42</c:v>
                </c:pt>
                <c:pt idx="7">
                  <c:v>46.29</c:v>
                </c:pt>
                <c:pt idx="8">
                  <c:v>13.7</c:v>
                </c:pt>
                <c:pt idx="9">
                  <c:v>13.131884057971014</c:v>
                </c:pt>
                <c:pt idx="10">
                  <c:v>6.5342105263157899</c:v>
                </c:pt>
                <c:pt idx="11">
                  <c:v>5.0733333333333341</c:v>
                </c:pt>
                <c:pt idx="12">
                  <c:v>4.4780645161290318</c:v>
                </c:pt>
                <c:pt idx="13">
                  <c:v>3.9281588447653428</c:v>
                </c:pt>
                <c:pt idx="14">
                  <c:v>3.2336238532110091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FA9-4675-A165-FB1A641DF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MAY210717_6_aggr!$B$7:$B$33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5.7971014492753623</c:v>
                </c:pt>
                <c:pt idx="10" formatCode="0.00">
                  <c:v>23.157894736842106</c:v>
                </c:pt>
                <c:pt idx="11" formatCode="0.00">
                  <c:v>27.999999999999996</c:v>
                </c:pt>
                <c:pt idx="12" formatCode="0.00">
                  <c:v>19.35483870967742</c:v>
                </c:pt>
                <c:pt idx="13" formatCode="0.00">
                  <c:v>23.465703971119133</c:v>
                </c:pt>
                <c:pt idx="14" formatCode="0.00">
                  <c:v>22.935779816513758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52-4B9B-8086-41BBB33A1278}"/>
            </c:ext>
          </c:extLst>
        </c:ser>
        <c:ser>
          <c:idx val="1"/>
          <c:order val="1"/>
          <c:tx>
            <c:strRef>
              <c:f>MAY210717_6_aggr!$I$4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8.4210526315789469</c:v>
                </c:pt>
                <c:pt idx="11" formatCode="0.00">
                  <c:v>5.333333333333333</c:v>
                </c:pt>
                <c:pt idx="12" formatCode="0.00">
                  <c:v>6.4516129032258069</c:v>
                </c:pt>
                <c:pt idx="13" formatCode="0.00">
                  <c:v>3.6101083032490973</c:v>
                </c:pt>
                <c:pt idx="14" formatCode="0.00">
                  <c:v>3.2110091743119265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52-4B9B-8086-41BBB33A1278}"/>
            </c:ext>
          </c:extLst>
        </c:ser>
        <c:ser>
          <c:idx val="2"/>
          <c:order val="2"/>
          <c:tx>
            <c:strRef>
              <c:f>MAY210717_6_aggr!$J$4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0.90252707581227432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52-4B9B-8086-41BBB33A1278}"/>
            </c:ext>
          </c:extLst>
        </c:ser>
        <c:ser>
          <c:idx val="3"/>
          <c:order val="3"/>
          <c:tx>
            <c:strRef>
              <c:f>MAY210717_6_aggr!$K$4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1.6129032258064517</c:v>
                </c:pt>
                <c:pt idx="13" formatCode="0.00">
                  <c:v>0.90252707581227432</c:v>
                </c:pt>
                <c:pt idx="14" formatCode="0.00">
                  <c:v>1.3761467889908257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52-4B9B-8086-41BBB33A1278}"/>
            </c:ext>
          </c:extLst>
        </c:ser>
        <c:ser>
          <c:idx val="4"/>
          <c:order val="4"/>
          <c:tx>
            <c:strRef>
              <c:f>MAY210717_6_aggr!$L$4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1.6129032258064517</c:v>
                </c:pt>
                <c:pt idx="13" formatCode="0.00">
                  <c:v>0.54151624548736454</c:v>
                </c:pt>
                <c:pt idx="14" formatCode="0.00">
                  <c:v>0.4587155963302752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952-4B9B-8086-41BBB33A1278}"/>
            </c:ext>
          </c:extLst>
        </c:ser>
        <c:ser>
          <c:idx val="6"/>
          <c:order val="5"/>
          <c:tx>
            <c:strRef>
              <c:f>MAY210717_6_aggr!$N$4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952-4B9B-8086-41BBB33A1278}"/>
            </c:ext>
          </c:extLst>
        </c:ser>
        <c:ser>
          <c:idx val="7"/>
          <c:order val="6"/>
          <c:tx>
            <c:strRef>
              <c:f>MAY210717_6_aggr!$O$4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0.18050541516245483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952-4B9B-8086-41BBB33A1278}"/>
            </c:ext>
          </c:extLst>
        </c:ser>
        <c:ser>
          <c:idx val="5"/>
          <c:order val="7"/>
          <c:tx>
            <c:strRef>
              <c:f>MAY210717_6_aggr!$M$4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94.20289855072464</c:v>
                </c:pt>
                <c:pt idx="10" formatCode="0.00">
                  <c:v>68.421052631578945</c:v>
                </c:pt>
                <c:pt idx="11" formatCode="0.00">
                  <c:v>66.666666666666671</c:v>
                </c:pt>
                <c:pt idx="12" formatCode="0.00">
                  <c:v>70.967741935483872</c:v>
                </c:pt>
                <c:pt idx="13" formatCode="0.00">
                  <c:v>70.397111913357392</c:v>
                </c:pt>
                <c:pt idx="14" formatCode="0.00">
                  <c:v>72.018348623853214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952-4B9B-8086-41BBB33A1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MAY210717_6_aggr!$B$7:$B$33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73.333333333333329</c:v>
                </c:pt>
                <c:pt idx="11" formatCode="0.00">
                  <c:v>84</c:v>
                </c:pt>
                <c:pt idx="12" formatCode="0.00">
                  <c:v>66.666666666666657</c:v>
                </c:pt>
                <c:pt idx="13" formatCode="0.00">
                  <c:v>79.268292682926827</c:v>
                </c:pt>
                <c:pt idx="14" formatCode="0.00">
                  <c:v>81.967213114754102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7B-4A2F-A685-39998F2202B8}"/>
            </c:ext>
          </c:extLst>
        </c:ser>
        <c:ser>
          <c:idx val="1"/>
          <c:order val="1"/>
          <c:tx>
            <c:strRef>
              <c:f>MAY210717_6_aggr!$I$4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MAY210717_6_aggr!$AE$7:$AE$33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26.666666666666664</c:v>
                </c:pt>
                <c:pt idx="11" formatCode="0.00">
                  <c:v>16</c:v>
                </c:pt>
                <c:pt idx="12" formatCode="0.00">
                  <c:v>22.222222222222221</c:v>
                </c:pt>
                <c:pt idx="13" formatCode="0.00">
                  <c:v>12.195121951219512</c:v>
                </c:pt>
                <c:pt idx="14" formatCode="0.00">
                  <c:v>11.475409836065575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7B-4A2F-A685-39998F2202B8}"/>
            </c:ext>
          </c:extLst>
        </c:ser>
        <c:ser>
          <c:idx val="2"/>
          <c:order val="2"/>
          <c:tx>
            <c:strRef>
              <c:f>MAY210717_6_aggr!$J$4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MAY210717_6_aggr!$AF$7:$AF$33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3.0487804878048781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C7B-4A2F-A685-39998F2202B8}"/>
            </c:ext>
          </c:extLst>
        </c:ser>
        <c:ser>
          <c:idx val="3"/>
          <c:order val="3"/>
          <c:tx>
            <c:strRef>
              <c:f>MAY210717_6_aggr!$K$4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MAY210717_6_aggr!$AG$7:$AG$33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5.5555555555555554</c:v>
                </c:pt>
                <c:pt idx="13" formatCode="0.00">
                  <c:v>3.0487804878048781</c:v>
                </c:pt>
                <c:pt idx="14" formatCode="0.00">
                  <c:v>4.9180327868852469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C7B-4A2F-A685-39998F2202B8}"/>
            </c:ext>
          </c:extLst>
        </c:ser>
        <c:ser>
          <c:idx val="4"/>
          <c:order val="4"/>
          <c:tx>
            <c:strRef>
              <c:f>MAY210717_6_aggr!$L$4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MAY210717_6_aggr!$AH$7:$AH$33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5.5555555555555554</c:v>
                </c:pt>
                <c:pt idx="13" formatCode="0.00">
                  <c:v>1.8292682926829269</c:v>
                </c:pt>
                <c:pt idx="14" formatCode="0.00">
                  <c:v>1.6393442622950822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C7B-4A2F-A685-39998F2202B8}"/>
            </c:ext>
          </c:extLst>
        </c:ser>
        <c:ser>
          <c:idx val="6"/>
          <c:order val="5"/>
          <c:tx>
            <c:strRef>
              <c:f>MAY210717_6_aggr!$N$4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MAY210717_6_aggr!$AJ$7:$AJ$33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7B-4A2F-A685-39998F2202B8}"/>
            </c:ext>
          </c:extLst>
        </c:ser>
        <c:ser>
          <c:idx val="7"/>
          <c:order val="6"/>
          <c:tx>
            <c:strRef>
              <c:f>MAY210717_6_aggr!$O$4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MAY210717_6_aggr!$AK$7:$AK$33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0.6097560975609756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7B-4A2F-A685-39998F2202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MAY210717_6_aggr!$H$4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73.333333333333329</c:v>
                </c:pt>
                <c:pt idx="3">
                  <c:v>84</c:v>
                </c:pt>
                <c:pt idx="4">
                  <c:v>66.666666666666657</c:v>
                </c:pt>
                <c:pt idx="5">
                  <c:v>79.268292682926827</c:v>
                </c:pt>
                <c:pt idx="6">
                  <c:v>81.967213114754102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B2-48CD-AA9A-65EC2CF3A27F}"/>
            </c:ext>
          </c:extLst>
        </c:ser>
        <c:ser>
          <c:idx val="1"/>
          <c:order val="1"/>
          <c:tx>
            <c:strRef>
              <c:f>MAY210717_6_aggr!$I$4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26.666666666666664</c:v>
                </c:pt>
                <c:pt idx="3">
                  <c:v>16</c:v>
                </c:pt>
                <c:pt idx="4">
                  <c:v>22.222222222222221</c:v>
                </c:pt>
                <c:pt idx="5">
                  <c:v>12.195121951219512</c:v>
                </c:pt>
                <c:pt idx="6">
                  <c:v>11.475409836065575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B2-48CD-AA9A-65EC2CF3A27F}"/>
            </c:ext>
          </c:extLst>
        </c:ser>
        <c:ser>
          <c:idx val="2"/>
          <c:order val="2"/>
          <c:tx>
            <c:strRef>
              <c:f>MAY210717_6_aggr!$J$4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3.0487804878048781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B2-48CD-AA9A-65EC2CF3A27F}"/>
            </c:ext>
          </c:extLst>
        </c:ser>
        <c:ser>
          <c:idx val="3"/>
          <c:order val="3"/>
          <c:tx>
            <c:strRef>
              <c:f>MAY210717_6_aggr!$K$4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5.5555555555555554</c:v>
                </c:pt>
                <c:pt idx="5">
                  <c:v>3.0487804878048781</c:v>
                </c:pt>
                <c:pt idx="6">
                  <c:v>4.9180327868852469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B2-48CD-AA9A-65EC2CF3A27F}"/>
            </c:ext>
          </c:extLst>
        </c:ser>
        <c:ser>
          <c:idx val="4"/>
          <c:order val="4"/>
          <c:tx>
            <c:strRef>
              <c:f>MAY210717_6_aggr!$L$4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5.5555555555555554</c:v>
                </c:pt>
                <c:pt idx="5">
                  <c:v>1.8292682926829269</c:v>
                </c:pt>
                <c:pt idx="6">
                  <c:v>1.6393442622950822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B2-48CD-AA9A-65EC2CF3A27F}"/>
            </c:ext>
          </c:extLst>
        </c:ser>
        <c:ser>
          <c:idx val="6"/>
          <c:order val="5"/>
          <c:tx>
            <c:strRef>
              <c:f>MAY210717_6_aggr!$N$4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AB2-48CD-AA9A-65EC2CF3A27F}"/>
            </c:ext>
          </c:extLst>
        </c:ser>
        <c:ser>
          <c:idx val="7"/>
          <c:order val="6"/>
          <c:tx>
            <c:strRef>
              <c:f>MAY210717_6_aggr!$O$4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MAY210717_6_aggr!$AC$15:$AC$21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0.6097560975609756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AB2-48CD-AA9A-65EC2CF3A2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MAY210717_6_no_aggr!$D$2</c:f>
              <c:strCache>
                <c:ptCount val="1"/>
                <c:pt idx="0">
                  <c:v>MAY210717_6_no_aggr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MAY210717_6_no_aggr!$B$7:$B$33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2.1077221278559373</c:v>
                </c:pt>
                <c:pt idx="10">
                  <c:v>7.8657601911425106</c:v>
                </c:pt>
                <c:pt idx="11">
                  <c:v>6.6161155674071868</c:v>
                </c:pt>
                <c:pt idx="12">
                  <c:v>4.7780408173420481</c:v>
                </c:pt>
                <c:pt idx="13">
                  <c:v>4.3083200980414809</c:v>
                </c:pt>
                <c:pt idx="14">
                  <c:v>3.2768711366450862</c:v>
                </c:pt>
                <c:pt idx="15">
                  <c:v>9.0504287853756669</c:v>
                </c:pt>
                <c:pt idx="16">
                  <c:v>7.5115950725884488</c:v>
                </c:pt>
                <c:pt idx="17">
                  <c:v>6.9638745985455417</c:v>
                </c:pt>
                <c:pt idx="18">
                  <c:v>5.1903035397399355</c:v>
                </c:pt>
                <c:pt idx="19">
                  <c:v>5.5293685950998306</c:v>
                </c:pt>
                <c:pt idx="20">
                  <c:v>4.6425830656970275</c:v>
                </c:pt>
                <c:pt idx="21">
                  <c:v>4.4339276470140154</c:v>
                </c:pt>
                <c:pt idx="22">
                  <c:v>3.9122891003064839</c:v>
                </c:pt>
                <c:pt idx="23">
                  <c:v>4.2774360830017555</c:v>
                </c:pt>
                <c:pt idx="24">
                  <c:v>19.535363574197046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4F-45EB-B448-2F87C25420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MAY210717_6_no_aggr!$D$2</c:f>
              <c:strCache>
                <c:ptCount val="1"/>
                <c:pt idx="0">
                  <c:v>MAY210717_6_no_aggr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MAY210717_6_no_aggr!$B$7:$B$33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MAY210717_6_no_aggr!$E$7:$E$33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2.1077221278559373</c:v>
                </c:pt>
                <c:pt idx="10">
                  <c:v>9.9734823189984478</c:v>
                </c:pt>
                <c:pt idx="11">
                  <c:v>16.589597886405635</c:v>
                </c:pt>
                <c:pt idx="12">
                  <c:v>21.367638703747684</c:v>
                </c:pt>
                <c:pt idx="13">
                  <c:v>25.675958801789164</c:v>
                </c:pt>
                <c:pt idx="14">
                  <c:v>28.952829938434249</c:v>
                </c:pt>
                <c:pt idx="15">
                  <c:v>38.003258723809914</c:v>
                </c:pt>
                <c:pt idx="16">
                  <c:v>45.514853796398363</c:v>
                </c:pt>
                <c:pt idx="17">
                  <c:v>52.478728394943907</c:v>
                </c:pt>
                <c:pt idx="18">
                  <c:v>57.669031934683844</c:v>
                </c:pt>
                <c:pt idx="19">
                  <c:v>63.198400529783676</c:v>
                </c:pt>
                <c:pt idx="20">
                  <c:v>67.840983595480708</c:v>
                </c:pt>
                <c:pt idx="21">
                  <c:v>72.274911242494724</c:v>
                </c:pt>
                <c:pt idx="22">
                  <c:v>76.187200342801205</c:v>
                </c:pt>
                <c:pt idx="23">
                  <c:v>80.464636425802965</c:v>
                </c:pt>
                <c:pt idx="24">
                  <c:v>100.00000000000001</c:v>
                </c:pt>
                <c:pt idx="25">
                  <c:v>100.00000000000001</c:v>
                </c:pt>
                <c:pt idx="26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5C-4EEE-B120-E2A3882866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MAY210717_6_no_aggr!$B$7:$B$33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1.399795321637427</c:v>
                </c:pt>
                <c:pt idx="9">
                  <c:v>5.22508038585209</c:v>
                </c:pt>
                <c:pt idx="10">
                  <c:v>8.5975977653631279</c:v>
                </c:pt>
                <c:pt idx="11">
                  <c:v>7.2393349168646095</c:v>
                </c:pt>
                <c:pt idx="12">
                  <c:v>7.9222556390977443</c:v>
                </c:pt>
                <c:pt idx="13">
                  <c:v>4.0707762096774198</c:v>
                </c:pt>
                <c:pt idx="14">
                  <c:v>2.2858651026392964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1-4C85-996B-8FEBBD93650C}"/>
            </c:ext>
          </c:extLst>
        </c:ser>
        <c:ser>
          <c:idx val="1"/>
          <c:order val="1"/>
          <c:tx>
            <c:strRef>
              <c:f>MAY210717_6_no_aggr!$I$4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2.6996052631578955</c:v>
                </c:pt>
                <c:pt idx="9">
                  <c:v>5.627009646302251</c:v>
                </c:pt>
                <c:pt idx="10">
                  <c:v>12.096620111731843</c:v>
                </c:pt>
                <c:pt idx="11">
                  <c:v>19.606532066508315</c:v>
                </c:pt>
                <c:pt idx="12">
                  <c:v>15.999849624060152</c:v>
                </c:pt>
                <c:pt idx="13">
                  <c:v>28.454314516129031</c:v>
                </c:pt>
                <c:pt idx="14">
                  <c:v>23.298240469208213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1-4C85-996B-8FEBBD93650C}"/>
            </c:ext>
          </c:extLst>
        </c:ser>
        <c:ser>
          <c:idx val="2"/>
          <c:order val="2"/>
          <c:tx>
            <c:strRef>
              <c:f>MAY210717_6_no_aggr!$J$4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0.79977653631284928</c:v>
                </c:pt>
                <c:pt idx="11">
                  <c:v>1.307102137767221</c:v>
                </c:pt>
                <c:pt idx="12">
                  <c:v>1.2427067669172933</c:v>
                </c:pt>
                <c:pt idx="13">
                  <c:v>1.7681149193548387</c:v>
                </c:pt>
                <c:pt idx="14">
                  <c:v>1.2308504398826983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81-4C85-996B-8FEBBD93650C}"/>
            </c:ext>
          </c:extLst>
        </c:ser>
        <c:ser>
          <c:idx val="3"/>
          <c:order val="3"/>
          <c:tx>
            <c:strRef>
              <c:f>MAY210717_6_no_aggr!$K$4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1.4995810055865924</c:v>
                </c:pt>
                <c:pt idx="11">
                  <c:v>0.90491686460807619</c:v>
                </c:pt>
                <c:pt idx="12">
                  <c:v>2.0193984962406013</c:v>
                </c:pt>
                <c:pt idx="13">
                  <c:v>1.809233870967742</c:v>
                </c:pt>
                <c:pt idx="14">
                  <c:v>0.61542521994134913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81-4C85-996B-8FEBBD93650C}"/>
            </c:ext>
          </c:extLst>
        </c:ser>
        <c:ser>
          <c:idx val="4"/>
          <c:order val="4"/>
          <c:tx>
            <c:strRef>
              <c:f>MAY210717_6_no_aggr!$L$4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4.320739549839228</c:v>
                </c:pt>
                <c:pt idx="10">
                  <c:v>3.2990782122905027</c:v>
                </c:pt>
                <c:pt idx="11">
                  <c:v>1.2065558194774348</c:v>
                </c:pt>
                <c:pt idx="12">
                  <c:v>3.5727819548872173</c:v>
                </c:pt>
                <c:pt idx="13">
                  <c:v>1.6036391129032259</c:v>
                </c:pt>
                <c:pt idx="14">
                  <c:v>1.6704398826979474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81-4C85-996B-8FEBBD93650C}"/>
            </c:ext>
          </c:extLst>
        </c:ser>
        <c:ser>
          <c:idx val="6"/>
          <c:order val="5"/>
          <c:tx>
            <c:strRef>
              <c:f>MAY210717_6_no_aggr!$N$4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81-4C85-996B-8FEBBD93650C}"/>
            </c:ext>
          </c:extLst>
        </c:ser>
        <c:ser>
          <c:idx val="7"/>
          <c:order val="6"/>
          <c:tx>
            <c:strRef>
              <c:f>MAY210717_6_no_aggr!$O$4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8.791788856304987E-2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381-4C85-996B-8FEBBD93650C}"/>
            </c:ext>
          </c:extLst>
        </c:ser>
        <c:ser>
          <c:idx val="5"/>
          <c:order val="7"/>
          <c:tx>
            <c:strRef>
              <c:f>MAY210717_6_no_aggr!$M$4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381-4C85-996B-8FEBBD936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MAY210717_6_no_aggr!$B$7:$B$33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32.699619771863119</c:v>
                </c:pt>
                <c:pt idx="11" formatCode="0.00">
                  <c:v>23.920265780730901</c:v>
                </c:pt>
                <c:pt idx="12" formatCode="0.00">
                  <c:v>25.757575757575758</c:v>
                </c:pt>
                <c:pt idx="13" formatCode="0.00">
                  <c:v>10.796074154852784</c:v>
                </c:pt>
                <c:pt idx="14" formatCode="0.00">
                  <c:v>7.831325301204819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6A-4BE5-819C-5CCC1A8085E9}"/>
            </c:ext>
          </c:extLst>
        </c:ser>
        <c:ser>
          <c:idx val="1"/>
          <c:order val="1"/>
          <c:tx>
            <c:strRef>
              <c:f>MAY210717_6_no_aggr!$I$4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37.086092715231793</c:v>
                </c:pt>
                <c:pt idx="10" formatCode="0.00">
                  <c:v>46.007604562737647</c:v>
                </c:pt>
                <c:pt idx="11" formatCode="0.00">
                  <c:v>64.784053156146172</c:v>
                </c:pt>
                <c:pt idx="12" formatCode="0.00">
                  <c:v>52.020202020202028</c:v>
                </c:pt>
                <c:pt idx="13" formatCode="0.00">
                  <c:v>75.463467829880045</c:v>
                </c:pt>
                <c:pt idx="14" formatCode="0.00">
                  <c:v>79.819277108433724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6A-4BE5-819C-5CCC1A8085E9}"/>
            </c:ext>
          </c:extLst>
        </c:ser>
        <c:ser>
          <c:idx val="2"/>
          <c:order val="2"/>
          <c:tx>
            <c:strRef>
              <c:f>MAY210717_6_no_aggr!$J$4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3.0418250950570349</c:v>
                </c:pt>
                <c:pt idx="11" formatCode="0.00">
                  <c:v>4.3189368770764123</c:v>
                </c:pt>
                <c:pt idx="12" formatCode="0.00">
                  <c:v>4.0404040404040407</c:v>
                </c:pt>
                <c:pt idx="13" formatCode="0.00">
                  <c:v>4.6892039258451472</c:v>
                </c:pt>
                <c:pt idx="14" formatCode="0.00">
                  <c:v>4.2168674698795181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6A-4BE5-819C-5CCC1A8085E9}"/>
            </c:ext>
          </c:extLst>
        </c:ser>
        <c:ser>
          <c:idx val="3"/>
          <c:order val="3"/>
          <c:tx>
            <c:strRef>
              <c:f>MAY210717_6_no_aggr!$K$4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5.7034220532319404</c:v>
                </c:pt>
                <c:pt idx="11" formatCode="0.00">
                  <c:v>2.9900332225913626</c:v>
                </c:pt>
                <c:pt idx="12" formatCode="0.00">
                  <c:v>6.5656565656565649</c:v>
                </c:pt>
                <c:pt idx="13" formatCode="0.00">
                  <c:v>4.7982551799345696</c:v>
                </c:pt>
                <c:pt idx="14" formatCode="0.00">
                  <c:v>2.1084337349397591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06A-4BE5-819C-5CCC1A8085E9}"/>
            </c:ext>
          </c:extLst>
        </c:ser>
        <c:ser>
          <c:idx val="4"/>
          <c:order val="4"/>
          <c:tx>
            <c:strRef>
              <c:f>MAY210717_6_no_aggr!$L$4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28.476821192052981</c:v>
                </c:pt>
                <c:pt idx="10" formatCode="0.00">
                  <c:v>12.547528517110267</c:v>
                </c:pt>
                <c:pt idx="11" formatCode="0.00">
                  <c:v>3.9867109634551499</c:v>
                </c:pt>
                <c:pt idx="12" formatCode="0.00">
                  <c:v>11.616161616161614</c:v>
                </c:pt>
                <c:pt idx="13" formatCode="0.00">
                  <c:v>4.2529989094874594</c:v>
                </c:pt>
                <c:pt idx="14" formatCode="0.00">
                  <c:v>5.7228915662650595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06A-4BE5-819C-5CCC1A8085E9}"/>
            </c:ext>
          </c:extLst>
        </c:ser>
        <c:ser>
          <c:idx val="6"/>
          <c:order val="5"/>
          <c:tx>
            <c:strRef>
              <c:f>MAY210717_6_no_aggr!$N$4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06A-4BE5-819C-5CCC1A8085E9}"/>
            </c:ext>
          </c:extLst>
        </c:ser>
        <c:ser>
          <c:idx val="7"/>
          <c:order val="6"/>
          <c:tx>
            <c:strRef>
              <c:f>MAY210717_6_no_aggr!$O$4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06A-4BE5-819C-5CCC1A8085E9}"/>
            </c:ext>
          </c:extLst>
        </c:ser>
        <c:ser>
          <c:idx val="5"/>
          <c:order val="7"/>
          <c:tx>
            <c:strRef>
              <c:f>MAY210717_6_no_aggr!$M$4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MAY210717_6_no_aggr!$X$7:$X$33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06A-4BE5-819C-5CCC1A808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MAY210717_6_no_aggr!$H$4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MAY210717_6_no_aggr!$B$7:$B$33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MAY210717_6_no_aggr!$AD$7:$AD$33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32.699619771863112</c:v>
                </c:pt>
                <c:pt idx="11" formatCode="0.00">
                  <c:v>23.920265780730901</c:v>
                </c:pt>
                <c:pt idx="12" formatCode="0.00">
                  <c:v>25.757575757575758</c:v>
                </c:pt>
                <c:pt idx="13" formatCode="0.00">
                  <c:v>10.796074154852782</c:v>
                </c:pt>
                <c:pt idx="14" formatCode="0.00">
                  <c:v>7.8313253012048198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D6-4065-ACBC-3BD432AFD6F8}"/>
            </c:ext>
          </c:extLst>
        </c:ser>
        <c:ser>
          <c:idx val="1"/>
          <c:order val="1"/>
          <c:tx>
            <c:strRef>
              <c:f>MAY210717_6_no_aggr!$I$4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MAY210717_6_no_aggr!$AE$7:$AE$33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37.086092715231786</c:v>
                </c:pt>
                <c:pt idx="10" formatCode="0.00">
                  <c:v>46.007604562737647</c:v>
                </c:pt>
                <c:pt idx="11" formatCode="0.00">
                  <c:v>64.784053156146172</c:v>
                </c:pt>
                <c:pt idx="12" formatCode="0.00">
                  <c:v>52.020202020202028</c:v>
                </c:pt>
                <c:pt idx="13" formatCode="0.00">
                  <c:v>75.463467829880031</c:v>
                </c:pt>
                <c:pt idx="14" formatCode="0.00">
                  <c:v>79.819277108433738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D6-4065-ACBC-3BD432AFD6F8}"/>
            </c:ext>
          </c:extLst>
        </c:ser>
        <c:ser>
          <c:idx val="2"/>
          <c:order val="2"/>
          <c:tx>
            <c:strRef>
              <c:f>MAY210717_6_no_aggr!$J$4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MAY210717_6_no_aggr!$AF$7:$AF$33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3.0418250950570345</c:v>
                </c:pt>
                <c:pt idx="11" formatCode="0.00">
                  <c:v>4.3189368770764123</c:v>
                </c:pt>
                <c:pt idx="12" formatCode="0.00">
                  <c:v>4.0404040404040398</c:v>
                </c:pt>
                <c:pt idx="13" formatCode="0.00">
                  <c:v>4.6892039258451463</c:v>
                </c:pt>
                <c:pt idx="14" formatCode="0.00">
                  <c:v>4.216867469879519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D6-4065-ACBC-3BD432AFD6F8}"/>
            </c:ext>
          </c:extLst>
        </c:ser>
        <c:ser>
          <c:idx val="3"/>
          <c:order val="3"/>
          <c:tx>
            <c:strRef>
              <c:f>MAY210717_6_no_aggr!$K$4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MAY210717_6_no_aggr!$AG$7:$AG$33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5.7034220532319404</c:v>
                </c:pt>
                <c:pt idx="11" formatCode="0.00">
                  <c:v>2.9900332225913626</c:v>
                </c:pt>
                <c:pt idx="12" formatCode="0.00">
                  <c:v>6.565656565656564</c:v>
                </c:pt>
                <c:pt idx="13" formatCode="0.00">
                  <c:v>4.7982551799345687</c:v>
                </c:pt>
                <c:pt idx="14" formatCode="0.00">
                  <c:v>2.1084337349397595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BD6-4065-ACBC-3BD432AFD6F8}"/>
            </c:ext>
          </c:extLst>
        </c:ser>
        <c:ser>
          <c:idx val="4"/>
          <c:order val="4"/>
          <c:tx>
            <c:strRef>
              <c:f>MAY210717_6_no_aggr!$L$4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MAY210717_6_no_aggr!$AH$7:$AH$33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28.476821192052977</c:v>
                </c:pt>
                <c:pt idx="10" formatCode="0.00">
                  <c:v>12.547528517110266</c:v>
                </c:pt>
                <c:pt idx="11" formatCode="0.00">
                  <c:v>3.9867109634551499</c:v>
                </c:pt>
                <c:pt idx="12" formatCode="0.00">
                  <c:v>11.616161616161612</c:v>
                </c:pt>
                <c:pt idx="13" formatCode="0.00">
                  <c:v>4.2529989094874585</c:v>
                </c:pt>
                <c:pt idx="14" formatCode="0.00">
                  <c:v>5.7228915662650603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BD6-4065-ACBC-3BD432AFD6F8}"/>
            </c:ext>
          </c:extLst>
        </c:ser>
        <c:ser>
          <c:idx val="6"/>
          <c:order val="5"/>
          <c:tx>
            <c:strRef>
              <c:f>MAY210717_6_no_aggr!$N$4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MAY210717_6_no_aggr!$AJ$7:$AJ$33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BD6-4065-ACBC-3BD432AFD6F8}"/>
            </c:ext>
          </c:extLst>
        </c:ser>
        <c:ser>
          <c:idx val="7"/>
          <c:order val="6"/>
          <c:tx>
            <c:strRef>
              <c:f>MAY210717_6_no_aggr!$O$4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MAY210717_6_no_aggr!$AK$7:$AK$33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BD6-4065-ACBC-3BD432AFD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MAY210717_6_no_aggr!$H$4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MAY210717_6_no_aggr!$AD$15:$AD$21</c:f>
              <c:numCache>
                <c:formatCode>0.00</c:formatCode>
                <c:ptCount val="7"/>
                <c:pt idx="0">
                  <c:v>34.146341463414629</c:v>
                </c:pt>
                <c:pt idx="1">
                  <c:v>34.437086092715234</c:v>
                </c:pt>
                <c:pt idx="2">
                  <c:v>32.699619771863112</c:v>
                </c:pt>
                <c:pt idx="3">
                  <c:v>23.920265780730901</c:v>
                </c:pt>
                <c:pt idx="4">
                  <c:v>25.757575757575758</c:v>
                </c:pt>
                <c:pt idx="5">
                  <c:v>10.796074154852782</c:v>
                </c:pt>
                <c:pt idx="6">
                  <c:v>7.8313253012048198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E6-4D78-B80A-F8493ECA3BE7}"/>
            </c:ext>
          </c:extLst>
        </c:ser>
        <c:ser>
          <c:idx val="1"/>
          <c:order val="1"/>
          <c:tx>
            <c:strRef>
              <c:f>MAY210717_6_no_aggr!$I$4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MAY210717_6_no_aggr!$AE$15:$AE$21</c:f>
              <c:numCache>
                <c:formatCode>0.00</c:formatCode>
                <c:ptCount val="7"/>
                <c:pt idx="0">
                  <c:v>65.853658536585371</c:v>
                </c:pt>
                <c:pt idx="1">
                  <c:v>37.086092715231786</c:v>
                </c:pt>
                <c:pt idx="2">
                  <c:v>46.007604562737647</c:v>
                </c:pt>
                <c:pt idx="3">
                  <c:v>64.784053156146172</c:v>
                </c:pt>
                <c:pt idx="4">
                  <c:v>52.020202020202028</c:v>
                </c:pt>
                <c:pt idx="5">
                  <c:v>75.463467829880031</c:v>
                </c:pt>
                <c:pt idx="6">
                  <c:v>79.819277108433738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E6-4D78-B80A-F8493ECA3BE7}"/>
            </c:ext>
          </c:extLst>
        </c:ser>
        <c:ser>
          <c:idx val="2"/>
          <c:order val="2"/>
          <c:tx>
            <c:strRef>
              <c:f>MAY210717_6_no_aggr!$J$4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3.0418250950570345</c:v>
                </c:pt>
                <c:pt idx="3">
                  <c:v>4.3189368770764123</c:v>
                </c:pt>
                <c:pt idx="4">
                  <c:v>4.0404040404040398</c:v>
                </c:pt>
                <c:pt idx="5">
                  <c:v>4.6892039258451463</c:v>
                </c:pt>
                <c:pt idx="6">
                  <c:v>4.216867469879519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E6-4D78-B80A-F8493ECA3BE7}"/>
            </c:ext>
          </c:extLst>
        </c:ser>
        <c:ser>
          <c:idx val="3"/>
          <c:order val="3"/>
          <c:tx>
            <c:strRef>
              <c:f>MAY210717_6_no_aggr!$K$4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5.7034220532319404</c:v>
                </c:pt>
                <c:pt idx="3">
                  <c:v>2.9900332225913626</c:v>
                </c:pt>
                <c:pt idx="4">
                  <c:v>6.565656565656564</c:v>
                </c:pt>
                <c:pt idx="5">
                  <c:v>4.7982551799345687</c:v>
                </c:pt>
                <c:pt idx="6">
                  <c:v>2.1084337349397595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E6-4D78-B80A-F8493ECA3BE7}"/>
            </c:ext>
          </c:extLst>
        </c:ser>
        <c:ser>
          <c:idx val="4"/>
          <c:order val="4"/>
          <c:tx>
            <c:strRef>
              <c:f>MAY210717_6_no_aggr!$L$4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28.476821192052977</c:v>
                </c:pt>
                <c:pt idx="2">
                  <c:v>12.547528517110266</c:v>
                </c:pt>
                <c:pt idx="3">
                  <c:v>3.9867109634551499</c:v>
                </c:pt>
                <c:pt idx="4">
                  <c:v>11.616161616161612</c:v>
                </c:pt>
                <c:pt idx="5">
                  <c:v>4.2529989094874585</c:v>
                </c:pt>
                <c:pt idx="6">
                  <c:v>5.7228915662650603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6E6-4D78-B80A-F8493ECA3BE7}"/>
            </c:ext>
          </c:extLst>
        </c:ser>
        <c:ser>
          <c:idx val="6"/>
          <c:order val="5"/>
          <c:tx>
            <c:strRef>
              <c:f>MAY210717_6_no_aggr!$N$4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6E6-4D78-B80A-F8493ECA3BE7}"/>
            </c:ext>
          </c:extLst>
        </c:ser>
        <c:ser>
          <c:idx val="7"/>
          <c:order val="6"/>
          <c:tx>
            <c:strRef>
              <c:f>MAY210717_6_no_aggr!$O$4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MAY210717_6_no_aggr!$AC$15:$AC$21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MAY210717_6_no_aggr!$AK$15:$AK$21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0.30120481927710846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6E6-4D78-B80A-F8493ECA3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MAY210717_7!$D$2</c:f>
              <c:strCache>
                <c:ptCount val="1"/>
                <c:pt idx="0">
                  <c:v>MAY210717_7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26.736519237442764</c:v>
                </c:pt>
                <c:pt idx="4">
                  <c:v>35.527420492326286</c:v>
                </c:pt>
                <c:pt idx="5">
                  <c:v>11.139470060785166</c:v>
                </c:pt>
                <c:pt idx="6">
                  <c:v>1.9310205863585985</c:v>
                </c:pt>
                <c:pt idx="7">
                  <c:v>6.1669521218837788</c:v>
                </c:pt>
                <c:pt idx="8">
                  <c:v>3.3538189430320933</c:v>
                </c:pt>
                <c:pt idx="9">
                  <c:v>2.4616314605232215</c:v>
                </c:pt>
                <c:pt idx="10">
                  <c:v>2.3564048314694781</c:v>
                </c:pt>
                <c:pt idx="11">
                  <c:v>1.5448164690868789</c:v>
                </c:pt>
                <c:pt idx="12">
                  <c:v>1.3477963976671028</c:v>
                </c:pt>
                <c:pt idx="13">
                  <c:v>1.0433108327456311</c:v>
                </c:pt>
                <c:pt idx="14">
                  <c:v>0.89218748250887125</c:v>
                </c:pt>
                <c:pt idx="15">
                  <c:v>0.74106413227211132</c:v>
                </c:pt>
                <c:pt idx="16">
                  <c:v>0.59889623982715945</c:v>
                </c:pt>
                <c:pt idx="17">
                  <c:v>0.55635781531607142</c:v>
                </c:pt>
                <c:pt idx="18">
                  <c:v>0.40411503285533568</c:v>
                </c:pt>
                <c:pt idx="19">
                  <c:v>0.34478512498460773</c:v>
                </c:pt>
                <c:pt idx="20">
                  <c:v>0.30224670047351976</c:v>
                </c:pt>
                <c:pt idx="21">
                  <c:v>0.3246353449530397</c:v>
                </c:pt>
                <c:pt idx="22">
                  <c:v>0.35821831167231971</c:v>
                </c:pt>
                <c:pt idx="23">
                  <c:v>0.7399447000481354</c:v>
                </c:pt>
                <c:pt idx="24">
                  <c:v>1.1283876817678069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B-4276-A40A-E4C534DD6A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6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MAY210717_7!$D$2</c:f>
              <c:strCache>
                <c:ptCount val="1"/>
                <c:pt idx="0">
                  <c:v>MAY210717_7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26.736519237442764</c:v>
                </c:pt>
                <c:pt idx="4">
                  <c:v>62.263939729769049</c:v>
                </c:pt>
                <c:pt idx="5">
                  <c:v>73.403409790554221</c:v>
                </c:pt>
                <c:pt idx="6">
                  <c:v>75.33443037691282</c:v>
                </c:pt>
                <c:pt idx="7">
                  <c:v>81.501382498796602</c:v>
                </c:pt>
                <c:pt idx="8">
                  <c:v>84.855201441828697</c:v>
                </c:pt>
                <c:pt idx="9">
                  <c:v>87.316832902351919</c:v>
                </c:pt>
                <c:pt idx="10">
                  <c:v>89.673237733821395</c:v>
                </c:pt>
                <c:pt idx="11">
                  <c:v>91.218054202908277</c:v>
                </c:pt>
                <c:pt idx="12">
                  <c:v>92.565850600575374</c:v>
                </c:pt>
                <c:pt idx="13">
                  <c:v>93.609161433321006</c:v>
                </c:pt>
                <c:pt idx="14">
                  <c:v>94.50134891582988</c:v>
                </c:pt>
                <c:pt idx="15">
                  <c:v>95.242413048101994</c:v>
                </c:pt>
                <c:pt idx="16">
                  <c:v>95.84130928792915</c:v>
                </c:pt>
                <c:pt idx="17">
                  <c:v>96.397667103245226</c:v>
                </c:pt>
                <c:pt idx="18">
                  <c:v>96.801782136100556</c:v>
                </c:pt>
                <c:pt idx="19">
                  <c:v>97.146567261085167</c:v>
                </c:pt>
                <c:pt idx="20">
                  <c:v>97.448813961558685</c:v>
                </c:pt>
                <c:pt idx="21">
                  <c:v>97.773449306511722</c:v>
                </c:pt>
                <c:pt idx="22">
                  <c:v>98.131667618184039</c:v>
                </c:pt>
                <c:pt idx="23">
                  <c:v>98.871612318232181</c:v>
                </c:pt>
                <c:pt idx="24">
                  <c:v>99.999999999999986</c:v>
                </c:pt>
                <c:pt idx="25">
                  <c:v>99.999999999999986</c:v>
                </c:pt>
                <c:pt idx="26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B4-4E18-96B5-1A03F9549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2.8942210144927536</c:v>
                </c:pt>
                <c:pt idx="8">
                  <c:v>4.2942666666666671</c:v>
                </c:pt>
                <c:pt idx="9">
                  <c:v>4.8197260273972606</c:v>
                </c:pt>
                <c:pt idx="10">
                  <c:v>2.3943127962085313</c:v>
                </c:pt>
                <c:pt idx="11">
                  <c:v>1.3</c:v>
                </c:pt>
                <c:pt idx="12">
                  <c:v>0.93310000000000004</c:v>
                </c:pt>
                <c:pt idx="13">
                  <c:v>0.70772192513368981</c:v>
                </c:pt>
                <c:pt idx="14">
                  <c:v>0.52997442455242971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29-4399-A39F-70BE07487715}"/>
            </c:ext>
          </c:extLst>
        </c:ser>
        <c:ser>
          <c:idx val="1"/>
          <c:order val="1"/>
          <c:tx>
            <c:strRef>
              <c:f>MAY210717_7!$I$4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1.6977333333333333</c:v>
                </c:pt>
                <c:pt idx="9">
                  <c:v>5.2213698630136989</c:v>
                </c:pt>
                <c:pt idx="10">
                  <c:v>1.9952606635071093</c:v>
                </c:pt>
                <c:pt idx="11">
                  <c:v>2.1</c:v>
                </c:pt>
                <c:pt idx="12">
                  <c:v>4.3644999999999996</c:v>
                </c:pt>
                <c:pt idx="13">
                  <c:v>2.3225240641711231</c:v>
                </c:pt>
                <c:pt idx="14">
                  <c:v>1.9160613810741687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29-4399-A39F-70BE07487715}"/>
            </c:ext>
          </c:extLst>
        </c:ser>
        <c:ser>
          <c:idx val="2"/>
          <c:order val="2"/>
          <c:tx>
            <c:strRef>
              <c:f>MAY210717_7!$J$4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8.0266666666666667E-2</c:v>
                </c:pt>
                <c:pt idx="13">
                  <c:v>9.9679144385026747E-3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29-4399-A39F-70BE07487715}"/>
            </c:ext>
          </c:extLst>
        </c:ser>
        <c:ser>
          <c:idx val="3"/>
          <c:order val="3"/>
          <c:tx>
            <c:strRef>
              <c:f>MAY210717_7!$K$4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7.8894666666666673</c:v>
                </c:pt>
                <c:pt idx="9">
                  <c:v>0</c:v>
                </c:pt>
                <c:pt idx="10">
                  <c:v>0.29928909952606642</c:v>
                </c:pt>
                <c:pt idx="11">
                  <c:v>0.5</c:v>
                </c:pt>
                <c:pt idx="12">
                  <c:v>0.17056666666666667</c:v>
                </c:pt>
                <c:pt idx="13">
                  <c:v>0.22926203208556153</c:v>
                </c:pt>
                <c:pt idx="14">
                  <c:v>0.28537084398976986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29-4399-A39F-70BE07487715}"/>
            </c:ext>
          </c:extLst>
        </c:ser>
        <c:ser>
          <c:idx val="4"/>
          <c:order val="4"/>
          <c:tx>
            <c:strRef>
              <c:f>MAY210717_7!$L$4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</c:v>
                </c:pt>
                <c:pt idx="12">
                  <c:v>8.0266666666666667E-2</c:v>
                </c:pt>
                <c:pt idx="13">
                  <c:v>0.1594866310160428</c:v>
                </c:pt>
                <c:pt idx="14">
                  <c:v>2.0383631713554985E-2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29-4399-A39F-70BE07487715}"/>
            </c:ext>
          </c:extLst>
        </c:ser>
        <c:ser>
          <c:idx val="6"/>
          <c:order val="5"/>
          <c:tx>
            <c:strRef>
              <c:f>MAY210717_7!$N$4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D29-4399-A39F-70BE07487715}"/>
            </c:ext>
          </c:extLst>
        </c:ser>
        <c:ser>
          <c:idx val="7"/>
          <c:order val="6"/>
          <c:tx>
            <c:strRef>
              <c:f>MAY210717_7!$O$4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D29-4399-A39F-70BE07487715}"/>
            </c:ext>
          </c:extLst>
        </c:ser>
        <c:ser>
          <c:idx val="5"/>
          <c:order val="7"/>
          <c:tx>
            <c:strRef>
              <c:f>MAY210717_7!$M$4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238.84</c:v>
                </c:pt>
                <c:pt idx="4">
                  <c:v>317.37</c:v>
                </c:pt>
                <c:pt idx="5">
                  <c:v>99.51</c:v>
                </c:pt>
                <c:pt idx="6">
                  <c:v>17.25</c:v>
                </c:pt>
                <c:pt idx="7">
                  <c:v>52.195778985507246</c:v>
                </c:pt>
                <c:pt idx="8">
                  <c:v>16.078533333333336</c:v>
                </c:pt>
                <c:pt idx="9">
                  <c:v>11.948904109589041</c:v>
                </c:pt>
                <c:pt idx="10">
                  <c:v>16.361137440758295</c:v>
                </c:pt>
                <c:pt idx="11">
                  <c:v>9.8000000000000007</c:v>
                </c:pt>
                <c:pt idx="12">
                  <c:v>6.4112999999999998</c:v>
                </c:pt>
                <c:pt idx="13">
                  <c:v>5.8910374331550805</c:v>
                </c:pt>
                <c:pt idx="14">
                  <c:v>5.2182097186700762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D29-4399-A39F-70BE074877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5.2536231884057969</c:v>
                </c:pt>
                <c:pt idx="8" formatCode="0.00">
                  <c:v>14.333333333333334</c:v>
                </c:pt>
                <c:pt idx="9" formatCode="0.00">
                  <c:v>21.917808219178085</c:v>
                </c:pt>
                <c:pt idx="10" formatCode="0.00">
                  <c:v>11.374407582938391</c:v>
                </c:pt>
                <c:pt idx="11" formatCode="0.00">
                  <c:v>9.420289855072463</c:v>
                </c:pt>
                <c:pt idx="12" formatCode="0.00">
                  <c:v>7.7500000000000009</c:v>
                </c:pt>
                <c:pt idx="13" formatCode="0.00">
                  <c:v>7.593582887700534</c:v>
                </c:pt>
                <c:pt idx="14" formatCode="0.00">
                  <c:v>6.6496163682864458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C5-4B8C-9931-2558AD46002E}"/>
            </c:ext>
          </c:extLst>
        </c:ser>
        <c:ser>
          <c:idx val="1"/>
          <c:order val="1"/>
          <c:tx>
            <c:strRef>
              <c:f>MAY210717_7!$I$4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5.6666666666666661</c:v>
                </c:pt>
                <c:pt idx="9" formatCode="0.00">
                  <c:v>23.744292237442924</c:v>
                </c:pt>
                <c:pt idx="10" formatCode="0.00">
                  <c:v>9.4786729857819907</c:v>
                </c:pt>
                <c:pt idx="11" formatCode="0.00">
                  <c:v>15.217391304347826</c:v>
                </c:pt>
                <c:pt idx="12" formatCode="0.00">
                  <c:v>36.25</c:v>
                </c:pt>
                <c:pt idx="13" formatCode="0.00">
                  <c:v>24.919786096256683</c:v>
                </c:pt>
                <c:pt idx="14" formatCode="0.00">
                  <c:v>24.040920716112534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C5-4B8C-9931-2558AD46002E}"/>
            </c:ext>
          </c:extLst>
        </c:ser>
        <c:ser>
          <c:idx val="2"/>
          <c:order val="2"/>
          <c:tx>
            <c:strRef>
              <c:f>MAY210717_7!$J$4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0.66666666666666674</c:v>
                </c:pt>
                <c:pt idx="13" formatCode="0.00">
                  <c:v>0.10695187165775402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C5-4B8C-9931-2558AD46002E}"/>
            </c:ext>
          </c:extLst>
        </c:ser>
        <c:ser>
          <c:idx val="3"/>
          <c:order val="3"/>
          <c:tx>
            <c:strRef>
              <c:f>MAY210717_7!$K$4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26.333333333333332</c:v>
                </c:pt>
                <c:pt idx="9" formatCode="0.00">
                  <c:v>0</c:v>
                </c:pt>
                <c:pt idx="10" formatCode="0.00">
                  <c:v>1.4218009478672988</c:v>
                </c:pt>
                <c:pt idx="11" formatCode="0.00">
                  <c:v>3.6231884057971011</c:v>
                </c:pt>
                <c:pt idx="12" formatCode="0.00">
                  <c:v>1.416666666666667</c:v>
                </c:pt>
                <c:pt idx="13" formatCode="0.00">
                  <c:v>2.4598930481283423</c:v>
                </c:pt>
                <c:pt idx="14" formatCode="0.00">
                  <c:v>3.5805626598465481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C5-4B8C-9931-2558AD46002E}"/>
            </c:ext>
          </c:extLst>
        </c:ser>
        <c:ser>
          <c:idx val="4"/>
          <c:order val="4"/>
          <c:tx>
            <c:strRef>
              <c:f>MAY210717_7!$L$4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0.72463768115942029</c:v>
                </c:pt>
                <c:pt idx="12" formatCode="0.00">
                  <c:v>0.66666666666666674</c:v>
                </c:pt>
                <c:pt idx="13" formatCode="0.00">
                  <c:v>1.7112299465240643</c:v>
                </c:pt>
                <c:pt idx="14" formatCode="0.00">
                  <c:v>0.25575447570332482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EC5-4B8C-9931-2558AD46002E}"/>
            </c:ext>
          </c:extLst>
        </c:ser>
        <c:ser>
          <c:idx val="6"/>
          <c:order val="5"/>
          <c:tx>
            <c:strRef>
              <c:f>MAY210717_7!$N$4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EC5-4B8C-9931-2558AD46002E}"/>
            </c:ext>
          </c:extLst>
        </c:ser>
        <c:ser>
          <c:idx val="7"/>
          <c:order val="6"/>
          <c:tx>
            <c:strRef>
              <c:f>MAY210717_7!$O$4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EC5-4B8C-9931-2558AD46002E}"/>
            </c:ext>
          </c:extLst>
        </c:ser>
        <c:ser>
          <c:idx val="5"/>
          <c:order val="7"/>
          <c:tx>
            <c:strRef>
              <c:f>MAY210717_7!$M$4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94.746376811594203</c:v>
                </c:pt>
                <c:pt idx="8" formatCode="0.00">
                  <c:v>53.666666666666671</c:v>
                </c:pt>
                <c:pt idx="9" formatCode="0.00">
                  <c:v>54.337899543378988</c:v>
                </c:pt>
                <c:pt idx="10" formatCode="0.00">
                  <c:v>77.725118483412331</c:v>
                </c:pt>
                <c:pt idx="11" formatCode="0.00">
                  <c:v>71.014492753623188</c:v>
                </c:pt>
                <c:pt idx="12" formatCode="0.00">
                  <c:v>53.25</c:v>
                </c:pt>
                <c:pt idx="13" formatCode="0.00">
                  <c:v>63.208556149732622</c:v>
                </c:pt>
                <c:pt idx="14" formatCode="0.00">
                  <c:v>65.473145780051155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EC5-4B8C-9931-2558AD4600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100.00000000000001</c:v>
                </c:pt>
                <c:pt idx="8" formatCode="0.00">
                  <c:v>30.935251798561158</c:v>
                </c:pt>
                <c:pt idx="9" formatCode="0.00">
                  <c:v>48.000000000000007</c:v>
                </c:pt>
                <c:pt idx="10" formatCode="0.00">
                  <c:v>51.063829787234049</c:v>
                </c:pt>
                <c:pt idx="11" formatCode="0.00">
                  <c:v>32.499999999999993</c:v>
                </c:pt>
                <c:pt idx="12" formatCode="0.00">
                  <c:v>16.577540106951876</c:v>
                </c:pt>
                <c:pt idx="13" formatCode="0.00">
                  <c:v>20.63953488372093</c:v>
                </c:pt>
                <c:pt idx="14" formatCode="0.00">
                  <c:v>19.25925925925926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16-4680-B503-65E9D27B9374}"/>
            </c:ext>
          </c:extLst>
        </c:ser>
        <c:ser>
          <c:idx val="1"/>
          <c:order val="1"/>
          <c:tx>
            <c:strRef>
              <c:f>MAY210717_7!$I$4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MAY210717_7!$AE$7:$AE$33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12.23021582733813</c:v>
                </c:pt>
                <c:pt idx="9" formatCode="0.00">
                  <c:v>52</c:v>
                </c:pt>
                <c:pt idx="10" formatCode="0.00">
                  <c:v>42.553191489361701</c:v>
                </c:pt>
                <c:pt idx="11" formatCode="0.00">
                  <c:v>52.499999999999993</c:v>
                </c:pt>
                <c:pt idx="12" formatCode="0.00">
                  <c:v>77.540106951871664</c:v>
                </c:pt>
                <c:pt idx="13" formatCode="0.00">
                  <c:v>67.732558139534888</c:v>
                </c:pt>
                <c:pt idx="14" formatCode="0.00">
                  <c:v>69.629629629629619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16-4680-B503-65E9D27B9374}"/>
            </c:ext>
          </c:extLst>
        </c:ser>
        <c:ser>
          <c:idx val="2"/>
          <c:order val="2"/>
          <c:tx>
            <c:strRef>
              <c:f>MAY210717_7!$J$4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MAY210717_7!$AF$7:$AF$33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1.4260249554367204</c:v>
                </c:pt>
                <c:pt idx="13" formatCode="0.00">
                  <c:v>0.29069767441860472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16-4680-B503-65E9D27B9374}"/>
            </c:ext>
          </c:extLst>
        </c:ser>
        <c:ser>
          <c:idx val="3"/>
          <c:order val="3"/>
          <c:tx>
            <c:strRef>
              <c:f>MAY210717_7!$K$4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MAY210717_7!$AG$7:$AG$33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56.834532374100718</c:v>
                </c:pt>
                <c:pt idx="9" formatCode="0.00">
                  <c:v>0</c:v>
                </c:pt>
                <c:pt idx="10" formatCode="0.00">
                  <c:v>6.3829787234042561</c:v>
                </c:pt>
                <c:pt idx="11" formatCode="0.00">
                  <c:v>12.499999999999998</c:v>
                </c:pt>
                <c:pt idx="12" formatCode="0.00">
                  <c:v>3.0303030303030312</c:v>
                </c:pt>
                <c:pt idx="13" formatCode="0.00">
                  <c:v>6.6860465116279073</c:v>
                </c:pt>
                <c:pt idx="14" formatCode="0.00">
                  <c:v>10.370370370370372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16-4680-B503-65E9D27B9374}"/>
            </c:ext>
          </c:extLst>
        </c:ser>
        <c:ser>
          <c:idx val="4"/>
          <c:order val="4"/>
          <c:tx>
            <c:strRef>
              <c:f>MAY210717_7!$L$4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MAY210717_7!$AH$7:$AH$33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2.5</c:v>
                </c:pt>
                <c:pt idx="12" formatCode="0.00">
                  <c:v>1.4260249554367204</c:v>
                </c:pt>
                <c:pt idx="13" formatCode="0.00">
                  <c:v>4.6511627906976756</c:v>
                </c:pt>
                <c:pt idx="14" formatCode="0.00">
                  <c:v>0.7407407407407407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316-4680-B503-65E9D27B9374}"/>
            </c:ext>
          </c:extLst>
        </c:ser>
        <c:ser>
          <c:idx val="6"/>
          <c:order val="5"/>
          <c:tx>
            <c:strRef>
              <c:f>MAY210717_7!$N$4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MAY210717_7!$AJ$7:$AJ$33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316-4680-B503-65E9D27B9374}"/>
            </c:ext>
          </c:extLst>
        </c:ser>
        <c:ser>
          <c:idx val="7"/>
          <c:order val="6"/>
          <c:tx>
            <c:strRef>
              <c:f>MAY210717_7!$O$4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MAY210717_7!$AK$7:$AK$33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316-4680-B503-65E9D27B9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MAY210717_7!$H$4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MAY210717_7!$AD$15:$AD$21</c:f>
              <c:numCache>
                <c:formatCode>0.00</c:formatCode>
                <c:ptCount val="7"/>
                <c:pt idx="0">
                  <c:v>30.935251798561158</c:v>
                </c:pt>
                <c:pt idx="1">
                  <c:v>48.000000000000007</c:v>
                </c:pt>
                <c:pt idx="2">
                  <c:v>51.063829787234049</c:v>
                </c:pt>
                <c:pt idx="3">
                  <c:v>32.499999999999993</c:v>
                </c:pt>
                <c:pt idx="4">
                  <c:v>16.577540106951876</c:v>
                </c:pt>
                <c:pt idx="5">
                  <c:v>20.63953488372093</c:v>
                </c:pt>
                <c:pt idx="6">
                  <c:v>19.25925925925926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F0-4015-9988-D40AF26CC0A8}"/>
            </c:ext>
          </c:extLst>
        </c:ser>
        <c:ser>
          <c:idx val="1"/>
          <c:order val="1"/>
          <c:tx>
            <c:strRef>
              <c:f>MAY210717_7!$I$4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MAY210717_7!$AE$15:$AE$21</c:f>
              <c:numCache>
                <c:formatCode>0.00</c:formatCode>
                <c:ptCount val="7"/>
                <c:pt idx="0">
                  <c:v>12.23021582733813</c:v>
                </c:pt>
                <c:pt idx="1">
                  <c:v>52</c:v>
                </c:pt>
                <c:pt idx="2">
                  <c:v>42.553191489361701</c:v>
                </c:pt>
                <c:pt idx="3">
                  <c:v>52.499999999999993</c:v>
                </c:pt>
                <c:pt idx="4">
                  <c:v>77.540106951871664</c:v>
                </c:pt>
                <c:pt idx="5">
                  <c:v>67.732558139534888</c:v>
                </c:pt>
                <c:pt idx="6">
                  <c:v>69.629629629629619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F0-4015-9988-D40AF26CC0A8}"/>
            </c:ext>
          </c:extLst>
        </c:ser>
        <c:ser>
          <c:idx val="2"/>
          <c:order val="2"/>
          <c:tx>
            <c:strRef>
              <c:f>MAY210717_7!$J$4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1.4260249554367204</c:v>
                </c:pt>
                <c:pt idx="5">
                  <c:v>0.29069767441860472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0F0-4015-9988-D40AF26CC0A8}"/>
            </c:ext>
          </c:extLst>
        </c:ser>
        <c:ser>
          <c:idx val="3"/>
          <c:order val="3"/>
          <c:tx>
            <c:strRef>
              <c:f>MAY210717_7!$K$4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MAY210717_7!$AG$15:$AG$21</c:f>
              <c:numCache>
                <c:formatCode>0.00</c:formatCode>
                <c:ptCount val="7"/>
                <c:pt idx="0">
                  <c:v>56.834532374100718</c:v>
                </c:pt>
                <c:pt idx="1">
                  <c:v>0</c:v>
                </c:pt>
                <c:pt idx="2">
                  <c:v>6.3829787234042561</c:v>
                </c:pt>
                <c:pt idx="3">
                  <c:v>12.499999999999998</c:v>
                </c:pt>
                <c:pt idx="4">
                  <c:v>3.0303030303030312</c:v>
                </c:pt>
                <c:pt idx="5">
                  <c:v>6.6860465116279073</c:v>
                </c:pt>
                <c:pt idx="6">
                  <c:v>10.370370370370372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F0-4015-9988-D40AF26CC0A8}"/>
            </c:ext>
          </c:extLst>
        </c:ser>
        <c:ser>
          <c:idx val="4"/>
          <c:order val="4"/>
          <c:tx>
            <c:strRef>
              <c:f>MAY210717_7!$L$4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2.5</c:v>
                </c:pt>
                <c:pt idx="4">
                  <c:v>1.4260249554367204</c:v>
                </c:pt>
                <c:pt idx="5">
                  <c:v>4.6511627906976756</c:v>
                </c:pt>
                <c:pt idx="6">
                  <c:v>0.7407407407407407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0F0-4015-9988-D40AF26CC0A8}"/>
            </c:ext>
          </c:extLst>
        </c:ser>
        <c:ser>
          <c:idx val="6"/>
          <c:order val="5"/>
          <c:tx>
            <c:strRef>
              <c:f>MAY210717_7!$N$4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0F0-4015-9988-D40AF26CC0A8}"/>
            </c:ext>
          </c:extLst>
        </c:ser>
        <c:ser>
          <c:idx val="7"/>
          <c:order val="6"/>
          <c:tx>
            <c:strRef>
              <c:f>MAY210717_7!$O$4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0F0-4015-9988-D40AF26CC0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MAY210717_7_aggr!$D$2</c:f>
              <c:strCache>
                <c:ptCount val="1"/>
                <c:pt idx="0">
                  <c:v>MAY210717_7_aggr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MAY210717_7_aggr!$B$7:$B$33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3.0012112240621054</c:v>
                </c:pt>
                <c:pt idx="8">
                  <c:v>14.39462064501164</c:v>
                </c:pt>
                <c:pt idx="9">
                  <c:v>10.412283490888413</c:v>
                </c:pt>
                <c:pt idx="10">
                  <c:v>4.8621949983826962</c:v>
                </c:pt>
                <c:pt idx="11">
                  <c:v>4.1478673660837888</c:v>
                </c:pt>
                <c:pt idx="12">
                  <c:v>5.8367752608689543</c:v>
                </c:pt>
                <c:pt idx="13">
                  <c:v>3.5557204826347362</c:v>
                </c:pt>
                <c:pt idx="14">
                  <c:v>2.8535152765587291</c:v>
                </c:pt>
                <c:pt idx="15">
                  <c:v>6.8647204908686703</c:v>
                </c:pt>
                <c:pt idx="16">
                  <c:v>5.5477726021370666</c:v>
                </c:pt>
                <c:pt idx="17">
                  <c:v>5.1537252023591069</c:v>
                </c:pt>
                <c:pt idx="18">
                  <c:v>3.7434502978906186</c:v>
                </c:pt>
                <c:pt idx="19">
                  <c:v>3.1938578718845174</c:v>
                </c:pt>
                <c:pt idx="20">
                  <c:v>2.7998104721065573</c:v>
                </c:pt>
                <c:pt idx="21">
                  <c:v>3.0072038404107464</c:v>
                </c:pt>
                <c:pt idx="22">
                  <c:v>3.3182938928670311</c:v>
                </c:pt>
                <c:pt idx="23">
                  <c:v>6.8543508224534602</c:v>
                </c:pt>
                <c:pt idx="24">
                  <c:v>10.452625762531147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61-4AF4-B863-97640B75B274}"/>
            </c:ext>
          </c:extLst>
        </c:ser>
        <c:ser>
          <c:idx val="1"/>
          <c:order val="1"/>
          <c:tx>
            <c:v>Aggr</c:v>
          </c:tx>
          <c:invertIfNegative val="0"/>
          <c:val>
            <c:numRef>
              <c:f>MAY210717_7_aggr!$Q$7:$Q$33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26.736519237442764</c:v>
                </c:pt>
                <c:pt idx="4">
                  <c:v>35.527420492326286</c:v>
                </c:pt>
                <c:pt idx="5">
                  <c:v>11.139470060785166</c:v>
                </c:pt>
                <c:pt idx="6">
                  <c:v>1.9310205863585985</c:v>
                </c:pt>
                <c:pt idx="7">
                  <c:v>5.8429636951906092</c:v>
                </c:pt>
                <c:pt idx="8">
                  <c:v>1.7998828327605569</c:v>
                </c:pt>
                <c:pt idx="9">
                  <c:v>1.3375988301473214</c:v>
                </c:pt>
                <c:pt idx="10">
                  <c:v>1.8315184472085042</c:v>
                </c:pt>
                <c:pt idx="11">
                  <c:v>1.097043579496479</c:v>
                </c:pt>
                <c:pt idx="12">
                  <c:v>0.71770158175773224</c:v>
                </c:pt>
                <c:pt idx="13">
                  <c:v>0.65946171353226524</c:v>
                </c:pt>
                <c:pt idx="14">
                  <c:v>0.58414321105440159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61-4AF4-B863-97640B75B2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MAY210717_7_aggr!$D$2</c:f>
              <c:strCache>
                <c:ptCount val="1"/>
                <c:pt idx="0">
                  <c:v>MAY210717_7_aggr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MAY210717_7_aggr!$B$7:$B$33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MAY210717_7_aggr!$E$7:$E$33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3.0012112240621054</c:v>
                </c:pt>
                <c:pt idx="8">
                  <c:v>17.395831869073746</c:v>
                </c:pt>
                <c:pt idx="9">
                  <c:v>27.808115359962159</c:v>
                </c:pt>
                <c:pt idx="10">
                  <c:v>32.670310358344857</c:v>
                </c:pt>
                <c:pt idx="11">
                  <c:v>36.818177724428644</c:v>
                </c:pt>
                <c:pt idx="12">
                  <c:v>42.654952985297598</c:v>
                </c:pt>
                <c:pt idx="13">
                  <c:v>46.210673467932331</c:v>
                </c:pt>
                <c:pt idx="14">
                  <c:v>49.064188744491062</c:v>
                </c:pt>
                <c:pt idx="15">
                  <c:v>55.928909235359733</c:v>
                </c:pt>
                <c:pt idx="16">
                  <c:v>61.476681837496798</c:v>
                </c:pt>
                <c:pt idx="17">
                  <c:v>66.630407039855911</c:v>
                </c:pt>
                <c:pt idx="18">
                  <c:v>70.373857337746529</c:v>
                </c:pt>
                <c:pt idx="19">
                  <c:v>73.567715209631046</c:v>
                </c:pt>
                <c:pt idx="20">
                  <c:v>76.367525681737604</c:v>
                </c:pt>
                <c:pt idx="21">
                  <c:v>79.374729522148357</c:v>
                </c:pt>
                <c:pt idx="22">
                  <c:v>82.693023415015389</c:v>
                </c:pt>
                <c:pt idx="23">
                  <c:v>89.547374237468844</c:v>
                </c:pt>
                <c:pt idx="24">
                  <c:v>99.999999999999986</c:v>
                </c:pt>
                <c:pt idx="25">
                  <c:v>99.999999999999986</c:v>
                </c:pt>
                <c:pt idx="26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1B-49C5-900A-F20AB4EFEA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MAY210717_7_aggr!$B$7:$B$33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2.8942210144927536</c:v>
                </c:pt>
                <c:pt idx="8">
                  <c:v>4.2942666666666671</c:v>
                </c:pt>
                <c:pt idx="9">
                  <c:v>4.8197260273972606</c:v>
                </c:pt>
                <c:pt idx="10">
                  <c:v>2.3943127962085313</c:v>
                </c:pt>
                <c:pt idx="11">
                  <c:v>1.3</c:v>
                </c:pt>
                <c:pt idx="12">
                  <c:v>0.93310000000000004</c:v>
                </c:pt>
                <c:pt idx="13">
                  <c:v>0.70772192513368981</c:v>
                </c:pt>
                <c:pt idx="14">
                  <c:v>0.52997442455242971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76-46D8-8759-5E4F3F90EFC4}"/>
            </c:ext>
          </c:extLst>
        </c:ser>
        <c:ser>
          <c:idx val="1"/>
          <c:order val="1"/>
          <c:tx>
            <c:strRef>
              <c:f>MAY210717_7_aggr!$I$4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1.6977333333333333</c:v>
                </c:pt>
                <c:pt idx="9">
                  <c:v>5.2213698630136989</c:v>
                </c:pt>
                <c:pt idx="10">
                  <c:v>1.9952606635071093</c:v>
                </c:pt>
                <c:pt idx="11">
                  <c:v>2.1</c:v>
                </c:pt>
                <c:pt idx="12">
                  <c:v>4.3644999999999996</c:v>
                </c:pt>
                <c:pt idx="13">
                  <c:v>2.3225240641711231</c:v>
                </c:pt>
                <c:pt idx="14">
                  <c:v>1.9160613810741687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76-46D8-8759-5E4F3F90EFC4}"/>
            </c:ext>
          </c:extLst>
        </c:ser>
        <c:ser>
          <c:idx val="2"/>
          <c:order val="2"/>
          <c:tx>
            <c:strRef>
              <c:f>MAY210717_7_aggr!$J$4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8.0266666666666667E-2</c:v>
                </c:pt>
                <c:pt idx="13">
                  <c:v>9.9679144385026747E-3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76-46D8-8759-5E4F3F90EFC4}"/>
            </c:ext>
          </c:extLst>
        </c:ser>
        <c:ser>
          <c:idx val="3"/>
          <c:order val="3"/>
          <c:tx>
            <c:strRef>
              <c:f>MAY210717_7_aggr!$K$4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7.8894666666666673</c:v>
                </c:pt>
                <c:pt idx="9">
                  <c:v>0</c:v>
                </c:pt>
                <c:pt idx="10">
                  <c:v>0.29928909952606642</c:v>
                </c:pt>
                <c:pt idx="11">
                  <c:v>0.5</c:v>
                </c:pt>
                <c:pt idx="12">
                  <c:v>0.17056666666666667</c:v>
                </c:pt>
                <c:pt idx="13">
                  <c:v>0.22926203208556153</c:v>
                </c:pt>
                <c:pt idx="14">
                  <c:v>0.28537084398976986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76-46D8-8759-5E4F3F90EFC4}"/>
            </c:ext>
          </c:extLst>
        </c:ser>
        <c:ser>
          <c:idx val="4"/>
          <c:order val="4"/>
          <c:tx>
            <c:strRef>
              <c:f>MAY210717_7_aggr!$L$4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</c:v>
                </c:pt>
                <c:pt idx="12">
                  <c:v>8.0266666666666667E-2</c:v>
                </c:pt>
                <c:pt idx="13">
                  <c:v>0.1594866310160428</c:v>
                </c:pt>
                <c:pt idx="14">
                  <c:v>2.0383631713554985E-2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776-46D8-8759-5E4F3F90EFC4}"/>
            </c:ext>
          </c:extLst>
        </c:ser>
        <c:ser>
          <c:idx val="6"/>
          <c:order val="5"/>
          <c:tx>
            <c:strRef>
              <c:f>MAY210717_7_aggr!$N$4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76-46D8-8759-5E4F3F90EFC4}"/>
            </c:ext>
          </c:extLst>
        </c:ser>
        <c:ser>
          <c:idx val="7"/>
          <c:order val="6"/>
          <c:tx>
            <c:strRef>
              <c:f>MAY210717_7_aggr!$O$4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776-46D8-8759-5E4F3F90EFC4}"/>
            </c:ext>
          </c:extLst>
        </c:ser>
        <c:ser>
          <c:idx val="5"/>
          <c:order val="7"/>
          <c:tx>
            <c:strRef>
              <c:f>MAY210717_7_aggr!$M$4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238.84</c:v>
                </c:pt>
                <c:pt idx="4">
                  <c:v>317.37</c:v>
                </c:pt>
                <c:pt idx="5">
                  <c:v>99.51</c:v>
                </c:pt>
                <c:pt idx="6">
                  <c:v>17.25</c:v>
                </c:pt>
                <c:pt idx="7">
                  <c:v>52.195778985507246</c:v>
                </c:pt>
                <c:pt idx="8">
                  <c:v>16.078533333333336</c:v>
                </c:pt>
                <c:pt idx="9">
                  <c:v>11.948904109589041</c:v>
                </c:pt>
                <c:pt idx="10">
                  <c:v>16.361137440758295</c:v>
                </c:pt>
                <c:pt idx="11">
                  <c:v>9.8000000000000007</c:v>
                </c:pt>
                <c:pt idx="12">
                  <c:v>6.4112999999999998</c:v>
                </c:pt>
                <c:pt idx="13">
                  <c:v>5.8910374331550805</c:v>
                </c:pt>
                <c:pt idx="14">
                  <c:v>5.2182097186700762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776-46D8-8759-5E4F3F90EF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MAY210717_7_aggr!$B$7:$B$33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5.2536231884057969</c:v>
                </c:pt>
                <c:pt idx="8" formatCode="0.00">
                  <c:v>14.333333333333334</c:v>
                </c:pt>
                <c:pt idx="9" formatCode="0.00">
                  <c:v>21.917808219178085</c:v>
                </c:pt>
                <c:pt idx="10" formatCode="0.00">
                  <c:v>11.374407582938391</c:v>
                </c:pt>
                <c:pt idx="11" formatCode="0.00">
                  <c:v>9.420289855072463</c:v>
                </c:pt>
                <c:pt idx="12" formatCode="0.00">
                  <c:v>7.7500000000000009</c:v>
                </c:pt>
                <c:pt idx="13" formatCode="0.00">
                  <c:v>7.593582887700534</c:v>
                </c:pt>
                <c:pt idx="14" formatCode="0.00">
                  <c:v>6.6496163682864458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C5-4E81-A097-A8E0A4F0C5DE}"/>
            </c:ext>
          </c:extLst>
        </c:ser>
        <c:ser>
          <c:idx val="1"/>
          <c:order val="1"/>
          <c:tx>
            <c:strRef>
              <c:f>MAY210717_7_aggr!$I$4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5.6666666666666661</c:v>
                </c:pt>
                <c:pt idx="9" formatCode="0.00">
                  <c:v>23.744292237442924</c:v>
                </c:pt>
                <c:pt idx="10" formatCode="0.00">
                  <c:v>9.4786729857819907</c:v>
                </c:pt>
                <c:pt idx="11" formatCode="0.00">
                  <c:v>15.217391304347826</c:v>
                </c:pt>
                <c:pt idx="12" formatCode="0.00">
                  <c:v>36.25</c:v>
                </c:pt>
                <c:pt idx="13" formatCode="0.00">
                  <c:v>24.919786096256683</c:v>
                </c:pt>
                <c:pt idx="14" formatCode="0.00">
                  <c:v>24.040920716112534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C5-4E81-A097-A8E0A4F0C5DE}"/>
            </c:ext>
          </c:extLst>
        </c:ser>
        <c:ser>
          <c:idx val="2"/>
          <c:order val="2"/>
          <c:tx>
            <c:strRef>
              <c:f>MAY210717_7_aggr!$J$4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0.66666666666666674</c:v>
                </c:pt>
                <c:pt idx="13" formatCode="0.00">
                  <c:v>0.10695187165775402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FC5-4E81-A097-A8E0A4F0C5DE}"/>
            </c:ext>
          </c:extLst>
        </c:ser>
        <c:ser>
          <c:idx val="3"/>
          <c:order val="3"/>
          <c:tx>
            <c:strRef>
              <c:f>MAY210717_7_aggr!$K$4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26.333333333333332</c:v>
                </c:pt>
                <c:pt idx="9" formatCode="0.00">
                  <c:v>0</c:v>
                </c:pt>
                <c:pt idx="10" formatCode="0.00">
                  <c:v>1.4218009478672988</c:v>
                </c:pt>
                <c:pt idx="11" formatCode="0.00">
                  <c:v>3.6231884057971011</c:v>
                </c:pt>
                <c:pt idx="12" formatCode="0.00">
                  <c:v>1.416666666666667</c:v>
                </c:pt>
                <c:pt idx="13" formatCode="0.00">
                  <c:v>2.4598930481283423</c:v>
                </c:pt>
                <c:pt idx="14" formatCode="0.00">
                  <c:v>3.5805626598465481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FC5-4E81-A097-A8E0A4F0C5DE}"/>
            </c:ext>
          </c:extLst>
        </c:ser>
        <c:ser>
          <c:idx val="4"/>
          <c:order val="4"/>
          <c:tx>
            <c:strRef>
              <c:f>MAY210717_7_aggr!$L$4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0.72463768115942029</c:v>
                </c:pt>
                <c:pt idx="12" formatCode="0.00">
                  <c:v>0.66666666666666674</c:v>
                </c:pt>
                <c:pt idx="13" formatCode="0.00">
                  <c:v>1.7112299465240643</c:v>
                </c:pt>
                <c:pt idx="14" formatCode="0.00">
                  <c:v>0.25575447570332482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FC5-4E81-A097-A8E0A4F0C5DE}"/>
            </c:ext>
          </c:extLst>
        </c:ser>
        <c:ser>
          <c:idx val="6"/>
          <c:order val="5"/>
          <c:tx>
            <c:strRef>
              <c:f>MAY210717_7_aggr!$N$4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FC5-4E81-A097-A8E0A4F0C5DE}"/>
            </c:ext>
          </c:extLst>
        </c:ser>
        <c:ser>
          <c:idx val="7"/>
          <c:order val="6"/>
          <c:tx>
            <c:strRef>
              <c:f>MAY210717_7_aggr!$O$4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FC5-4E81-A097-A8E0A4F0C5DE}"/>
            </c:ext>
          </c:extLst>
        </c:ser>
        <c:ser>
          <c:idx val="5"/>
          <c:order val="7"/>
          <c:tx>
            <c:strRef>
              <c:f>MAY210717_7_aggr!$M$4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94.746376811594203</c:v>
                </c:pt>
                <c:pt idx="8" formatCode="0.00">
                  <c:v>53.666666666666671</c:v>
                </c:pt>
                <c:pt idx="9" formatCode="0.00">
                  <c:v>54.337899543378988</c:v>
                </c:pt>
                <c:pt idx="10" formatCode="0.00">
                  <c:v>77.725118483412331</c:v>
                </c:pt>
                <c:pt idx="11" formatCode="0.00">
                  <c:v>71.014492753623188</c:v>
                </c:pt>
                <c:pt idx="12" formatCode="0.00">
                  <c:v>53.25</c:v>
                </c:pt>
                <c:pt idx="13" formatCode="0.00">
                  <c:v>63.208556149732622</c:v>
                </c:pt>
                <c:pt idx="14" formatCode="0.00">
                  <c:v>65.473145780051155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FC5-4E81-A097-A8E0A4F0C5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MAY210717_7_aggr!$B$7:$B$33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100.00000000000001</c:v>
                </c:pt>
                <c:pt idx="8" formatCode="0.00">
                  <c:v>30.935251798561158</c:v>
                </c:pt>
                <c:pt idx="9" formatCode="0.00">
                  <c:v>48.000000000000007</c:v>
                </c:pt>
                <c:pt idx="10" formatCode="0.00">
                  <c:v>51.063829787234049</c:v>
                </c:pt>
                <c:pt idx="11" formatCode="0.00">
                  <c:v>32.499999999999993</c:v>
                </c:pt>
                <c:pt idx="12" formatCode="0.00">
                  <c:v>16.577540106951876</c:v>
                </c:pt>
                <c:pt idx="13" formatCode="0.00">
                  <c:v>20.63953488372093</c:v>
                </c:pt>
                <c:pt idx="14" formatCode="0.00">
                  <c:v>19.25925925925926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40-4EAB-9F44-09270D6B06E8}"/>
            </c:ext>
          </c:extLst>
        </c:ser>
        <c:ser>
          <c:idx val="1"/>
          <c:order val="1"/>
          <c:tx>
            <c:strRef>
              <c:f>MAY210717_7_aggr!$I$4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MAY210717_7_aggr!$AE$7:$AE$33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12.23021582733813</c:v>
                </c:pt>
                <c:pt idx="9" formatCode="0.00">
                  <c:v>52</c:v>
                </c:pt>
                <c:pt idx="10" formatCode="0.00">
                  <c:v>42.553191489361701</c:v>
                </c:pt>
                <c:pt idx="11" formatCode="0.00">
                  <c:v>52.499999999999993</c:v>
                </c:pt>
                <c:pt idx="12" formatCode="0.00">
                  <c:v>77.540106951871664</c:v>
                </c:pt>
                <c:pt idx="13" formatCode="0.00">
                  <c:v>67.732558139534888</c:v>
                </c:pt>
                <c:pt idx="14" formatCode="0.00">
                  <c:v>69.629629629629619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40-4EAB-9F44-09270D6B06E8}"/>
            </c:ext>
          </c:extLst>
        </c:ser>
        <c:ser>
          <c:idx val="2"/>
          <c:order val="2"/>
          <c:tx>
            <c:strRef>
              <c:f>MAY210717_7_aggr!$J$4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MAY210717_7_aggr!$AF$7:$AF$33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1.4260249554367204</c:v>
                </c:pt>
                <c:pt idx="13" formatCode="0.00">
                  <c:v>0.29069767441860472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40-4EAB-9F44-09270D6B06E8}"/>
            </c:ext>
          </c:extLst>
        </c:ser>
        <c:ser>
          <c:idx val="3"/>
          <c:order val="3"/>
          <c:tx>
            <c:strRef>
              <c:f>MAY210717_7_aggr!$K$4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MAY210717_7_aggr!$AG$7:$AG$33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56.834532374100718</c:v>
                </c:pt>
                <c:pt idx="9" formatCode="0.00">
                  <c:v>0</c:v>
                </c:pt>
                <c:pt idx="10" formatCode="0.00">
                  <c:v>6.3829787234042561</c:v>
                </c:pt>
                <c:pt idx="11" formatCode="0.00">
                  <c:v>12.499999999999998</c:v>
                </c:pt>
                <c:pt idx="12" formatCode="0.00">
                  <c:v>3.0303030303030312</c:v>
                </c:pt>
                <c:pt idx="13" formatCode="0.00">
                  <c:v>6.6860465116279073</c:v>
                </c:pt>
                <c:pt idx="14" formatCode="0.00">
                  <c:v>10.370370370370372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840-4EAB-9F44-09270D6B06E8}"/>
            </c:ext>
          </c:extLst>
        </c:ser>
        <c:ser>
          <c:idx val="4"/>
          <c:order val="4"/>
          <c:tx>
            <c:strRef>
              <c:f>MAY210717_7_aggr!$L$4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MAY210717_7_aggr!$AH$7:$AH$33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2.5</c:v>
                </c:pt>
                <c:pt idx="12" formatCode="0.00">
                  <c:v>1.4260249554367204</c:v>
                </c:pt>
                <c:pt idx="13" formatCode="0.00">
                  <c:v>4.6511627906976756</c:v>
                </c:pt>
                <c:pt idx="14" formatCode="0.00">
                  <c:v>0.7407407407407407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840-4EAB-9F44-09270D6B06E8}"/>
            </c:ext>
          </c:extLst>
        </c:ser>
        <c:ser>
          <c:idx val="6"/>
          <c:order val="5"/>
          <c:tx>
            <c:strRef>
              <c:f>MAY210717_7_aggr!$N$4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MAY210717_7_aggr!$AJ$7:$AJ$33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840-4EAB-9F44-09270D6B06E8}"/>
            </c:ext>
          </c:extLst>
        </c:ser>
        <c:ser>
          <c:idx val="7"/>
          <c:order val="6"/>
          <c:tx>
            <c:strRef>
              <c:f>MAY210717_7_aggr!$O$4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MAY210717_7_aggr!$AK$7:$AK$33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840-4EAB-9F44-09270D6B0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MAY210717_7_aggr!$H$4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MAY210717_7_aggr!$AD$15:$AD$21</c:f>
              <c:numCache>
                <c:formatCode>0.00</c:formatCode>
                <c:ptCount val="7"/>
                <c:pt idx="0">
                  <c:v>30.935251798561158</c:v>
                </c:pt>
                <c:pt idx="1">
                  <c:v>48.000000000000007</c:v>
                </c:pt>
                <c:pt idx="2">
                  <c:v>51.063829787234049</c:v>
                </c:pt>
                <c:pt idx="3">
                  <c:v>32.499999999999993</c:v>
                </c:pt>
                <c:pt idx="4">
                  <c:v>16.577540106951876</c:v>
                </c:pt>
                <c:pt idx="5">
                  <c:v>20.63953488372093</c:v>
                </c:pt>
                <c:pt idx="6">
                  <c:v>19.25925925925926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95-46C1-832E-FFCE403ED66C}"/>
            </c:ext>
          </c:extLst>
        </c:ser>
        <c:ser>
          <c:idx val="1"/>
          <c:order val="1"/>
          <c:tx>
            <c:strRef>
              <c:f>MAY210717_7_aggr!$I$4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MAY210717_7_aggr!$AE$15:$AE$21</c:f>
              <c:numCache>
                <c:formatCode>0.00</c:formatCode>
                <c:ptCount val="7"/>
                <c:pt idx="0">
                  <c:v>12.23021582733813</c:v>
                </c:pt>
                <c:pt idx="1">
                  <c:v>52</c:v>
                </c:pt>
                <c:pt idx="2">
                  <c:v>42.553191489361701</c:v>
                </c:pt>
                <c:pt idx="3">
                  <c:v>52.499999999999993</c:v>
                </c:pt>
                <c:pt idx="4">
                  <c:v>77.540106951871664</c:v>
                </c:pt>
                <c:pt idx="5">
                  <c:v>67.732558139534888</c:v>
                </c:pt>
                <c:pt idx="6">
                  <c:v>69.629629629629619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B95-46C1-832E-FFCE403ED66C}"/>
            </c:ext>
          </c:extLst>
        </c:ser>
        <c:ser>
          <c:idx val="2"/>
          <c:order val="2"/>
          <c:tx>
            <c:strRef>
              <c:f>MAY210717_7_aggr!$J$4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1.4260249554367204</c:v>
                </c:pt>
                <c:pt idx="5">
                  <c:v>0.29069767441860472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B95-46C1-832E-FFCE403ED66C}"/>
            </c:ext>
          </c:extLst>
        </c:ser>
        <c:ser>
          <c:idx val="3"/>
          <c:order val="3"/>
          <c:tx>
            <c:strRef>
              <c:f>MAY210717_7_aggr!$K$4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MAY210717_7_aggr!$AG$15:$AG$21</c:f>
              <c:numCache>
                <c:formatCode>0.00</c:formatCode>
                <c:ptCount val="7"/>
                <c:pt idx="0">
                  <c:v>56.834532374100718</c:v>
                </c:pt>
                <c:pt idx="1">
                  <c:v>0</c:v>
                </c:pt>
                <c:pt idx="2">
                  <c:v>6.3829787234042561</c:v>
                </c:pt>
                <c:pt idx="3">
                  <c:v>12.499999999999998</c:v>
                </c:pt>
                <c:pt idx="4">
                  <c:v>3.0303030303030312</c:v>
                </c:pt>
                <c:pt idx="5">
                  <c:v>6.6860465116279073</c:v>
                </c:pt>
                <c:pt idx="6">
                  <c:v>10.370370370370372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B95-46C1-832E-FFCE403ED66C}"/>
            </c:ext>
          </c:extLst>
        </c:ser>
        <c:ser>
          <c:idx val="4"/>
          <c:order val="4"/>
          <c:tx>
            <c:strRef>
              <c:f>MAY210717_7_aggr!$L$4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2.5</c:v>
                </c:pt>
                <c:pt idx="4">
                  <c:v>1.4260249554367204</c:v>
                </c:pt>
                <c:pt idx="5">
                  <c:v>4.6511627906976756</c:v>
                </c:pt>
                <c:pt idx="6">
                  <c:v>0.7407407407407407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B95-46C1-832E-FFCE403ED66C}"/>
            </c:ext>
          </c:extLst>
        </c:ser>
        <c:ser>
          <c:idx val="6"/>
          <c:order val="5"/>
          <c:tx>
            <c:strRef>
              <c:f>MAY210717_7_aggr!$N$4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B95-46C1-832E-FFCE403ED66C}"/>
            </c:ext>
          </c:extLst>
        </c:ser>
        <c:ser>
          <c:idx val="7"/>
          <c:order val="6"/>
          <c:tx>
            <c:strRef>
              <c:f>MAY210717_7_aggr!$O$4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MAY210717_7_aggr!$AC$15:$AC$21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B95-46C1-832E-FFCE403ED6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MAY210717_7_no_aggr!$D$2</c:f>
              <c:strCache>
                <c:ptCount val="1"/>
                <c:pt idx="0">
                  <c:v>MAY210717_7_no_aggr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MAY210717_7_no_aggr!$B$7:$B$33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3.0012112240621054</c:v>
                </c:pt>
                <c:pt idx="8">
                  <c:v>14.39462064501164</c:v>
                </c:pt>
                <c:pt idx="9">
                  <c:v>10.412283490888413</c:v>
                </c:pt>
                <c:pt idx="10">
                  <c:v>4.8621949983826962</c:v>
                </c:pt>
                <c:pt idx="11">
                  <c:v>4.1478673660837888</c:v>
                </c:pt>
                <c:pt idx="12">
                  <c:v>5.8367752608689543</c:v>
                </c:pt>
                <c:pt idx="13">
                  <c:v>3.5557204826347362</c:v>
                </c:pt>
                <c:pt idx="14">
                  <c:v>2.8535152765587291</c:v>
                </c:pt>
                <c:pt idx="15">
                  <c:v>6.8647204908686703</c:v>
                </c:pt>
                <c:pt idx="16">
                  <c:v>5.5477726021370666</c:v>
                </c:pt>
                <c:pt idx="17">
                  <c:v>5.1537252023591069</c:v>
                </c:pt>
                <c:pt idx="18">
                  <c:v>3.7434502978906186</c:v>
                </c:pt>
                <c:pt idx="19">
                  <c:v>3.1938578718845174</c:v>
                </c:pt>
                <c:pt idx="20">
                  <c:v>2.7998104721065573</c:v>
                </c:pt>
                <c:pt idx="21">
                  <c:v>3.0072038404107464</c:v>
                </c:pt>
                <c:pt idx="22">
                  <c:v>3.3182938928670311</c:v>
                </c:pt>
                <c:pt idx="23">
                  <c:v>6.8543508224534602</c:v>
                </c:pt>
                <c:pt idx="24">
                  <c:v>10.452625762531147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09-4CF6-91D1-7ADAB908F9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MAY210717_7_no_aggr!$D$2</c:f>
              <c:strCache>
                <c:ptCount val="1"/>
                <c:pt idx="0">
                  <c:v>MAY210717_7_no_aggr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MAY210717_7_no_aggr!$B$7:$B$33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MAY210717_7_no_aggr!$E$7:$E$33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3.0012112240621054</c:v>
                </c:pt>
                <c:pt idx="8">
                  <c:v>17.395831869073746</c:v>
                </c:pt>
                <c:pt idx="9">
                  <c:v>27.808115359962159</c:v>
                </c:pt>
                <c:pt idx="10">
                  <c:v>32.670310358344857</c:v>
                </c:pt>
                <c:pt idx="11">
                  <c:v>36.818177724428644</c:v>
                </c:pt>
                <c:pt idx="12">
                  <c:v>42.654952985297598</c:v>
                </c:pt>
                <c:pt idx="13">
                  <c:v>46.210673467932331</c:v>
                </c:pt>
                <c:pt idx="14">
                  <c:v>49.064188744491062</c:v>
                </c:pt>
                <c:pt idx="15">
                  <c:v>55.928909235359733</c:v>
                </c:pt>
                <c:pt idx="16">
                  <c:v>61.476681837496798</c:v>
                </c:pt>
                <c:pt idx="17">
                  <c:v>66.630407039855911</c:v>
                </c:pt>
                <c:pt idx="18">
                  <c:v>70.373857337746529</c:v>
                </c:pt>
                <c:pt idx="19">
                  <c:v>73.567715209631046</c:v>
                </c:pt>
                <c:pt idx="20">
                  <c:v>76.367525681737604</c:v>
                </c:pt>
                <c:pt idx="21">
                  <c:v>79.374729522148357</c:v>
                </c:pt>
                <c:pt idx="22">
                  <c:v>82.693023415015389</c:v>
                </c:pt>
                <c:pt idx="23">
                  <c:v>89.547374237468844</c:v>
                </c:pt>
                <c:pt idx="24">
                  <c:v>99.999999999999986</c:v>
                </c:pt>
                <c:pt idx="25">
                  <c:v>99.999999999999986</c:v>
                </c:pt>
                <c:pt idx="26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5C-4296-9B01-327D74DA5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MAY210717_7_no_aggr!$B$7:$B$33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1.399795321637427</c:v>
                </c:pt>
                <c:pt idx="9">
                  <c:v>5.22508038585209</c:v>
                </c:pt>
                <c:pt idx="10">
                  <c:v>8.5975977653631279</c:v>
                </c:pt>
                <c:pt idx="11">
                  <c:v>7.2393349168646095</c:v>
                </c:pt>
                <c:pt idx="12">
                  <c:v>7.9222556390977443</c:v>
                </c:pt>
                <c:pt idx="13">
                  <c:v>4.0707762096774198</c:v>
                </c:pt>
                <c:pt idx="14">
                  <c:v>2.2858651026392964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67-4264-8079-BB1B2F75AF41}"/>
            </c:ext>
          </c:extLst>
        </c:ser>
        <c:ser>
          <c:idx val="1"/>
          <c:order val="1"/>
          <c:tx>
            <c:strRef>
              <c:f>MAY210717_7_no_aggr!$I$4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2.6996052631578955</c:v>
                </c:pt>
                <c:pt idx="9">
                  <c:v>5.627009646302251</c:v>
                </c:pt>
                <c:pt idx="10">
                  <c:v>12.096620111731843</c:v>
                </c:pt>
                <c:pt idx="11">
                  <c:v>19.606532066508315</c:v>
                </c:pt>
                <c:pt idx="12">
                  <c:v>15.999849624060152</c:v>
                </c:pt>
                <c:pt idx="13">
                  <c:v>28.454314516129031</c:v>
                </c:pt>
                <c:pt idx="14">
                  <c:v>23.298240469208213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67-4264-8079-BB1B2F75AF41}"/>
            </c:ext>
          </c:extLst>
        </c:ser>
        <c:ser>
          <c:idx val="2"/>
          <c:order val="2"/>
          <c:tx>
            <c:strRef>
              <c:f>MAY210717_7_no_aggr!$J$4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0.79977653631284928</c:v>
                </c:pt>
                <c:pt idx="11">
                  <c:v>1.307102137767221</c:v>
                </c:pt>
                <c:pt idx="12">
                  <c:v>1.2427067669172933</c:v>
                </c:pt>
                <c:pt idx="13">
                  <c:v>1.7681149193548387</c:v>
                </c:pt>
                <c:pt idx="14">
                  <c:v>1.2308504398826983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67-4264-8079-BB1B2F75AF41}"/>
            </c:ext>
          </c:extLst>
        </c:ser>
        <c:ser>
          <c:idx val="3"/>
          <c:order val="3"/>
          <c:tx>
            <c:strRef>
              <c:f>MAY210717_7_no_aggr!$K$4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1.4995810055865924</c:v>
                </c:pt>
                <c:pt idx="11">
                  <c:v>0.90491686460807619</c:v>
                </c:pt>
                <c:pt idx="12">
                  <c:v>2.0193984962406013</c:v>
                </c:pt>
                <c:pt idx="13">
                  <c:v>1.809233870967742</c:v>
                </c:pt>
                <c:pt idx="14">
                  <c:v>0.61542521994134913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67-4264-8079-BB1B2F75AF41}"/>
            </c:ext>
          </c:extLst>
        </c:ser>
        <c:ser>
          <c:idx val="4"/>
          <c:order val="4"/>
          <c:tx>
            <c:strRef>
              <c:f>MAY210717_7_no_aggr!$L$4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4.320739549839228</c:v>
                </c:pt>
                <c:pt idx="10">
                  <c:v>3.2990782122905027</c:v>
                </c:pt>
                <c:pt idx="11">
                  <c:v>1.2065558194774348</c:v>
                </c:pt>
                <c:pt idx="12">
                  <c:v>3.5727819548872173</c:v>
                </c:pt>
                <c:pt idx="13">
                  <c:v>1.6036391129032259</c:v>
                </c:pt>
                <c:pt idx="14">
                  <c:v>1.6704398826979474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67-4264-8079-BB1B2F75AF41}"/>
            </c:ext>
          </c:extLst>
        </c:ser>
        <c:ser>
          <c:idx val="6"/>
          <c:order val="5"/>
          <c:tx>
            <c:strRef>
              <c:f>MAY210717_7_no_aggr!$N$4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567-4264-8079-BB1B2F75AF41}"/>
            </c:ext>
          </c:extLst>
        </c:ser>
        <c:ser>
          <c:idx val="7"/>
          <c:order val="6"/>
          <c:tx>
            <c:strRef>
              <c:f>MAY210717_7_no_aggr!$O$4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8.791788856304987E-2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567-4264-8079-BB1B2F75AF41}"/>
            </c:ext>
          </c:extLst>
        </c:ser>
        <c:ser>
          <c:idx val="5"/>
          <c:order val="7"/>
          <c:tx>
            <c:strRef>
              <c:f>MAY210717_7_no_aggr!$M$4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567-4264-8079-BB1B2F75A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MAY210717_7_no_aggr!$B$7:$B$33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32.699619771863119</c:v>
                </c:pt>
                <c:pt idx="11" formatCode="0.00">
                  <c:v>23.920265780730901</c:v>
                </c:pt>
                <c:pt idx="12" formatCode="0.00">
                  <c:v>25.757575757575758</c:v>
                </c:pt>
                <c:pt idx="13" formatCode="0.00">
                  <c:v>10.796074154852784</c:v>
                </c:pt>
                <c:pt idx="14" formatCode="0.00">
                  <c:v>7.831325301204819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25-42B7-880B-99EF0F1707D2}"/>
            </c:ext>
          </c:extLst>
        </c:ser>
        <c:ser>
          <c:idx val="1"/>
          <c:order val="1"/>
          <c:tx>
            <c:strRef>
              <c:f>MAY210717_7_no_aggr!$I$4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37.086092715231793</c:v>
                </c:pt>
                <c:pt idx="10" formatCode="0.00">
                  <c:v>46.007604562737647</c:v>
                </c:pt>
                <c:pt idx="11" formatCode="0.00">
                  <c:v>64.784053156146172</c:v>
                </c:pt>
                <c:pt idx="12" formatCode="0.00">
                  <c:v>52.020202020202028</c:v>
                </c:pt>
                <c:pt idx="13" formatCode="0.00">
                  <c:v>75.463467829880045</c:v>
                </c:pt>
                <c:pt idx="14" formatCode="0.00">
                  <c:v>79.819277108433724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25-42B7-880B-99EF0F1707D2}"/>
            </c:ext>
          </c:extLst>
        </c:ser>
        <c:ser>
          <c:idx val="2"/>
          <c:order val="2"/>
          <c:tx>
            <c:strRef>
              <c:f>MAY210717_7_no_aggr!$J$4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3.0418250950570349</c:v>
                </c:pt>
                <c:pt idx="11" formatCode="0.00">
                  <c:v>4.3189368770764123</c:v>
                </c:pt>
                <c:pt idx="12" formatCode="0.00">
                  <c:v>4.0404040404040407</c:v>
                </c:pt>
                <c:pt idx="13" formatCode="0.00">
                  <c:v>4.6892039258451472</c:v>
                </c:pt>
                <c:pt idx="14" formatCode="0.00">
                  <c:v>4.2168674698795181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25-42B7-880B-99EF0F1707D2}"/>
            </c:ext>
          </c:extLst>
        </c:ser>
        <c:ser>
          <c:idx val="3"/>
          <c:order val="3"/>
          <c:tx>
            <c:strRef>
              <c:f>MAY210717_7_no_aggr!$K$4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5.7034220532319404</c:v>
                </c:pt>
                <c:pt idx="11" formatCode="0.00">
                  <c:v>2.9900332225913626</c:v>
                </c:pt>
                <c:pt idx="12" formatCode="0.00">
                  <c:v>6.5656565656565649</c:v>
                </c:pt>
                <c:pt idx="13" formatCode="0.00">
                  <c:v>4.7982551799345696</c:v>
                </c:pt>
                <c:pt idx="14" formatCode="0.00">
                  <c:v>2.1084337349397591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D25-42B7-880B-99EF0F1707D2}"/>
            </c:ext>
          </c:extLst>
        </c:ser>
        <c:ser>
          <c:idx val="4"/>
          <c:order val="4"/>
          <c:tx>
            <c:strRef>
              <c:f>MAY210717_7_no_aggr!$L$4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28.476821192052981</c:v>
                </c:pt>
                <c:pt idx="10" formatCode="0.00">
                  <c:v>12.547528517110267</c:v>
                </c:pt>
                <c:pt idx="11" formatCode="0.00">
                  <c:v>3.9867109634551499</c:v>
                </c:pt>
                <c:pt idx="12" formatCode="0.00">
                  <c:v>11.616161616161614</c:v>
                </c:pt>
                <c:pt idx="13" formatCode="0.00">
                  <c:v>4.2529989094874594</c:v>
                </c:pt>
                <c:pt idx="14" formatCode="0.00">
                  <c:v>5.7228915662650595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25-42B7-880B-99EF0F1707D2}"/>
            </c:ext>
          </c:extLst>
        </c:ser>
        <c:ser>
          <c:idx val="6"/>
          <c:order val="5"/>
          <c:tx>
            <c:strRef>
              <c:f>MAY210717_7_no_aggr!$N$4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25-42B7-880B-99EF0F1707D2}"/>
            </c:ext>
          </c:extLst>
        </c:ser>
        <c:ser>
          <c:idx val="7"/>
          <c:order val="6"/>
          <c:tx>
            <c:strRef>
              <c:f>MAY210717_7_no_aggr!$O$4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D25-42B7-880B-99EF0F1707D2}"/>
            </c:ext>
          </c:extLst>
        </c:ser>
        <c:ser>
          <c:idx val="5"/>
          <c:order val="7"/>
          <c:tx>
            <c:strRef>
              <c:f>MAY210717_7_no_aggr!$M$4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MAY210717_7_no_aggr!$X$7:$X$33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D25-42B7-880B-99EF0F170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MAY210717_7_no_aggr!$H$4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MAY210717_7_no_aggr!$B$7:$B$33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MAY210717_7_no_aggr!$AD$7:$AD$33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34.146341463414629</c:v>
                </c:pt>
                <c:pt idx="9" formatCode="0.00">
                  <c:v>34.437086092715234</c:v>
                </c:pt>
                <c:pt idx="10" formatCode="0.00">
                  <c:v>32.699619771863112</c:v>
                </c:pt>
                <c:pt idx="11" formatCode="0.00">
                  <c:v>23.920265780730901</c:v>
                </c:pt>
                <c:pt idx="12" formatCode="0.00">
                  <c:v>25.757575757575758</c:v>
                </c:pt>
                <c:pt idx="13" formatCode="0.00">
                  <c:v>10.796074154852782</c:v>
                </c:pt>
                <c:pt idx="14" formatCode="0.00">
                  <c:v>7.8313253012048198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A3-410A-BE42-D9EDB4F7DDE2}"/>
            </c:ext>
          </c:extLst>
        </c:ser>
        <c:ser>
          <c:idx val="1"/>
          <c:order val="1"/>
          <c:tx>
            <c:strRef>
              <c:f>MAY210717_7_no_aggr!$I$4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MAY210717_7_no_aggr!$AE$7:$AE$33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65.853658536585371</c:v>
                </c:pt>
                <c:pt idx="9" formatCode="0.00">
                  <c:v>37.086092715231786</c:v>
                </c:pt>
                <c:pt idx="10" formatCode="0.00">
                  <c:v>46.007604562737647</c:v>
                </c:pt>
                <c:pt idx="11" formatCode="0.00">
                  <c:v>64.784053156146172</c:v>
                </c:pt>
                <c:pt idx="12" formatCode="0.00">
                  <c:v>52.020202020202028</c:v>
                </c:pt>
                <c:pt idx="13" formatCode="0.00">
                  <c:v>75.463467829880031</c:v>
                </c:pt>
                <c:pt idx="14" formatCode="0.00">
                  <c:v>79.819277108433738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A3-410A-BE42-D9EDB4F7DDE2}"/>
            </c:ext>
          </c:extLst>
        </c:ser>
        <c:ser>
          <c:idx val="2"/>
          <c:order val="2"/>
          <c:tx>
            <c:strRef>
              <c:f>MAY210717_7_no_aggr!$J$4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MAY210717_7_no_aggr!$AF$7:$AF$33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3.0418250950570345</c:v>
                </c:pt>
                <c:pt idx="11" formatCode="0.00">
                  <c:v>4.3189368770764123</c:v>
                </c:pt>
                <c:pt idx="12" formatCode="0.00">
                  <c:v>4.0404040404040398</c:v>
                </c:pt>
                <c:pt idx="13" formatCode="0.00">
                  <c:v>4.6892039258451463</c:v>
                </c:pt>
                <c:pt idx="14" formatCode="0.00">
                  <c:v>4.216867469879519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A3-410A-BE42-D9EDB4F7DDE2}"/>
            </c:ext>
          </c:extLst>
        </c:ser>
        <c:ser>
          <c:idx val="3"/>
          <c:order val="3"/>
          <c:tx>
            <c:strRef>
              <c:f>MAY210717_7_no_aggr!$K$4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MAY210717_7_no_aggr!$AG$7:$AG$33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5.7034220532319404</c:v>
                </c:pt>
                <c:pt idx="11" formatCode="0.00">
                  <c:v>2.9900332225913626</c:v>
                </c:pt>
                <c:pt idx="12" formatCode="0.00">
                  <c:v>6.565656565656564</c:v>
                </c:pt>
                <c:pt idx="13" formatCode="0.00">
                  <c:v>4.7982551799345687</c:v>
                </c:pt>
                <c:pt idx="14" formatCode="0.00">
                  <c:v>2.1084337349397595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6A3-410A-BE42-D9EDB4F7DDE2}"/>
            </c:ext>
          </c:extLst>
        </c:ser>
        <c:ser>
          <c:idx val="4"/>
          <c:order val="4"/>
          <c:tx>
            <c:strRef>
              <c:f>MAY210717_7_no_aggr!$L$4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MAY210717_7_no_aggr!$AH$7:$AH$33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28.476821192052977</c:v>
                </c:pt>
                <c:pt idx="10" formatCode="0.00">
                  <c:v>12.547528517110266</c:v>
                </c:pt>
                <c:pt idx="11" formatCode="0.00">
                  <c:v>3.9867109634551499</c:v>
                </c:pt>
                <c:pt idx="12" formatCode="0.00">
                  <c:v>11.616161616161612</c:v>
                </c:pt>
                <c:pt idx="13" formatCode="0.00">
                  <c:v>4.2529989094874585</c:v>
                </c:pt>
                <c:pt idx="14" formatCode="0.00">
                  <c:v>5.7228915662650603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6A3-410A-BE42-D9EDB4F7DDE2}"/>
            </c:ext>
          </c:extLst>
        </c:ser>
        <c:ser>
          <c:idx val="6"/>
          <c:order val="5"/>
          <c:tx>
            <c:strRef>
              <c:f>MAY210717_7_no_aggr!$N$4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MAY210717_7_no_aggr!$AJ$7:$AJ$33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6A3-410A-BE42-D9EDB4F7DDE2}"/>
            </c:ext>
          </c:extLst>
        </c:ser>
        <c:ser>
          <c:idx val="7"/>
          <c:order val="6"/>
          <c:tx>
            <c:strRef>
              <c:f>MAY210717_7_no_aggr!$O$4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MAY210717_7_no_aggr!$AK$7:$AK$33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0.30120481927710846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6A3-410A-BE42-D9EDB4F7DD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MAY210717_7_no_aggr!$H$4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MAY210717_7_no_aggr!$AD$15:$AD$21</c:f>
              <c:numCache>
                <c:formatCode>0.00</c:formatCode>
                <c:ptCount val="7"/>
                <c:pt idx="0">
                  <c:v>34.146341463414629</c:v>
                </c:pt>
                <c:pt idx="1">
                  <c:v>34.437086092715234</c:v>
                </c:pt>
                <c:pt idx="2">
                  <c:v>32.699619771863112</c:v>
                </c:pt>
                <c:pt idx="3">
                  <c:v>23.920265780730901</c:v>
                </c:pt>
                <c:pt idx="4">
                  <c:v>25.757575757575758</c:v>
                </c:pt>
                <c:pt idx="5">
                  <c:v>10.796074154852782</c:v>
                </c:pt>
                <c:pt idx="6">
                  <c:v>7.8313253012048198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D8-4738-8260-D930A2F9B01A}"/>
            </c:ext>
          </c:extLst>
        </c:ser>
        <c:ser>
          <c:idx val="1"/>
          <c:order val="1"/>
          <c:tx>
            <c:strRef>
              <c:f>MAY210717_7_no_aggr!$I$4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MAY210717_7_no_aggr!$AE$15:$AE$21</c:f>
              <c:numCache>
                <c:formatCode>0.00</c:formatCode>
                <c:ptCount val="7"/>
                <c:pt idx="0">
                  <c:v>65.853658536585371</c:v>
                </c:pt>
                <c:pt idx="1">
                  <c:v>37.086092715231786</c:v>
                </c:pt>
                <c:pt idx="2">
                  <c:v>46.007604562737647</c:v>
                </c:pt>
                <c:pt idx="3">
                  <c:v>64.784053156146172</c:v>
                </c:pt>
                <c:pt idx="4">
                  <c:v>52.020202020202028</c:v>
                </c:pt>
                <c:pt idx="5">
                  <c:v>75.463467829880031</c:v>
                </c:pt>
                <c:pt idx="6">
                  <c:v>79.819277108433738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D8-4738-8260-D930A2F9B01A}"/>
            </c:ext>
          </c:extLst>
        </c:ser>
        <c:ser>
          <c:idx val="2"/>
          <c:order val="2"/>
          <c:tx>
            <c:strRef>
              <c:f>MAY210717_7_no_aggr!$J$4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3.0418250950570345</c:v>
                </c:pt>
                <c:pt idx="3">
                  <c:v>4.3189368770764123</c:v>
                </c:pt>
                <c:pt idx="4">
                  <c:v>4.0404040404040398</c:v>
                </c:pt>
                <c:pt idx="5">
                  <c:v>4.6892039258451463</c:v>
                </c:pt>
                <c:pt idx="6">
                  <c:v>4.216867469879519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D8-4738-8260-D930A2F9B01A}"/>
            </c:ext>
          </c:extLst>
        </c:ser>
        <c:ser>
          <c:idx val="3"/>
          <c:order val="3"/>
          <c:tx>
            <c:strRef>
              <c:f>MAY210717_7_no_aggr!$K$4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5.7034220532319404</c:v>
                </c:pt>
                <c:pt idx="3">
                  <c:v>2.9900332225913626</c:v>
                </c:pt>
                <c:pt idx="4">
                  <c:v>6.565656565656564</c:v>
                </c:pt>
                <c:pt idx="5">
                  <c:v>4.7982551799345687</c:v>
                </c:pt>
                <c:pt idx="6">
                  <c:v>2.1084337349397595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AD8-4738-8260-D930A2F9B01A}"/>
            </c:ext>
          </c:extLst>
        </c:ser>
        <c:ser>
          <c:idx val="4"/>
          <c:order val="4"/>
          <c:tx>
            <c:strRef>
              <c:f>MAY210717_7_no_aggr!$L$4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28.476821192052977</c:v>
                </c:pt>
                <c:pt idx="2">
                  <c:v>12.547528517110266</c:v>
                </c:pt>
                <c:pt idx="3">
                  <c:v>3.9867109634551499</c:v>
                </c:pt>
                <c:pt idx="4">
                  <c:v>11.616161616161612</c:v>
                </c:pt>
                <c:pt idx="5">
                  <c:v>4.2529989094874585</c:v>
                </c:pt>
                <c:pt idx="6">
                  <c:v>5.7228915662650603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AD8-4738-8260-D930A2F9B01A}"/>
            </c:ext>
          </c:extLst>
        </c:ser>
        <c:ser>
          <c:idx val="6"/>
          <c:order val="5"/>
          <c:tx>
            <c:strRef>
              <c:f>MAY210717_7_no_aggr!$N$4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AD8-4738-8260-D930A2F9B01A}"/>
            </c:ext>
          </c:extLst>
        </c:ser>
        <c:ser>
          <c:idx val="7"/>
          <c:order val="6"/>
          <c:tx>
            <c:strRef>
              <c:f>MAY210717_7_no_aggr!$O$4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MAY210717_7_no_aggr!$AC$15:$AC$21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MAY210717_7_no_aggr!$AK$15:$AK$21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0.30120481927710846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AD8-4738-8260-D930A2F9B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50-45AC-87FF-A07C26E1E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BF-4AAA-AF3E-3D73267C3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93-4A4A-985D-621B6806153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93-4A4A-985D-621B6806153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93-4A4A-985D-621B6806153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93-4A4A-985D-621B6806153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93-4A4A-985D-621B6806153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B93-4A4A-985D-621B6806153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93-4A4A-985D-621B6806153D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B93-4A4A-985D-621B68061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BC-4C8F-8C59-24B0C8FDE417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BC-4C8F-8C59-24B0C8FDE417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BC-4C8F-8C59-24B0C8FDE417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BC-4C8F-8C59-24B0C8FDE417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BC-4C8F-8C59-24B0C8FDE417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3BC-4C8F-8C59-24B0C8FDE417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BC-4C8F-8C59-24B0C8FDE417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3BC-4C8F-8C59-24B0C8FDE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47-4375-8178-584CD8CFF0EA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MAY190403_2!$AE$7:$AE$33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47-4375-8178-584CD8CFF0EA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MAY190403_2!$AF$7:$AF$33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47-4375-8178-584CD8CFF0EA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MAY190403_2!$AG$7:$AG$33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B47-4375-8178-584CD8CFF0EA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MAY190403_2!$AH$7:$AH$33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B47-4375-8178-584CD8CFF0EA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MAY190403_2!$AJ$7:$AJ$33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B47-4375-8178-584CD8CFF0EA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MAY190403_2!$AK$7:$AK$33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B47-4375-8178-584CD8CFF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C-45EE-92B8-5BF810DDF8A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C-45EE-92B8-5BF810DDF8A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0C-45EE-92B8-5BF810DDF8A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0C-45EE-92B8-5BF810DDF8A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0C-45EE-92B8-5BF810DDF8A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F0C-45EE-92B8-5BF810DDF8A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F0C-45EE-92B8-5BF810DDF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6" Type="http://schemas.openxmlformats.org/officeDocument/2006/relationships/chart" Target="../charts/chart16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6" Type="http://schemas.openxmlformats.org/officeDocument/2006/relationships/chart" Target="../charts/chart40.xml"/><Relationship Id="rId5" Type="http://schemas.openxmlformats.org/officeDocument/2006/relationships/chart" Target="../charts/chart39.xml"/><Relationship Id="rId4" Type="http://schemas.openxmlformats.org/officeDocument/2006/relationships/chart" Target="../charts/chart38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Relationship Id="rId6" Type="http://schemas.openxmlformats.org/officeDocument/2006/relationships/chart" Target="../charts/chart52.xml"/><Relationship Id="rId5" Type="http://schemas.openxmlformats.org/officeDocument/2006/relationships/chart" Target="../charts/chart51.xml"/><Relationship Id="rId4" Type="http://schemas.openxmlformats.org/officeDocument/2006/relationships/chart" Target="../charts/chart5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1.xml"/><Relationship Id="rId2" Type="http://schemas.openxmlformats.org/officeDocument/2006/relationships/chart" Target="../charts/chart60.xml"/><Relationship Id="rId1" Type="http://schemas.openxmlformats.org/officeDocument/2006/relationships/chart" Target="../charts/chart59.xml"/><Relationship Id="rId6" Type="http://schemas.openxmlformats.org/officeDocument/2006/relationships/chart" Target="../charts/chart64.xml"/><Relationship Id="rId5" Type="http://schemas.openxmlformats.org/officeDocument/2006/relationships/chart" Target="../charts/chart63.xml"/><Relationship Id="rId4" Type="http://schemas.openxmlformats.org/officeDocument/2006/relationships/chart" Target="../charts/chart62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7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5" Type="http://schemas.openxmlformats.org/officeDocument/2006/relationships/chart" Target="../charts/chart69.xml"/><Relationship Id="rId4" Type="http://schemas.openxmlformats.org/officeDocument/2006/relationships/chart" Target="../charts/chart6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52193</xdr:colOff>
      <xdr:row>64</xdr:row>
      <xdr:rowOff>65240</xdr:rowOff>
    </xdr:from>
    <xdr:to>
      <xdr:col>6</xdr:col>
      <xdr:colOff>235735</xdr:colOff>
      <xdr:row>79</xdr:row>
      <xdr:rowOff>68371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469727</xdr:colOff>
      <xdr:row>64</xdr:row>
      <xdr:rowOff>52192</xdr:rowOff>
    </xdr:from>
    <xdr:to>
      <xdr:col>10</xdr:col>
      <xdr:colOff>692412</xdr:colOff>
      <xdr:row>79</xdr:row>
      <xdr:rowOff>55323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39144</xdr:colOff>
      <xdr:row>80</xdr:row>
      <xdr:rowOff>78288</xdr:rowOff>
    </xdr:from>
    <xdr:to>
      <xdr:col>6</xdr:col>
      <xdr:colOff>222686</xdr:colOff>
      <xdr:row>95</xdr:row>
      <xdr:rowOff>81419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469727</xdr:colOff>
      <xdr:row>80</xdr:row>
      <xdr:rowOff>78288</xdr:rowOff>
    </xdr:from>
    <xdr:to>
      <xdr:col>10</xdr:col>
      <xdr:colOff>692412</xdr:colOff>
      <xdr:row>95</xdr:row>
      <xdr:rowOff>81419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1020007</xdr:colOff>
      <xdr:row>36</xdr:row>
      <xdr:rowOff>1</xdr:rowOff>
    </xdr:from>
    <xdr:to>
      <xdr:col>15</xdr:col>
      <xdr:colOff>42544</xdr:colOff>
      <xdr:row>55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"/>
  <sheetViews>
    <sheetView zoomScale="73" zoomScaleNormal="90" workbookViewId="0">
      <selection activeCell="C3" sqref="C3:E3"/>
    </sheetView>
  </sheetViews>
  <sheetFormatPr baseColWidth="10" defaultColWidth="10.81640625" defaultRowHeight="14.5" x14ac:dyDescent="0.35"/>
  <cols>
    <col min="1" max="1" width="24.81640625" style="113" customWidth="1"/>
    <col min="2" max="2" width="1.453125" style="113" customWidth="1"/>
    <col min="3" max="3" width="14.81640625" style="113" bestFit="1" customWidth="1"/>
    <col min="4" max="12" width="15.54296875" style="113" bestFit="1" customWidth="1"/>
    <col min="13" max="13" width="19.1796875" style="113" bestFit="1" customWidth="1"/>
    <col min="14" max="15" width="15.54296875" style="113" bestFit="1" customWidth="1"/>
    <col min="16" max="18" width="14.81640625" style="113" bestFit="1" customWidth="1"/>
    <col min="19" max="20" width="14.453125" style="113" bestFit="1" customWidth="1"/>
    <col min="21" max="16384" width="10.81640625" style="113"/>
  </cols>
  <sheetData>
    <row r="1" spans="1:20" ht="28.5" x14ac:dyDescent="0.65">
      <c r="A1" s="112" t="s">
        <v>27</v>
      </c>
    </row>
    <row r="3" spans="1:20" x14ac:dyDescent="0.35">
      <c r="A3" s="114" t="s">
        <v>26</v>
      </c>
      <c r="B3" s="115"/>
      <c r="C3" s="118" t="str">
        <f ca="1">MAY210717_5!$D2</f>
        <v>MAY210717_5</v>
      </c>
      <c r="D3" s="118" t="str">
        <f ca="1">MAY210717_6!$D2</f>
        <v>MAY210717_6</v>
      </c>
      <c r="E3" s="118" t="str">
        <f ca="1">MAY210717_7!$D2</f>
        <v>MAY210717_7</v>
      </c>
      <c r="F3" s="118"/>
      <c r="G3" s="118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</row>
    <row r="4" spans="1:20" ht="3" customHeight="1" x14ac:dyDescent="0.35">
      <c r="B4" s="119"/>
    </row>
    <row r="5" spans="1:20" ht="7.5" customHeight="1" x14ac:dyDescent="0.35">
      <c r="B5" s="119"/>
    </row>
    <row r="6" spans="1:20" x14ac:dyDescent="0.35">
      <c r="A6" s="126" t="s">
        <v>92</v>
      </c>
      <c r="B6" s="116"/>
      <c r="C6" s="116" t="s">
        <v>102</v>
      </c>
      <c r="D6" s="116" t="s">
        <v>103</v>
      </c>
      <c r="E6" s="116" t="s">
        <v>104</v>
      </c>
      <c r="F6" s="116"/>
      <c r="G6" s="116"/>
    </row>
    <row r="7" spans="1:20" ht="8.5" customHeight="1" x14ac:dyDescent="0.35">
      <c r="D7" s="128"/>
      <c r="E7" s="128"/>
      <c r="F7" s="128"/>
    </row>
    <row r="8" spans="1:20" x14ac:dyDescent="0.35">
      <c r="A8" s="114" t="s">
        <v>25</v>
      </c>
      <c r="B8" s="117"/>
      <c r="C8" s="118">
        <f ca="1">IF(C46&gt;0,INDIRECT(C$6&amp;"!"&amp;ADDRESS(69,3)),INDIRECT(C$3&amp;"!"&amp;ADDRESS(69,3)))</f>
        <v>-2.9807488693756277</v>
      </c>
      <c r="D8" s="118">
        <f ca="1">IF(D46&gt;0,INDIRECT(D$6&amp;"!"&amp;ADDRESS(69,3)),INDIRECT(D$3&amp;"!"&amp;ADDRESS(69,3)))</f>
        <v>-2.8161475940112561</v>
      </c>
      <c r="E8" s="118">
        <f ca="1">IF(E46&gt;0,INDIRECT(E$6&amp;"!"&amp;ADDRESS(69,3)),INDIRECT(E$3&amp;"!"&amp;ADDRESS(69,3)))</f>
        <v>-3.9305716758631442</v>
      </c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</row>
    <row r="9" spans="1:20" x14ac:dyDescent="0.35">
      <c r="A9" s="114" t="s">
        <v>24</v>
      </c>
      <c r="B9" s="117"/>
      <c r="C9" s="118">
        <f ca="1">IF(C46&gt;0,INDIRECT(C$6&amp;"!"&amp;ADDRESS(70,3)),INDIRECT(C$3&amp;"!"&amp;ADDRESS(70,3)))</f>
        <v>-2.1803889851816032</v>
      </c>
      <c r="D9" s="118">
        <f t="shared" ref="D9:E9" ca="1" si="0">IF(D46&gt;0,INDIRECT(D$6&amp;"!"&amp;ADDRESS(70,3)),INDIRECT(D$3&amp;"!"&amp;ADDRESS(70,3)))</f>
        <v>-2.0445577076457186</v>
      </c>
      <c r="E9" s="118">
        <f t="shared" ca="1" si="0"/>
        <v>-3.5484844965177134</v>
      </c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</row>
    <row r="10" spans="1:20" x14ac:dyDescent="0.35">
      <c r="A10" s="114" t="s">
        <v>23</v>
      </c>
      <c r="B10" s="117"/>
      <c r="C10" s="118">
        <f ca="1">IF(C46&gt;0,INDIRECT(C$6&amp;"!"&amp;ADDRESS(71,3)),INDIRECT(C$3&amp;"!"&amp;ADDRESS(71,3)))</f>
        <v>-1.5839408170116325</v>
      </c>
      <c r="D10" s="118">
        <f t="shared" ref="D10:E10" ca="1" si="1">IF(D46&gt;0,INDIRECT(D$6&amp;"!"&amp;ADDRESS(71,3)),INDIRECT(D$3&amp;"!"&amp;ADDRESS(71,3)))</f>
        <v>-1.0784480709890205</v>
      </c>
      <c r="E10" s="118">
        <f t="shared" ca="1" si="1"/>
        <v>-3.1348462785526099</v>
      </c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</row>
    <row r="11" spans="1:20" x14ac:dyDescent="0.35">
      <c r="A11" s="114" t="s">
        <v>22</v>
      </c>
      <c r="B11" s="117"/>
      <c r="C11" s="118">
        <f ca="1">IF(C46&gt;0,INDIRECT(C$6&amp;"!"&amp;ADDRESS(72,3)),INDIRECT(C$3&amp;"!"&amp;ADDRESS(72,3)))</f>
        <v>0.21823080867144729</v>
      </c>
      <c r="D11" s="118">
        <f t="shared" ref="D11:E11" ca="1" si="2">IF(D46&gt;0,INDIRECT(D$6&amp;"!"&amp;ADDRESS(72,3)),INDIRECT(D$3&amp;"!"&amp;ADDRESS(72,3)))</f>
        <v>0.82202950671587283</v>
      </c>
      <c r="E11" s="118">
        <f t="shared" ca="1" si="2"/>
        <v>-0.43183908530917336</v>
      </c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</row>
    <row r="12" spans="1:20" x14ac:dyDescent="0.35">
      <c r="A12" s="114" t="s">
        <v>21</v>
      </c>
      <c r="B12" s="117"/>
      <c r="C12" s="118">
        <f ca="1">IF(C46&gt;0,INDIRECT(C$6&amp;"!"&amp;ADDRESS(73,3)),INDIRECT(C$3&amp;"!"&amp;ADDRESS(73,3)))</f>
        <v>3.8400517138459582</v>
      </c>
      <c r="D12" s="118">
        <f t="shared" ref="D12:E12" ca="1" si="3">IF(D46&gt;0,INDIRECT(D$6&amp;"!"&amp;ADDRESS(73,3)),INDIRECT(D$3&amp;"!"&amp;ADDRESS(73,3)))</f>
        <v>3.3482729276437926</v>
      </c>
      <c r="E12" s="118">
        <f t="shared" ca="1" si="3"/>
        <v>2.2557824546765328</v>
      </c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</row>
    <row r="13" spans="1:20" x14ac:dyDescent="0.35">
      <c r="A13" s="127" t="s">
        <v>20</v>
      </c>
      <c r="B13" s="118"/>
      <c r="C13" s="118">
        <f ca="1">IF(C46&gt;0,INDIRECT(C$6&amp;"!"&amp;ADDRESS(74,3)),INDIRECT(C$3&amp;"!"&amp;ADDRESS(74,3)))</f>
        <v>4.1545471968353658</v>
      </c>
      <c r="D13" s="118">
        <f t="shared" ref="D13:E13" ca="1" si="4">IF(D46&gt;0,INDIRECT(D$6&amp;"!"&amp;ADDRESS(74,3)),INDIRECT(D$3&amp;"!"&amp;ADDRESS(74,3)))</f>
        <v>4.0904862497380563</v>
      </c>
      <c r="E13" s="118">
        <f t="shared" ca="1" si="4"/>
        <v>3.5953391954131688</v>
      </c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</row>
    <row r="14" spans="1:20" x14ac:dyDescent="0.35">
      <c r="A14" s="127" t="s">
        <v>19</v>
      </c>
      <c r="B14" s="118"/>
      <c r="C14" s="118">
        <f ca="1">IF(C46&gt;0,INDIRECT(C$6&amp;"!"&amp;ADDRESS(75,3)),INDIRECT(C$3&amp;"!"&amp;ADDRESS(75,3)))</f>
        <v>4.3920459990110521</v>
      </c>
      <c r="D14" s="118">
        <f t="shared" ref="D14:E14" ca="1" si="5">IF(D46&gt;0,INDIRECT(D$6&amp;"!"&amp;ADDRESS(75,3)),INDIRECT(D$3&amp;"!"&amp;ADDRESS(75,3)))</f>
        <v>4.3720269530431422</v>
      </c>
      <c r="E14" s="118">
        <f t="shared" ca="1" si="5"/>
        <v>4.2608256473735446</v>
      </c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</row>
    <row r="15" spans="1:20" ht="8.5" customHeight="1" x14ac:dyDescent="0.35">
      <c r="A15" s="127"/>
      <c r="B15" s="119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9"/>
      <c r="N15" s="118"/>
      <c r="O15" s="118"/>
      <c r="P15" s="118"/>
      <c r="Q15" s="118"/>
      <c r="R15" s="118"/>
      <c r="S15" s="118"/>
      <c r="T15" s="118"/>
    </row>
    <row r="16" spans="1:20" x14ac:dyDescent="0.35">
      <c r="A16" s="127" t="s">
        <v>18</v>
      </c>
      <c r="B16" s="118"/>
      <c r="C16" s="118">
        <f ca="1">IF(C46&gt;0,INDIRECT(C$6&amp;"!"&amp;ADDRESS(85,4)),INDIRECT(C$3&amp;"!"&amp;ADDRESS(85,4)))</f>
        <v>0.73079634010840333</v>
      </c>
      <c r="D16" s="118">
        <f t="shared" ref="D16:E16" ca="1" si="6">IF(D46&gt;0,INDIRECT(D$6&amp;"!"&amp;ADDRESS(85,4)),INDIRECT(D$3&amp;"!"&amp;ADDRESS(85,4)))</f>
        <v>0.95598601626940349</v>
      </c>
      <c r="E16" s="118">
        <f t="shared" ca="1" si="6"/>
        <v>-0.12832812880457264</v>
      </c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9"/>
      <c r="T16" s="118"/>
    </row>
    <row r="17" spans="1:20" x14ac:dyDescent="0.35">
      <c r="A17" s="127" t="s">
        <v>17</v>
      </c>
      <c r="B17" s="118"/>
      <c r="C17" s="118">
        <f ca="1">IF(C46&gt;0,INDIRECT(C$6&amp;"!"&amp;ADDRESS(86,4)),INDIRECT(C$3&amp;"!"&amp;ADDRESS(86,4)))</f>
        <v>0.21823080867144729</v>
      </c>
      <c r="D17" s="118">
        <f t="shared" ref="D17:E17" ca="1" si="7">IF(D46&gt;0,INDIRECT(D$6&amp;"!"&amp;ADDRESS(86,4)),INDIRECT(D$3&amp;"!"&amp;ADDRESS(86,4)))</f>
        <v>0.82202950671587283</v>
      </c>
      <c r="E17" s="118">
        <f t="shared" ca="1" si="7"/>
        <v>-0.43183908530917336</v>
      </c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9"/>
      <c r="T17" s="118"/>
    </row>
    <row r="18" spans="1:20" x14ac:dyDescent="0.35">
      <c r="A18" s="127" t="s">
        <v>16</v>
      </c>
      <c r="B18" s="118"/>
      <c r="C18" s="118">
        <f ca="1">IF(C46&gt;0,INDIRECT(C$6&amp;"!"&amp;ADDRESS(87,4)),INDIRECT(C$3&amp;"!"&amp;ADDRESS(87,4)))</f>
        <v>3.1674680910084847</v>
      </c>
      <c r="D18" s="118">
        <f t="shared" ref="D18:E18" ca="1" si="8">IF(D46&gt;0,INDIRECT(D$6&amp;"!"&amp;ADDRESS(87,4)),INDIRECT(D$3&amp;"!"&amp;ADDRESS(87,4)))</f>
        <v>3.0675219786918877</v>
      </c>
      <c r="E18" s="118">
        <f t="shared" ca="1" si="8"/>
        <v>3.5719118459654409</v>
      </c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9"/>
      <c r="T18" s="118"/>
    </row>
    <row r="19" spans="1:20" x14ac:dyDescent="0.35">
      <c r="A19" s="127" t="s">
        <v>15</v>
      </c>
      <c r="B19" s="118"/>
      <c r="C19" s="118">
        <f ca="1">IF(C46&gt;0,INDIRECT(C$6&amp;"!"&amp;ADDRESS(88,4)),INDIRECT(C$3&amp;"!"&amp;ADDRESS(88,4)))</f>
        <v>0.55436309144419782</v>
      </c>
      <c r="D19" s="118">
        <f t="shared" ref="D19:E19" ca="1" si="9">IF(D46&gt;0,INDIRECT(D$6&amp;"!"&amp;ADDRESS(88,4)),INDIRECT(D$3&amp;"!"&amp;ADDRESS(88,4)))</f>
        <v>0.39898623184384924</v>
      </c>
      <c r="E19" s="118">
        <f t="shared" ca="1" si="9"/>
        <v>0.13401612493469703</v>
      </c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9"/>
      <c r="T19" s="118"/>
    </row>
    <row r="20" spans="1:20" ht="29" x14ac:dyDescent="0.35">
      <c r="A20" s="120" t="s">
        <v>14</v>
      </c>
      <c r="B20" s="117"/>
      <c r="C20" s="118">
        <f ca="1">IF(C46&gt;0,INDIRECT(C$6&amp;"!"&amp;ADDRESS(89,4)),INDIRECT(C$3&amp;"!"&amp;ADDRESS(89,4)))</f>
        <v>2.7008241770779815</v>
      </c>
      <c r="D20" s="118">
        <f t="shared" ref="D20:E20" ca="1" si="10">IF(D46&gt;0,INDIRECT(D$6&amp;"!"&amp;ADDRESS(89,4)),INDIRECT(D$3&amp;"!"&amp;ADDRESS(89,4)))</f>
        <v>2.6228783449602466</v>
      </c>
      <c r="E20" s="118">
        <f t="shared" ca="1" si="10"/>
        <v>3.027076729533734</v>
      </c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9"/>
      <c r="T20" s="118"/>
    </row>
    <row r="21" spans="1:20" x14ac:dyDescent="0.35">
      <c r="A21" s="121" t="s">
        <v>13</v>
      </c>
      <c r="B21" s="117"/>
      <c r="C21" s="118">
        <f ca="1">IF(C46&gt;0,INDIRECT(C$6&amp;"!"&amp;ADDRESS(90,4)),INDIRECT(C$3&amp;"!"&amp;ADDRESS(90,4)))</f>
        <v>0.18747669422831481</v>
      </c>
      <c r="D21" s="118">
        <f t="shared" ref="D21:E21" ca="1" si="11">IF(D46&gt;0,INDIRECT(D$6&amp;"!"&amp;ADDRESS(90,4)),INDIRECT(D$3&amp;"!"&amp;ADDRESS(90,4)))</f>
        <v>2.6618306972830429E-2</v>
      </c>
      <c r="E21" s="118">
        <f t="shared" ca="1" si="11"/>
        <v>0.13660587364567528</v>
      </c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9"/>
      <c r="T21" s="118"/>
    </row>
    <row r="22" spans="1:20" x14ac:dyDescent="0.35">
      <c r="A22" s="114" t="s">
        <v>12</v>
      </c>
      <c r="B22" s="117"/>
      <c r="C22" s="118">
        <f ca="1">IF(C46&gt;0,INDIRECT(C$6&amp;"!"&amp;ADDRESS(91,4)),INDIRECT(C$3&amp;"!"&amp;ADDRESS(91,4)))</f>
        <v>0.53914190512676685</v>
      </c>
      <c r="D22" s="118">
        <f t="shared" ref="D22:E22" ca="1" si="12">IF(D46&gt;0,INDIRECT(D$6&amp;"!"&amp;ADDRESS(91,4)),INDIRECT(D$3&amp;"!"&amp;ADDRESS(91,4)))</f>
        <v>0.63943213086053741</v>
      </c>
      <c r="E22" s="118">
        <f t="shared" ca="1" si="12"/>
        <v>0.57217624399354849</v>
      </c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9"/>
      <c r="T22" s="118"/>
    </row>
    <row r="23" spans="1:20" x14ac:dyDescent="0.35">
      <c r="A23" s="114" t="s">
        <v>11</v>
      </c>
      <c r="B23" s="117"/>
      <c r="C23" s="118">
        <f ca="1">IF(C46&gt;0,INDIRECT(C$6&amp;"!"&amp;ADDRESS(92,4)),INDIRECT(C$3&amp;"!"&amp;ADDRESS(92,4)))</f>
        <v>0.73079634010840333</v>
      </c>
      <c r="D23" s="118">
        <f t="shared" ref="D23:E23" ca="1" si="13">IF(D46&gt;0,INDIRECT(D$6&amp;"!"&amp;ADDRESS(92,4)),INDIRECT(D$3&amp;"!"&amp;ADDRESS(92,4)))</f>
        <v>0.95598601626940349</v>
      </c>
      <c r="E23" s="118">
        <f t="shared" ca="1" si="13"/>
        <v>-0.12832812880457256</v>
      </c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</row>
    <row r="24" spans="1:20" x14ac:dyDescent="0.35">
      <c r="A24" s="114" t="s">
        <v>10</v>
      </c>
      <c r="B24" s="117"/>
      <c r="C24" s="118">
        <f ca="1">IF(C46&gt;0,INDIRECT(C$6&amp;"!"&amp;ADDRESS(94,4)),INDIRECT(C$3&amp;"!"&amp;ADDRESS(94,4)))</f>
        <v>0.9870791058268813</v>
      </c>
      <c r="D24" s="118">
        <f t="shared" ref="D24:E24" ca="1" si="14">IF(D46&gt;0,INDIRECT(D$6&amp;"!"&amp;ADDRESS(94,4)),INDIRECT(D$3&amp;"!"&amp;ADDRESS(94,4)))</f>
        <v>1.0229642710461688</v>
      </c>
      <c r="E24" s="118">
        <f t="shared" ca="1" si="14"/>
        <v>2.342734944772773E-2</v>
      </c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9"/>
      <c r="T24" s="118"/>
    </row>
    <row r="25" spans="1:20" x14ac:dyDescent="0.35">
      <c r="A25" s="114" t="s">
        <v>9</v>
      </c>
      <c r="B25" s="117"/>
      <c r="C25" s="118">
        <f ca="1">IF(C46&gt;0,INDIRECT(C$6&amp;"!"&amp;ADDRESS(95,4)),INDIRECT(C$3&amp;"!"&amp;ADDRESS(95,4)))</f>
        <v>47.582996768978795</v>
      </c>
      <c r="D25" s="118">
        <f t="shared" ref="D25:E25" ca="1" si="15">IF(D46&gt;0,INDIRECT(D$6&amp;"!"&amp;ADDRESS(95,4)),INDIRECT(D$3&amp;"!"&amp;ADDRESS(95,4)))</f>
        <v>54.485146203601637</v>
      </c>
      <c r="E25" s="118">
        <f t="shared" ca="1" si="15"/>
        <v>38.523318162503202</v>
      </c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9"/>
      <c r="T25" s="118"/>
    </row>
    <row r="26" spans="1:20" x14ac:dyDescent="0.35">
      <c r="A26" s="114" t="s">
        <v>8</v>
      </c>
      <c r="B26" s="117"/>
      <c r="C26" s="118">
        <f ca="1">IF(C46&gt;0,INDIRECT(C$6&amp;"!"&amp;ADDRESS(96,4)),INDIRECT(C$3&amp;"!"&amp;ADDRESS(96,4)))</f>
        <v>23.158011533596962</v>
      </c>
      <c r="D26" s="118">
        <f t="shared" ref="D26:E26" ca="1" si="16">IF(D46&gt;0,INDIRECT(D$6&amp;"!"&amp;ADDRESS(96,4)),INDIRECT(D$3&amp;"!"&amp;ADDRESS(96,4)))</f>
        <v>19.535363574197035</v>
      </c>
      <c r="E26" s="118">
        <f t="shared" ca="1" si="16"/>
        <v>10.452625762531156</v>
      </c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9"/>
      <c r="T26" s="118"/>
    </row>
    <row r="27" spans="1:20" x14ac:dyDescent="0.35">
      <c r="A27" s="114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9"/>
      <c r="N27" s="118"/>
      <c r="O27" s="118"/>
      <c r="P27" s="118"/>
      <c r="Q27" s="118"/>
      <c r="R27" s="118"/>
      <c r="S27" s="118"/>
      <c r="T27" s="119"/>
    </row>
    <row r="28" spans="1:20" x14ac:dyDescent="0.35">
      <c r="A28" s="122" t="s">
        <v>40</v>
      </c>
      <c r="B28" s="118"/>
      <c r="C28" s="118">
        <f ca="1">IF(C46&gt;0,INDIRECT(C$6&amp;"!"&amp;ADDRESS(77,2)),INDIRECT(C$3&amp;"!"&amp;ADDRESS(77,2)))</f>
        <v>0</v>
      </c>
      <c r="D28" s="118">
        <f t="shared" ref="D28:E28" ca="1" si="17">IF(D46&gt;0,INDIRECT(D$6&amp;"!"&amp;ADDRESS(77,2)),INDIRECT(D$3&amp;"!"&amp;ADDRESS(77,2)))</f>
        <v>0</v>
      </c>
      <c r="E28" s="118">
        <f t="shared" ca="1" si="17"/>
        <v>0</v>
      </c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9"/>
      <c r="T28" s="118"/>
    </row>
    <row r="29" spans="1:20" x14ac:dyDescent="0.35">
      <c r="A29" s="124" t="s">
        <v>39</v>
      </c>
      <c r="B29" s="119"/>
      <c r="C29" s="118">
        <f ca="1">IF(C46&gt;0,INDIRECT(C$6&amp;"!"&amp;ADDRESS(78,2)),INDIRECT(C$3&amp;"!"&amp;ADDRESS(78,2)))</f>
        <v>0.35567056810030712</v>
      </c>
      <c r="D29" s="118">
        <f t="shared" ref="D29:E29" ca="1" si="18">IF(D46&gt;0,INDIRECT(D$6&amp;"!"&amp;ADDRESS(78,2)),INDIRECT(D$3&amp;"!"&amp;ADDRESS(78,2)))</f>
        <v>0.25675958801789167</v>
      </c>
      <c r="E29" s="118">
        <f t="shared" ca="1" si="18"/>
        <v>0.46210673467932334</v>
      </c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9"/>
      <c r="T29" s="118"/>
    </row>
    <row r="30" spans="1:20" x14ac:dyDescent="0.35">
      <c r="A30" s="124" t="s">
        <v>38</v>
      </c>
      <c r="C30" s="118">
        <f ca="1">IF(C46&gt;0,INDIRECT(C$6&amp;"!"&amp;ADDRESS(79,2)),INDIRECT(C$3&amp;"!"&amp;ADDRESS(79,2)))</f>
        <v>0.64432943189969283</v>
      </c>
      <c r="D30" s="118">
        <f t="shared" ref="D30:E30" ca="1" si="19">IF(D46&gt;0,INDIRECT(D$6&amp;"!"&amp;ADDRESS(79,2)),INDIRECT(D$3&amp;"!"&amp;ADDRESS(79,2)))</f>
        <v>0.74324041198210833</v>
      </c>
      <c r="E30" s="118">
        <f t="shared" ca="1" si="19"/>
        <v>0.53789326532067638</v>
      </c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9"/>
      <c r="T30" s="118"/>
    </row>
    <row r="31" spans="1:20" x14ac:dyDescent="0.35">
      <c r="A31" s="114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9"/>
      <c r="T31" s="118"/>
    </row>
    <row r="32" spans="1:20" x14ac:dyDescent="0.35">
      <c r="A32" s="123" t="s">
        <v>7</v>
      </c>
      <c r="C32" s="118">
        <f ca="1">IF(C46&gt;0,INDIRECT(C$6&amp;"!"&amp;ADDRESS(77,5)),INDIRECT(C$3&amp;"!"&amp;ADDRESS(77,5)))</f>
        <v>35.567056810030714</v>
      </c>
      <c r="D32" s="118">
        <f t="shared" ref="D32:E32" ca="1" si="20">IF(D46&gt;0,INDIRECT(D$6&amp;"!"&amp;ADDRESS(77,5)),INDIRECT(D$3&amp;"!"&amp;ADDRESS(77,5)))</f>
        <v>25.675958801789164</v>
      </c>
      <c r="E32" s="118">
        <f t="shared" ca="1" si="20"/>
        <v>46.210673467932331</v>
      </c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9"/>
      <c r="T32" s="118"/>
    </row>
    <row r="33" spans="1:20" x14ac:dyDescent="0.35">
      <c r="A33" s="123" t="s">
        <v>6</v>
      </c>
      <c r="C33" s="118">
        <f ca="1">IF(C46&gt;0,INDIRECT(C$6&amp;"!"&amp;ADDRESS(78,5)),INDIRECT(C$3&amp;"!"&amp;ADDRESS(78,5)))</f>
        <v>41.274931656372317</v>
      </c>
      <c r="D33" s="118">
        <f t="shared" ref="D33:E33" ca="1" si="21">IF(D46&gt;0,INDIRECT(D$6&amp;"!"&amp;ADDRESS(78,5)),INDIRECT(D$3&amp;"!"&amp;ADDRESS(78,5)))</f>
        <v>54.788677624013786</v>
      </c>
      <c r="E33" s="118">
        <f t="shared" ca="1" si="21"/>
        <v>43.336700769536506</v>
      </c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9"/>
      <c r="T33" s="118"/>
    </row>
    <row r="34" spans="1:20" x14ac:dyDescent="0.35">
      <c r="A34" s="123" t="s">
        <v>5</v>
      </c>
      <c r="C34" s="118">
        <f ca="1">IF(C46&gt;0,INDIRECT(C$6&amp;"!"&amp;ADDRESS(79,5)),INDIRECT(C$3&amp;"!"&amp;ADDRESS(79,5)))</f>
        <v>23.158011533596966</v>
      </c>
      <c r="D34" s="118">
        <f t="shared" ref="D34:E34" ca="1" si="22">IF(D46&gt;0,INDIRECT(D$6&amp;"!"&amp;ADDRESS(79,5)),INDIRECT(D$3&amp;"!"&amp;ADDRESS(79,5)))</f>
        <v>19.535363574197046</v>
      </c>
      <c r="E34" s="118">
        <f t="shared" ca="1" si="22"/>
        <v>10.452625762531147</v>
      </c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9"/>
      <c r="T34" s="118"/>
    </row>
    <row r="35" spans="1:20" x14ac:dyDescent="0.35">
      <c r="C35" s="118">
        <f ca="1">C34/SUM(C32:C34)</f>
        <v>0.2315801153359697</v>
      </c>
      <c r="D35" s="118">
        <f t="shared" ref="D35:E35" ca="1" si="23">D34/SUM(D32:D34)</f>
        <v>0.19535363574197045</v>
      </c>
      <c r="E35" s="118">
        <f t="shared" ca="1" si="23"/>
        <v>0.10452625762531149</v>
      </c>
      <c r="F35" s="128"/>
      <c r="G35" s="128"/>
    </row>
    <row r="36" spans="1:20" x14ac:dyDescent="0.35">
      <c r="A36" s="126" t="s">
        <v>93</v>
      </c>
      <c r="B36" s="116"/>
      <c r="C36" s="133"/>
      <c r="D36" s="129"/>
      <c r="E36" s="129"/>
      <c r="F36" s="129"/>
      <c r="G36" s="129"/>
    </row>
    <row r="37" spans="1:20" x14ac:dyDescent="0.35">
      <c r="C37" s="118"/>
      <c r="D37" s="128"/>
      <c r="E37" s="128"/>
      <c r="F37" s="128"/>
      <c r="G37" s="128"/>
    </row>
    <row r="38" spans="1:20" x14ac:dyDescent="0.35">
      <c r="A38" s="125" t="s">
        <v>4</v>
      </c>
      <c r="C38" s="118">
        <f ca="1">INDIRECT(C$3&amp;"!"&amp;ADDRESS(81,2))</f>
        <v>57.386095877740502</v>
      </c>
      <c r="D38" s="118">
        <f t="shared" ref="D38:E38" ca="1" si="24">INDIRECT(D$3&amp;"!"&amp;ADDRESS(81,2))</f>
        <v>1.5158225448892126</v>
      </c>
      <c r="E38" s="118">
        <f t="shared" ca="1" si="24"/>
        <v>4.4517237518397446</v>
      </c>
      <c r="F38" s="118"/>
      <c r="G38" s="118"/>
      <c r="H38" s="118"/>
      <c r="I38" s="118"/>
      <c r="J38" s="118"/>
      <c r="K38" s="118"/>
      <c r="L38" s="118"/>
      <c r="M38" s="118"/>
      <c r="N38" s="118"/>
      <c r="O38" s="119"/>
      <c r="P38" s="119"/>
      <c r="Q38" s="118"/>
      <c r="R38" s="118"/>
      <c r="S38" s="119"/>
      <c r="T38" s="118"/>
    </row>
    <row r="39" spans="1:20" x14ac:dyDescent="0.35">
      <c r="A39" s="125" t="s">
        <v>0</v>
      </c>
      <c r="C39" s="118">
        <f ca="1">INDIRECT(C$3&amp;"!"&amp;ADDRESS(82,2))</f>
        <v>8.8211021150567728</v>
      </c>
      <c r="D39" s="118">
        <f t="shared" ref="D39:E39" ca="1" si="25">INDIRECT(D$3&amp;"!"&amp;ADDRESS(82,2))</f>
        <v>5.1805185379969969E-2</v>
      </c>
      <c r="E39" s="118">
        <f t="shared" ca="1" si="25"/>
        <v>1.1530688871380843</v>
      </c>
      <c r="F39" s="118"/>
      <c r="G39" s="118"/>
      <c r="H39" s="118"/>
      <c r="I39" s="118"/>
      <c r="J39" s="118"/>
      <c r="K39" s="118"/>
      <c r="L39" s="118"/>
      <c r="M39" s="118"/>
      <c r="N39" s="118"/>
      <c r="O39" s="119"/>
      <c r="P39" s="119"/>
      <c r="Q39" s="118"/>
      <c r="R39" s="118"/>
      <c r="S39" s="119"/>
      <c r="T39" s="118"/>
    </row>
    <row r="40" spans="1:20" x14ac:dyDescent="0.35">
      <c r="A40" s="125" t="s">
        <v>3</v>
      </c>
      <c r="C40" s="118">
        <f ca="1">INDIRECT(C$3&amp;"!"&amp;ADDRESS(83,2))</f>
        <v>4.1893590280687051E-2</v>
      </c>
      <c r="D40" s="118">
        <f t="shared" ref="D40:E40" ca="1" si="26">INDIRECT(D$3&amp;"!"&amp;ADDRESS(83,2))</f>
        <v>1.4236730601663626E-3</v>
      </c>
      <c r="E40" s="118">
        <f t="shared" ca="1" si="26"/>
        <v>0</v>
      </c>
      <c r="F40" s="118"/>
      <c r="G40" s="118"/>
      <c r="H40" s="118"/>
      <c r="I40" s="118"/>
      <c r="J40" s="118"/>
      <c r="K40" s="118"/>
      <c r="L40" s="118"/>
      <c r="M40" s="118"/>
      <c r="N40" s="118"/>
      <c r="O40" s="119"/>
      <c r="P40" s="119"/>
      <c r="Q40" s="118"/>
      <c r="R40" s="118"/>
      <c r="S40" s="119"/>
      <c r="T40" s="118"/>
    </row>
    <row r="41" spans="1:20" x14ac:dyDescent="0.35"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9"/>
      <c r="P41" s="119"/>
      <c r="Q41" s="118"/>
      <c r="R41" s="118"/>
      <c r="S41" s="119"/>
      <c r="T41" s="118"/>
    </row>
    <row r="42" spans="1:20" x14ac:dyDescent="0.35">
      <c r="A42" s="125" t="s">
        <v>4</v>
      </c>
      <c r="C42" s="118">
        <f ca="1">INDIRECT(C$3&amp;"!"&amp;ADDRESS(81,5))</f>
        <v>57.386095877740502</v>
      </c>
      <c r="D42" s="118">
        <f t="shared" ref="D42:E42" ca="1" si="27">INDIRECT(D$3&amp;"!"&amp;ADDRESS(81,5))</f>
        <v>1.5158225448892126</v>
      </c>
      <c r="E42" s="118">
        <f t="shared" ca="1" si="27"/>
        <v>4.4517237518397446</v>
      </c>
      <c r="F42" s="118"/>
      <c r="G42" s="118"/>
      <c r="H42" s="118"/>
      <c r="I42" s="118"/>
      <c r="J42" s="118"/>
      <c r="K42" s="118"/>
      <c r="L42" s="118"/>
      <c r="M42" s="118"/>
      <c r="N42" s="118"/>
      <c r="O42" s="119"/>
      <c r="P42" s="119"/>
      <c r="Q42" s="118"/>
      <c r="R42" s="118"/>
      <c r="S42" s="119"/>
      <c r="T42" s="118"/>
    </row>
    <row r="43" spans="1:20" x14ac:dyDescent="0.35">
      <c r="A43" s="125" t="s">
        <v>0</v>
      </c>
      <c r="C43" s="118">
        <f ca="1">INDIRECT(C$3&amp;"!"&amp;ADDRESS(82,5))</f>
        <v>8.8211021150567728</v>
      </c>
      <c r="D43" s="118">
        <f t="shared" ref="D43:E43" ca="1" si="28">INDIRECT(D$3&amp;"!"&amp;ADDRESS(82,5))</f>
        <v>5.1805185379969969E-2</v>
      </c>
      <c r="E43" s="118">
        <f t="shared" ca="1" si="28"/>
        <v>1.1530688871380843</v>
      </c>
      <c r="F43" s="118"/>
      <c r="G43" s="118"/>
      <c r="H43" s="118"/>
      <c r="I43" s="118"/>
      <c r="J43" s="118"/>
      <c r="K43" s="118"/>
      <c r="L43" s="118"/>
      <c r="M43" s="118"/>
      <c r="N43" s="118"/>
      <c r="O43" s="119"/>
      <c r="P43" s="119"/>
      <c r="Q43" s="118"/>
      <c r="R43" s="118"/>
      <c r="S43" s="119"/>
      <c r="T43" s="118"/>
    </row>
    <row r="44" spans="1:20" x14ac:dyDescent="0.35">
      <c r="A44" s="125" t="s">
        <v>37</v>
      </c>
      <c r="C44" s="118">
        <f ca="1">INDIRECT(C$3&amp;"!"&amp;ADDRESS(83,5))</f>
        <v>33.750908416922037</v>
      </c>
      <c r="D44" s="118">
        <f t="shared" ref="D44:E44" ca="1" si="29">INDIRECT(D$3&amp;"!"&amp;ADDRESS(83,5))</f>
        <v>98.43094859667066</v>
      </c>
      <c r="E44" s="118">
        <f t="shared" ca="1" si="29"/>
        <v>94.395207361022159</v>
      </c>
      <c r="F44" s="118"/>
      <c r="G44" s="118"/>
      <c r="H44" s="118"/>
      <c r="I44" s="118"/>
      <c r="J44" s="118"/>
      <c r="K44" s="118"/>
      <c r="L44" s="118"/>
      <c r="M44" s="118"/>
      <c r="N44" s="118"/>
      <c r="O44" s="119"/>
      <c r="P44" s="119"/>
      <c r="Q44" s="118"/>
      <c r="R44" s="118"/>
      <c r="S44" s="119"/>
      <c r="T44" s="118"/>
    </row>
    <row r="45" spans="1:20" x14ac:dyDescent="0.35">
      <c r="C45" s="118"/>
      <c r="D45" s="118"/>
      <c r="E45" s="118"/>
    </row>
    <row r="46" spans="1:20" x14ac:dyDescent="0.35">
      <c r="A46" s="113" t="s">
        <v>105</v>
      </c>
      <c r="C46" s="118">
        <f ca="1">(INDIRECT(C$3&amp;"!"&amp;ADDRESS(34,13)))/(INDIRECT(C$3&amp;"!"&amp;ADDRESS(4,2)))</f>
        <v>0.54334117255206893</v>
      </c>
      <c r="D46" s="118">
        <f t="shared" ref="D46:E46" ca="1" si="30">(INDIRECT(D$3&amp;"!"&amp;ADDRESS(34,13)))/(INDIRECT(D$3&amp;"!"&amp;ADDRESS(4,2)))</f>
        <v>0.94781586880951318</v>
      </c>
      <c r="E46" s="118">
        <f t="shared" ca="1" si="30"/>
        <v>0.89204744268060676</v>
      </c>
      <c r="F46" s="118"/>
      <c r="G46" s="118"/>
      <c r="H46" s="118"/>
      <c r="I46" s="118"/>
      <c r="J46" s="118"/>
      <c r="K46" s="118"/>
      <c r="L46" s="118"/>
      <c r="M46" s="118"/>
      <c r="N46" s="118"/>
      <c r="O46" s="119"/>
      <c r="P46" s="119"/>
      <c r="Q46" s="118"/>
      <c r="R46" s="118"/>
      <c r="S46" s="119"/>
      <c r="T46" s="118"/>
    </row>
    <row r="47" spans="1:20" x14ac:dyDescent="0.35">
      <c r="A47" s="114" t="s">
        <v>2</v>
      </c>
      <c r="C47" s="118">
        <f ca="1">INDIRECT(C$3&amp;"!"&amp;ADDRESS(81,8))</f>
        <v>13.809847066854742</v>
      </c>
      <c r="D47" s="118">
        <f t="shared" ref="D47:E47" ca="1" si="31">INDIRECT(D$3&amp;"!"&amp;ADDRESS(81,8))</f>
        <v>78.472244927209161</v>
      </c>
      <c r="E47" s="118">
        <f t="shared" ca="1" si="31"/>
        <v>37.775093448264855</v>
      </c>
      <c r="F47" s="118"/>
      <c r="G47" s="118"/>
      <c r="H47" s="118"/>
      <c r="I47" s="118"/>
      <c r="J47" s="118"/>
      <c r="K47" s="118"/>
      <c r="L47" s="118"/>
      <c r="M47" s="118"/>
      <c r="N47" s="118"/>
      <c r="O47" s="119"/>
      <c r="P47" s="119"/>
      <c r="Q47" s="118"/>
      <c r="R47" s="118"/>
      <c r="S47" s="119"/>
      <c r="T47" s="118"/>
    </row>
    <row r="48" spans="1:20" x14ac:dyDescent="0.35">
      <c r="A48" s="114" t="s">
        <v>1</v>
      </c>
      <c r="C48" s="118">
        <f ca="1">INDIRECT(C$3&amp;"!"&amp;ADDRESS(82,8))</f>
        <v>41.180492965012725</v>
      </c>
      <c r="D48" s="118">
        <f t="shared" ref="D48:E48" ca="1" si="32">INDIRECT(D$3&amp;"!"&amp;ADDRESS(82,8))</f>
        <v>18.135332216076833</v>
      </c>
      <c r="E48" s="118">
        <f t="shared" ca="1" si="32"/>
        <v>41.651997589515673</v>
      </c>
      <c r="F48" s="118"/>
      <c r="G48" s="118"/>
      <c r="H48" s="118"/>
      <c r="I48" s="118"/>
      <c r="J48" s="118"/>
      <c r="K48" s="118"/>
      <c r="L48" s="118"/>
      <c r="M48" s="118"/>
      <c r="N48" s="118"/>
      <c r="O48" s="119"/>
      <c r="P48" s="119"/>
      <c r="Q48" s="118"/>
      <c r="R48" s="118"/>
      <c r="S48" s="119"/>
      <c r="T48" s="118"/>
    </row>
    <row r="49" spans="1:20" ht="14.25" customHeight="1" x14ac:dyDescent="0.35">
      <c r="A49" s="114" t="s">
        <v>0</v>
      </c>
      <c r="C49" s="118">
        <f ca="1">INDIRECT(C$3&amp;"!"&amp;ADDRESS(83,8))</f>
        <v>8.8211021150567728</v>
      </c>
      <c r="D49" s="118">
        <f t="shared" ref="D49:E49" ca="1" si="33">INDIRECT(D$3&amp;"!"&amp;ADDRESS(83,8))</f>
        <v>3.3016882219438584</v>
      </c>
      <c r="E49" s="118">
        <f t="shared" ca="1" si="33"/>
        <v>20.572908962219415</v>
      </c>
      <c r="F49" s="118"/>
      <c r="G49" s="118"/>
      <c r="H49" s="118"/>
      <c r="I49" s="118"/>
      <c r="J49" s="118"/>
      <c r="K49" s="118"/>
      <c r="L49" s="118"/>
      <c r="M49" s="118"/>
      <c r="N49" s="118"/>
      <c r="O49" s="119"/>
      <c r="P49" s="119"/>
      <c r="Q49" s="118"/>
      <c r="R49" s="118"/>
      <c r="S49" s="119"/>
      <c r="T49" s="118"/>
    </row>
    <row r="50" spans="1:20" x14ac:dyDescent="0.35">
      <c r="C50" s="118"/>
    </row>
    <row r="51" spans="1:20" x14ac:dyDescent="0.35">
      <c r="A51" s="113" t="s">
        <v>106</v>
      </c>
      <c r="C51" s="118">
        <f ca="1">100*((INDIRECT(C$3&amp;"!"&amp;ADDRESS(34,11)))/((INDIRECT(C$3&amp;"!"&amp;ADDRESS(34,11)))+(INDIRECT(C$3&amp;"!"&amp;ADDRESS(34,12))+(INDIRECT(C$3&amp;"!"&amp;ADDRESS(34,15))))))</f>
        <v>30.290331455398128</v>
      </c>
      <c r="D51" s="118">
        <f t="shared" ref="D51:E51" ca="1" si="34">100*((INDIRECT(D$3&amp;"!"&amp;ADDRESS(34,11)))/((INDIRECT(D$3&amp;"!"&amp;ADDRESS(34,11)))+(INDIRECT(D$3&amp;"!"&amp;ADDRESS(34,12))+(INDIRECT(D$3&amp;"!"&amp;ADDRESS(34,15))))))</f>
        <v>56.806572638834943</v>
      </c>
      <c r="E51" s="118">
        <f t="shared" ca="1" si="34"/>
        <v>96.300251522395556</v>
      </c>
    </row>
    <row r="52" spans="1:20" x14ac:dyDescent="0.35">
      <c r="A52" s="113" t="s">
        <v>107</v>
      </c>
      <c r="C52" s="118">
        <f ca="1">100*((INDIRECT(C$3&amp;"!"&amp;ADDRESS(34,12)))/((INDIRECT(C$3&amp;"!"&amp;ADDRESS(34,11)))+(INDIRECT(C$3&amp;"!"&amp;ADDRESS(34,12))+(INDIRECT(C$3&amp;"!"&amp;ADDRESS(34,15))))))</f>
        <v>69.320818369989112</v>
      </c>
      <c r="D52" s="118">
        <f t="shared" ref="D52:E52" ca="1" si="35">100*((INDIRECT(D$3&amp;"!"&amp;ADDRESS(34,12)))/((INDIRECT(D$3&amp;"!"&amp;ADDRESS(34,11)))+(INDIRECT(D$3&amp;"!"&amp;ADDRESS(34,12))+(INDIRECT(D$3&amp;"!"&amp;ADDRESS(34,15))))))</f>
        <v>40.518801036485399</v>
      </c>
      <c r="E52" s="118">
        <f t="shared" ca="1" si="35"/>
        <v>3.699748477604456</v>
      </c>
    </row>
    <row r="53" spans="1:20" x14ac:dyDescent="0.35">
      <c r="A53" s="113" t="s">
        <v>108</v>
      </c>
      <c r="C53" s="118">
        <f ca="1">100*((INDIRECT(C$3&amp;"!"&amp;ADDRESS(34,15)))/((INDIRECT(C$3&amp;"!"&amp;ADDRESS(34,11)))+(INDIRECT(C$3&amp;"!"&amp;ADDRESS(34,12))+(INDIRECT(C$3&amp;"!"&amp;ADDRESS(34,15))))))</f>
        <v>0.38885017461276172</v>
      </c>
      <c r="D53" s="118">
        <f t="shared" ref="D53:E53" ca="1" si="36">100*((INDIRECT(D$3&amp;"!"&amp;ADDRESS(34,15)))/((INDIRECT(D$3&amp;"!"&amp;ADDRESS(34,11)))+(INDIRECT(D$3&amp;"!"&amp;ADDRESS(34,12))+(INDIRECT(D$3&amp;"!"&amp;ADDRESS(34,15))))))</f>
        <v>2.6746263246796702</v>
      </c>
      <c r="E53" s="118">
        <f t="shared" ca="1" si="36"/>
        <v>0</v>
      </c>
    </row>
    <row r="54" spans="1:20" x14ac:dyDescent="0.35">
      <c r="C54" s="118"/>
    </row>
    <row r="55" spans="1:20" x14ac:dyDescent="0.35">
      <c r="A55" s="114" t="s">
        <v>94</v>
      </c>
      <c r="C55" s="118" t="str">
        <f ca="1">INDIRECT(C$3&amp;"!"&amp;ADDRESS(98,3))</f>
        <v>Mixed</v>
      </c>
      <c r="D55" s="118" t="str">
        <f t="shared" ref="D55:E55" ca="1" si="37">INDIRECT(D$3&amp;"!"&amp;ADDRESS(98,3))</f>
        <v>Mixed</v>
      </c>
      <c r="E55" s="118" t="str">
        <f t="shared" ca="1" si="37"/>
        <v>Mixed</v>
      </c>
      <c r="F55" s="118"/>
      <c r="G55" s="118"/>
    </row>
    <row r="56" spans="1:20" x14ac:dyDescent="0.35">
      <c r="A56" s="114" t="s">
        <v>95</v>
      </c>
      <c r="C56" s="118" t="str">
        <f ca="1">INDIRECT(C$3&amp;"!"&amp;ADDRESS(99,3))</f>
        <v>Obsidian</v>
      </c>
      <c r="D56" s="118" t="str">
        <f t="shared" ref="D56:E56" ca="1" si="38">INDIRECT(D$3&amp;"!"&amp;ADDRESS(99,3))</f>
        <v>Obsidian</v>
      </c>
      <c r="E56" s="118" t="str">
        <f t="shared" ca="1" si="38"/>
        <v>Obsidian</v>
      </c>
      <c r="F56" s="118"/>
      <c r="G56" s="118"/>
    </row>
    <row r="58" spans="1:20" x14ac:dyDescent="0.35">
      <c r="A58" s="114" t="s">
        <v>96</v>
      </c>
      <c r="C58" s="128">
        <f ca="1">C48/(C48+C47)</f>
        <v>0.74886776370446528</v>
      </c>
      <c r="D58" s="128">
        <f t="shared" ref="D58:E58" ca="1" si="39">D48/(D48+D47)</f>
        <v>0.18772163377184123</v>
      </c>
      <c r="E58" s="128">
        <f t="shared" ca="1" si="39"/>
        <v>0.52440542698086923</v>
      </c>
      <c r="F58" s="128"/>
      <c r="G58" s="128"/>
    </row>
    <row r="59" spans="1:20" x14ac:dyDescent="0.35">
      <c r="A59" s="113" t="s">
        <v>97</v>
      </c>
      <c r="C59" s="128">
        <f ca="1">C42*C58</f>
        <v>42.974597287693562</v>
      </c>
      <c r="D59" s="128">
        <f t="shared" ref="D59:E59" ca="1" si="40">D42*D58</f>
        <v>0.28455268463479316</v>
      </c>
      <c r="E59" s="128">
        <f t="shared" ca="1" si="40"/>
        <v>2.3345080948843981</v>
      </c>
      <c r="F59" s="128"/>
      <c r="G59" s="128"/>
    </row>
    <row r="60" spans="1:20" x14ac:dyDescent="0.35">
      <c r="A60" s="113" t="s">
        <v>84</v>
      </c>
      <c r="C60" s="128">
        <f ca="1">C42*(1-C58)</f>
        <v>14.411498590046939</v>
      </c>
      <c r="D60" s="128">
        <f t="shared" ref="D60:E60" ca="1" si="41">D42*(1-D58)</f>
        <v>1.2312698602544194</v>
      </c>
      <c r="E60" s="128">
        <f t="shared" ca="1" si="41"/>
        <v>2.1172156569553464</v>
      </c>
      <c r="F60" s="128"/>
      <c r="G60" s="128"/>
    </row>
    <row r="61" spans="1:20" x14ac:dyDescent="0.35">
      <c r="A61" s="113" t="s">
        <v>98</v>
      </c>
      <c r="C61" s="128">
        <f ca="1">C39</f>
        <v>8.8211021150567728</v>
      </c>
      <c r="D61" s="128">
        <f t="shared" ref="D61:E61" ca="1" si="42">D39</f>
        <v>5.1805185379969969E-2</v>
      </c>
      <c r="E61" s="128">
        <f t="shared" ca="1" si="42"/>
        <v>1.1530688871380843</v>
      </c>
      <c r="F61" s="128"/>
      <c r="G61" s="128"/>
    </row>
    <row r="62" spans="1:20" x14ac:dyDescent="0.35">
      <c r="A62" s="113" t="s">
        <v>99</v>
      </c>
      <c r="C62" s="128">
        <f ca="1">C44</f>
        <v>33.750908416922037</v>
      </c>
      <c r="D62" s="128">
        <f t="shared" ref="D62:E62" ca="1" si="43">D44</f>
        <v>98.43094859667066</v>
      </c>
      <c r="E62" s="128">
        <f t="shared" ca="1" si="43"/>
        <v>94.395207361022159</v>
      </c>
      <c r="F62" s="128"/>
      <c r="G62" s="128"/>
    </row>
    <row r="63" spans="1:20" x14ac:dyDescent="0.35">
      <c r="A63" s="113" t="s">
        <v>76</v>
      </c>
      <c r="C63" s="128">
        <f ca="1">SUM(C59:C62)</f>
        <v>99.958106409719306</v>
      </c>
      <c r="D63" s="128">
        <f t="shared" ref="D63:E63" ca="1" si="44">SUM(D59:D62)</f>
        <v>99.99857632693984</v>
      </c>
      <c r="E63" s="128">
        <f t="shared" ca="1" si="44"/>
        <v>99.999999999999986</v>
      </c>
      <c r="F63" s="128"/>
      <c r="G63" s="12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99"/>
  <sheetViews>
    <sheetView topLeftCell="A26" zoomScale="63" zoomScaleNormal="100" workbookViewId="0">
      <selection activeCell="G34" sqref="G34:P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Blank</v>
      </c>
      <c r="E2" s="142"/>
      <c r="G2" s="109" t="s">
        <v>90</v>
      </c>
      <c r="H2" s="108" t="str">
        <f ca="1">D2</f>
        <v>Blank</v>
      </c>
      <c r="I2" s="108"/>
      <c r="J2" s="107"/>
      <c r="K2" s="143" t="s">
        <v>89</v>
      </c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101</v>
      </c>
      <c r="H34">
        <f>SUM(H7:H33)</f>
        <v>0</v>
      </c>
      <c r="I34">
        <f t="shared" ref="I34:O34" si="26">SUM(I7:I33)</f>
        <v>0</v>
      </c>
      <c r="J34">
        <f t="shared" si="26"/>
        <v>0</v>
      </c>
      <c r="K34">
        <f t="shared" si="26"/>
        <v>0</v>
      </c>
      <c r="L34">
        <f t="shared" si="26"/>
        <v>0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7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7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7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  <row r="98" spans="1:3" x14ac:dyDescent="0.35">
      <c r="A98" s="114" t="s">
        <v>94</v>
      </c>
      <c r="C98" t="str">
        <f>IF(SUM(M7:N33)&gt;0,"Mixed","No Mixed")</f>
        <v>No Mixed</v>
      </c>
    </row>
    <row r="99" spans="1:3" x14ac:dyDescent="0.35">
      <c r="A99" s="114" t="s">
        <v>95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MAY210717_5</v>
      </c>
      <c r="E2" s="142"/>
      <c r="G2" s="109" t="s">
        <v>90</v>
      </c>
      <c r="H2" s="108" t="str">
        <f ca="1">D2</f>
        <v>MAY210717_5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f>SUM(C7:C33)</f>
        <v>888.39000000000021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2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2"/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86.74</v>
      </c>
      <c r="D11" s="55">
        <f t="shared" si="11"/>
        <v>9.7637298934026688</v>
      </c>
      <c r="E11" s="54">
        <f t="shared" si="12"/>
        <v>9.7637298934026688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86.74</v>
      </c>
      <c r="N11" s="60">
        <v>0</v>
      </c>
      <c r="O11" s="60">
        <v>0</v>
      </c>
      <c r="P11" s="50">
        <f t="shared" si="4"/>
        <v>86.74</v>
      </c>
      <c r="R11" s="48">
        <f t="shared" si="5"/>
        <v>-5.5</v>
      </c>
      <c r="S11" s="47">
        <f t="shared" si="6"/>
        <v>0</v>
      </c>
      <c r="T11" s="46">
        <f t="shared" si="6"/>
        <v>0</v>
      </c>
      <c r="U11" s="45">
        <f t="shared" si="6"/>
        <v>0</v>
      </c>
      <c r="V11" s="46">
        <f t="shared" si="6"/>
        <v>0</v>
      </c>
      <c r="W11" s="46">
        <f t="shared" si="6"/>
        <v>0</v>
      </c>
      <c r="X11" s="46">
        <f t="shared" si="6"/>
        <v>100</v>
      </c>
      <c r="Y11" s="46">
        <f t="shared" si="6"/>
        <v>0</v>
      </c>
      <c r="Z11" s="45">
        <f t="shared" si="6"/>
        <v>0</v>
      </c>
      <c r="AA11" s="49">
        <f t="shared" si="7"/>
        <v>100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85.52</v>
      </c>
      <c r="D12" s="55">
        <f t="shared" si="11"/>
        <v>9.6264028185819264</v>
      </c>
      <c r="E12" s="54">
        <f t="shared" si="12"/>
        <v>19.390132711984595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85.52</v>
      </c>
      <c r="N12" s="60">
        <v>0</v>
      </c>
      <c r="O12" s="60">
        <v>0</v>
      </c>
      <c r="P12" s="50">
        <f t="shared" si="4"/>
        <v>85.52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125.26</v>
      </c>
      <c r="D13" s="55">
        <f t="shared" si="11"/>
        <v>14.09966343610351</v>
      </c>
      <c r="E13" s="54">
        <f t="shared" si="12"/>
        <v>33.489796148088104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125.26</v>
      </c>
      <c r="N13" s="60">
        <v>0</v>
      </c>
      <c r="O13" s="60">
        <v>0</v>
      </c>
      <c r="P13" s="50">
        <f t="shared" si="4"/>
        <v>125.26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100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68.81</v>
      </c>
      <c r="D14" s="55">
        <f t="shared" si="11"/>
        <v>7.7454721462420775</v>
      </c>
      <c r="E14" s="54">
        <f t="shared" si="12"/>
        <v>41.235268294330183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68.81</v>
      </c>
      <c r="N14" s="60">
        <v>0</v>
      </c>
      <c r="O14" s="60">
        <v>0</v>
      </c>
      <c r="P14" s="50">
        <f t="shared" si="4"/>
        <v>68.81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100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68.39</v>
      </c>
      <c r="D15" s="55">
        <f t="shared" si="11"/>
        <v>7.6981956122873951</v>
      </c>
      <c r="E15" s="54">
        <f t="shared" si="12"/>
        <v>48.933463906617575</v>
      </c>
      <c r="G15" s="48">
        <f t="shared" si="3"/>
        <v>-3.5</v>
      </c>
      <c r="H15" s="61">
        <v>1.399795321637427</v>
      </c>
      <c r="I15" s="60">
        <v>2.6996052631578955</v>
      </c>
      <c r="J15" s="59">
        <v>0</v>
      </c>
      <c r="K15" s="60">
        <v>0</v>
      </c>
      <c r="L15" s="60">
        <v>0</v>
      </c>
      <c r="M15" s="60">
        <v>64.290599415204682</v>
      </c>
      <c r="N15" s="60">
        <v>0</v>
      </c>
      <c r="O15" s="60">
        <v>0</v>
      </c>
      <c r="P15" s="50">
        <f t="shared" si="4"/>
        <v>68.39</v>
      </c>
      <c r="R15" s="48">
        <f t="shared" si="5"/>
        <v>-3.5</v>
      </c>
      <c r="S15" s="67">
        <f t="shared" si="6"/>
        <v>2.0467836257309941</v>
      </c>
      <c r="T15" s="66">
        <f t="shared" si="6"/>
        <v>3.9473684210526323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94.005847953216374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3">S15*100/(SUM($S15:$W15)+SUM($Y15:$Z15))</f>
        <v>34.146341463414629</v>
      </c>
      <c r="AE15" s="66">
        <f t="shared" si="13"/>
        <v>65.853658536585371</v>
      </c>
      <c r="AF15" s="65">
        <f t="shared" si="13"/>
        <v>0</v>
      </c>
      <c r="AG15" s="67">
        <f t="shared" si="13"/>
        <v>0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31.25</v>
      </c>
      <c r="D16" s="55">
        <f t="shared" si="11"/>
        <v>3.5175992525805095</v>
      </c>
      <c r="E16" s="54">
        <f t="shared" si="12"/>
        <v>52.451063159198085</v>
      </c>
      <c r="G16" s="48">
        <f t="shared" si="3"/>
        <v>-3</v>
      </c>
      <c r="H16" s="61">
        <v>5.22508038585209</v>
      </c>
      <c r="I16" s="60">
        <v>5.627009646302251</v>
      </c>
      <c r="J16" s="59">
        <v>0</v>
      </c>
      <c r="K16" s="60">
        <v>0</v>
      </c>
      <c r="L16" s="60">
        <v>4.320739549839228</v>
      </c>
      <c r="M16" s="60">
        <v>16.077170418006432</v>
      </c>
      <c r="N16" s="60">
        <v>0</v>
      </c>
      <c r="O16" s="60">
        <v>0</v>
      </c>
      <c r="P16" s="50">
        <f t="shared" si="4"/>
        <v>31.25</v>
      </c>
      <c r="R16" s="48">
        <f t="shared" si="5"/>
        <v>-3</v>
      </c>
      <c r="S16" s="67">
        <f t="shared" si="6"/>
        <v>16.720257234726688</v>
      </c>
      <c r="T16" s="66">
        <f t="shared" si="6"/>
        <v>18.006430868167204</v>
      </c>
      <c r="U16" s="65">
        <f t="shared" si="6"/>
        <v>0</v>
      </c>
      <c r="V16" s="66">
        <f t="shared" si="6"/>
        <v>0</v>
      </c>
      <c r="W16" s="66">
        <f t="shared" si="6"/>
        <v>13.82636655948553</v>
      </c>
      <c r="X16" s="66">
        <f t="shared" si="6"/>
        <v>51.446945337620576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3"/>
        <v>34.437086092715234</v>
      </c>
      <c r="AE16" s="66">
        <f t="shared" si="13"/>
        <v>37.086092715231793</v>
      </c>
      <c r="AF16" s="65">
        <f t="shared" si="13"/>
        <v>0</v>
      </c>
      <c r="AG16" s="67">
        <f t="shared" si="13"/>
        <v>0</v>
      </c>
      <c r="AH16" s="66">
        <f t="shared" si="13"/>
        <v>28.476821192052981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100.00000000000001</v>
      </c>
    </row>
    <row r="17" spans="1:38" x14ac:dyDescent="0.35">
      <c r="A17" s="71" t="s">
        <v>60</v>
      </c>
      <c r="B17" s="57">
        <v>-2.5</v>
      </c>
      <c r="C17" s="130">
        <v>35.79</v>
      </c>
      <c r="D17" s="55">
        <f t="shared" si="11"/>
        <v>4.0286360719954057</v>
      </c>
      <c r="E17" s="54">
        <f t="shared" si="12"/>
        <v>56.479699231193493</v>
      </c>
      <c r="G17" s="48">
        <f t="shared" si="3"/>
        <v>-2.5</v>
      </c>
      <c r="H17" s="61">
        <v>8.5975977653631279</v>
      </c>
      <c r="I17" s="60">
        <v>12.096620111731843</v>
      </c>
      <c r="J17" s="59">
        <v>0.79977653631284928</v>
      </c>
      <c r="K17" s="60">
        <v>1.4995810055865924</v>
      </c>
      <c r="L17" s="60">
        <v>3.2990782122905027</v>
      </c>
      <c r="M17" s="60">
        <v>9.4973463687150836</v>
      </c>
      <c r="N17" s="60">
        <v>0</v>
      </c>
      <c r="O17" s="60">
        <v>0</v>
      </c>
      <c r="P17" s="50">
        <f t="shared" si="4"/>
        <v>35.79</v>
      </c>
      <c r="R17" s="48">
        <f t="shared" si="5"/>
        <v>-2.5</v>
      </c>
      <c r="S17" s="67">
        <f t="shared" si="6"/>
        <v>24.02234636871508</v>
      </c>
      <c r="T17" s="66">
        <f t="shared" si="6"/>
        <v>33.798882681564244</v>
      </c>
      <c r="U17" s="65">
        <f t="shared" si="6"/>
        <v>2.2346368715083802</v>
      </c>
      <c r="V17" s="66">
        <f t="shared" si="6"/>
        <v>4.1899441340782122</v>
      </c>
      <c r="W17" s="66">
        <f t="shared" si="6"/>
        <v>9.2178770949720672</v>
      </c>
      <c r="X17" s="66">
        <f t="shared" si="6"/>
        <v>26.536312849162009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3"/>
        <v>32.699619771863112</v>
      </c>
      <c r="AE17" s="66">
        <f t="shared" si="13"/>
        <v>46.007604562737647</v>
      </c>
      <c r="AF17" s="65">
        <f t="shared" si="13"/>
        <v>3.0418250950570349</v>
      </c>
      <c r="AG17" s="67">
        <f t="shared" si="13"/>
        <v>5.7034220532319395</v>
      </c>
      <c r="AH17" s="66">
        <f t="shared" si="13"/>
        <v>12.547528517110267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0">
        <v>42.33</v>
      </c>
      <c r="D18" s="55">
        <f t="shared" si="11"/>
        <v>4.7647992435754549</v>
      </c>
      <c r="E18" s="54">
        <f t="shared" si="12"/>
        <v>61.244498474768946</v>
      </c>
      <c r="G18" s="48">
        <f t="shared" si="3"/>
        <v>-2</v>
      </c>
      <c r="H18" s="61">
        <v>7.2393349168646095</v>
      </c>
      <c r="I18" s="60">
        <v>19.606532066508315</v>
      </c>
      <c r="J18" s="59">
        <v>1.307102137767221</v>
      </c>
      <c r="K18" s="60">
        <v>0.90491686460807619</v>
      </c>
      <c r="L18" s="60">
        <v>1.2065558194774348</v>
      </c>
      <c r="M18" s="60">
        <v>12.065558194774347</v>
      </c>
      <c r="N18" s="60">
        <v>0</v>
      </c>
      <c r="O18" s="60">
        <v>0</v>
      </c>
      <c r="P18" s="50">
        <f t="shared" si="4"/>
        <v>42.33</v>
      </c>
      <c r="R18" s="48">
        <f t="shared" si="5"/>
        <v>-2</v>
      </c>
      <c r="S18" s="67">
        <f t="shared" si="6"/>
        <v>17.102137767220906</v>
      </c>
      <c r="T18" s="66">
        <f t="shared" si="6"/>
        <v>46.318289786223282</v>
      </c>
      <c r="U18" s="65">
        <f t="shared" si="6"/>
        <v>3.087885985748219</v>
      </c>
      <c r="V18" s="66">
        <f t="shared" si="6"/>
        <v>2.1377672209026133</v>
      </c>
      <c r="W18" s="66">
        <f t="shared" si="6"/>
        <v>2.8503562945368177</v>
      </c>
      <c r="X18" s="66">
        <f t="shared" si="6"/>
        <v>28.50356294536817</v>
      </c>
      <c r="Y18" s="66">
        <f t="shared" si="6"/>
        <v>0</v>
      </c>
      <c r="Z18" s="65">
        <f t="shared" si="6"/>
        <v>0</v>
      </c>
      <c r="AA18" s="50">
        <f t="shared" si="7"/>
        <v>100.00000000000001</v>
      </c>
      <c r="AC18" s="48">
        <f t="shared" si="8"/>
        <v>-2</v>
      </c>
      <c r="AD18" s="67">
        <f t="shared" si="13"/>
        <v>23.920265780730897</v>
      </c>
      <c r="AE18" s="66">
        <f t="shared" si="13"/>
        <v>64.784053156146186</v>
      </c>
      <c r="AF18" s="65">
        <f t="shared" si="13"/>
        <v>4.3189368770764114</v>
      </c>
      <c r="AG18" s="67">
        <f t="shared" si="13"/>
        <v>2.9900332225913622</v>
      </c>
      <c r="AH18" s="66">
        <f t="shared" si="13"/>
        <v>3.9867109634551499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100.00000000000001</v>
      </c>
    </row>
    <row r="19" spans="1:38" x14ac:dyDescent="0.35">
      <c r="A19" s="58" t="s">
        <v>58</v>
      </c>
      <c r="B19" s="57">
        <v>-1.5</v>
      </c>
      <c r="C19" s="130">
        <v>41.32</v>
      </c>
      <c r="D19" s="55">
        <f t="shared" si="11"/>
        <v>4.6511104357320532</v>
      </c>
      <c r="E19" s="54">
        <f t="shared" si="12"/>
        <v>65.895608910500997</v>
      </c>
      <c r="G19" s="48">
        <f t="shared" si="3"/>
        <v>-1.5</v>
      </c>
      <c r="H19" s="61">
        <v>7.9222556390977443</v>
      </c>
      <c r="I19" s="60">
        <v>15.999849624060152</v>
      </c>
      <c r="J19" s="59">
        <v>1.2427067669172933</v>
      </c>
      <c r="K19" s="60">
        <v>2.0193984962406013</v>
      </c>
      <c r="L19" s="60">
        <v>3.5727819548872173</v>
      </c>
      <c r="M19" s="60">
        <v>10.563007518796992</v>
      </c>
      <c r="N19" s="60">
        <v>0</v>
      </c>
      <c r="O19" s="60">
        <v>0</v>
      </c>
      <c r="P19" s="50">
        <f t="shared" si="4"/>
        <v>41.32</v>
      </c>
      <c r="R19" s="48">
        <f t="shared" si="5"/>
        <v>-1.5</v>
      </c>
      <c r="S19" s="67">
        <f t="shared" si="6"/>
        <v>19.172932330827066</v>
      </c>
      <c r="T19" s="66">
        <f t="shared" si="6"/>
        <v>38.721804511278201</v>
      </c>
      <c r="U19" s="65">
        <f t="shared" si="6"/>
        <v>3.0075187969924815</v>
      </c>
      <c r="V19" s="66">
        <f t="shared" si="6"/>
        <v>4.8872180451127809</v>
      </c>
      <c r="W19" s="66">
        <f t="shared" si="6"/>
        <v>8.6466165413533815</v>
      </c>
      <c r="X19" s="66">
        <f t="shared" si="6"/>
        <v>25.563909774436087</v>
      </c>
      <c r="Y19" s="66">
        <f t="shared" si="6"/>
        <v>0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3"/>
        <v>25.757575757575758</v>
      </c>
      <c r="AE19" s="66">
        <f t="shared" si="13"/>
        <v>52.020202020202035</v>
      </c>
      <c r="AF19" s="65">
        <f t="shared" si="13"/>
        <v>4.0404040404040416</v>
      </c>
      <c r="AG19" s="67">
        <f t="shared" si="13"/>
        <v>6.5656565656565649</v>
      </c>
      <c r="AH19" s="66">
        <f t="shared" si="13"/>
        <v>11.616161616161614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100.00000000000003</v>
      </c>
    </row>
    <row r="20" spans="1:38" x14ac:dyDescent="0.35">
      <c r="A20" s="58" t="s">
        <v>57</v>
      </c>
      <c r="B20" s="57">
        <v>-1</v>
      </c>
      <c r="C20" s="130">
        <v>40.79</v>
      </c>
      <c r="D20" s="55">
        <f t="shared" si="11"/>
        <v>4.5914519524082884</v>
      </c>
      <c r="E20" s="54">
        <f t="shared" si="12"/>
        <v>70.487060862909289</v>
      </c>
      <c r="G20" s="48">
        <f t="shared" si="3"/>
        <v>-1</v>
      </c>
      <c r="H20" s="61">
        <v>4.0707762096774198</v>
      </c>
      <c r="I20" s="60">
        <v>28.454314516129031</v>
      </c>
      <c r="J20" s="59">
        <v>1.7681149193548387</v>
      </c>
      <c r="K20" s="60">
        <v>1.809233870967742</v>
      </c>
      <c r="L20" s="60">
        <v>1.6036391129032259</v>
      </c>
      <c r="M20" s="60">
        <v>3.083921370967742</v>
      </c>
      <c r="N20" s="60">
        <v>0</v>
      </c>
      <c r="O20" s="60">
        <v>0</v>
      </c>
      <c r="P20" s="50">
        <f t="shared" si="4"/>
        <v>40.79</v>
      </c>
      <c r="R20" s="48">
        <f t="shared" si="5"/>
        <v>-1</v>
      </c>
      <c r="S20" s="67">
        <f t="shared" si="6"/>
        <v>9.9798387096774217</v>
      </c>
      <c r="T20" s="66">
        <f t="shared" si="6"/>
        <v>69.758064516129025</v>
      </c>
      <c r="U20" s="65">
        <f t="shared" si="6"/>
        <v>4.334677419354839</v>
      </c>
      <c r="V20" s="66">
        <f t="shared" si="6"/>
        <v>4.435483870967742</v>
      </c>
      <c r="W20" s="66">
        <f t="shared" si="6"/>
        <v>3.931451612903226</v>
      </c>
      <c r="X20" s="66">
        <f t="shared" si="6"/>
        <v>7.560483870967742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3"/>
        <v>10.796074154852784</v>
      </c>
      <c r="AE20" s="66">
        <f t="shared" si="13"/>
        <v>75.463467829880031</v>
      </c>
      <c r="AF20" s="65">
        <f t="shared" si="13"/>
        <v>4.6892039258451472</v>
      </c>
      <c r="AG20" s="67">
        <f t="shared" si="13"/>
        <v>4.7982551799345696</v>
      </c>
      <c r="AH20" s="66">
        <f t="shared" si="13"/>
        <v>4.2529989094874594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0">
        <v>29.98</v>
      </c>
      <c r="D21" s="55">
        <f t="shared" si="11"/>
        <v>3.3746440189556379</v>
      </c>
      <c r="E21" s="54">
        <f t="shared" si="12"/>
        <v>73.861704881864924</v>
      </c>
      <c r="G21" s="70">
        <f t="shared" si="3"/>
        <v>-0.5</v>
      </c>
      <c r="H21" s="61">
        <v>2.2858651026392964</v>
      </c>
      <c r="I21" s="60">
        <v>23.298240469208213</v>
      </c>
      <c r="J21" s="59">
        <v>1.2308504398826983</v>
      </c>
      <c r="K21" s="60">
        <v>0.61542521994134913</v>
      </c>
      <c r="L21" s="60">
        <v>1.6704398826979474</v>
      </c>
      <c r="M21" s="60">
        <v>0.79126099706744868</v>
      </c>
      <c r="N21" s="60">
        <v>0</v>
      </c>
      <c r="O21" s="60">
        <v>8.791788856304987E-2</v>
      </c>
      <c r="P21" s="69">
        <f t="shared" si="4"/>
        <v>29.980000000000008</v>
      </c>
      <c r="Q21" s="68"/>
      <c r="R21" s="48">
        <f t="shared" si="5"/>
        <v>-0.5</v>
      </c>
      <c r="S21" s="67">
        <f t="shared" si="6"/>
        <v>7.6246334310850434</v>
      </c>
      <c r="T21" s="66">
        <f t="shared" si="6"/>
        <v>77.712609970674478</v>
      </c>
      <c r="U21" s="65">
        <f t="shared" si="6"/>
        <v>4.1055718475073313</v>
      </c>
      <c r="V21" s="66">
        <f t="shared" si="6"/>
        <v>2.0527859237536656</v>
      </c>
      <c r="W21" s="66">
        <f t="shared" si="6"/>
        <v>5.5718475073313778</v>
      </c>
      <c r="X21" s="66">
        <f t="shared" si="6"/>
        <v>2.6392961876832839</v>
      </c>
      <c r="Y21" s="66">
        <f t="shared" si="6"/>
        <v>0</v>
      </c>
      <c r="Z21" s="65">
        <f t="shared" si="6"/>
        <v>0.29325513196480935</v>
      </c>
      <c r="AA21" s="50">
        <f t="shared" si="7"/>
        <v>100</v>
      </c>
      <c r="AC21" s="48">
        <f t="shared" si="8"/>
        <v>-0.5</v>
      </c>
      <c r="AD21" s="67">
        <f t="shared" si="13"/>
        <v>7.831325301204819</v>
      </c>
      <c r="AE21" s="66">
        <f t="shared" si="13"/>
        <v>79.819277108433724</v>
      </c>
      <c r="AF21" s="65">
        <f t="shared" si="13"/>
        <v>4.2168674698795181</v>
      </c>
      <c r="AG21" s="67">
        <f t="shared" si="13"/>
        <v>2.1084337349397591</v>
      </c>
      <c r="AH21" s="66">
        <f t="shared" si="13"/>
        <v>5.7228915662650595</v>
      </c>
      <c r="AI21" s="66">
        <v>0</v>
      </c>
      <c r="AJ21" s="66">
        <f t="shared" si="14"/>
        <v>0</v>
      </c>
      <c r="AK21" s="65">
        <f t="shared" si="14"/>
        <v>0.3012048192771084</v>
      </c>
      <c r="AL21" s="64">
        <f t="shared" si="10"/>
        <v>99.999999999999986</v>
      </c>
    </row>
    <row r="22" spans="1:38" x14ac:dyDescent="0.35">
      <c r="A22" s="58" t="s">
        <v>55</v>
      </c>
      <c r="B22" s="57">
        <v>0</v>
      </c>
      <c r="C22" s="130">
        <v>21.77</v>
      </c>
      <c r="D22" s="55">
        <f t="shared" si="11"/>
        <v>2.4505003433176862</v>
      </c>
      <c r="E22" s="54">
        <f t="shared" si="12"/>
        <v>76.312205225182609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3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17.399999999999999</v>
      </c>
      <c r="D23" s="55">
        <f t="shared" si="11"/>
        <v>1.9585992638368279</v>
      </c>
      <c r="E23" s="54">
        <f t="shared" si="12"/>
        <v>78.27080448901944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3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15.23</v>
      </c>
      <c r="D24" s="55">
        <f t="shared" si="11"/>
        <v>1.7143371717376374</v>
      </c>
      <c r="E24" s="54">
        <f t="shared" si="12"/>
        <v>79.98514166075708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3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11.97</v>
      </c>
      <c r="D25" s="55">
        <f t="shared" si="11"/>
        <v>1.3473812177084385</v>
      </c>
      <c r="E25" s="54">
        <f t="shared" si="12"/>
        <v>81.332522878465525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3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12.05</v>
      </c>
      <c r="D26" s="55">
        <f t="shared" si="11"/>
        <v>1.3563862717950448</v>
      </c>
      <c r="E26" s="54">
        <f t="shared" si="12"/>
        <v>82.688909150260571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3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13.21</v>
      </c>
      <c r="D27" s="55">
        <f t="shared" si="11"/>
        <v>1.4869595560508333</v>
      </c>
      <c r="E27" s="54">
        <f t="shared" si="12"/>
        <v>84.175868706311405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3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12.19</v>
      </c>
      <c r="D28" s="55">
        <f t="shared" si="11"/>
        <v>1.3721451164466052</v>
      </c>
      <c r="E28" s="54">
        <f t="shared" si="12"/>
        <v>85.548013822758008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3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11.08</v>
      </c>
      <c r="D29" s="55">
        <f t="shared" si="11"/>
        <v>1.2471999909949456</v>
      </c>
      <c r="E29" s="54">
        <f t="shared" si="12"/>
        <v>86.795213813752952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3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23.36</v>
      </c>
      <c r="D30" s="55">
        <f t="shared" si="11"/>
        <v>2.6294757932889827</v>
      </c>
      <c r="E30" s="54">
        <f t="shared" si="12"/>
        <v>89.424689607041941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3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93.95</v>
      </c>
      <c r="D31" s="55">
        <f t="shared" si="11"/>
        <v>10.575310392958045</v>
      </c>
      <c r="E31" s="54">
        <f t="shared" si="12"/>
        <v>99.999999999999986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3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2"/>
        <v>99.999999999999986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3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2"/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3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36.740705341131722</v>
      </c>
      <c r="I34">
        <f t="shared" ref="I34:O34" si="16">SUM(I7:I33)</f>
        <v>107.7821716970977</v>
      </c>
      <c r="J34">
        <f t="shared" si="16"/>
        <v>6.3485508002349009</v>
      </c>
      <c r="K34">
        <f t="shared" si="16"/>
        <v>6.8485554573443608</v>
      </c>
      <c r="L34">
        <f t="shared" si="16"/>
        <v>15.673234532095556</v>
      </c>
      <c r="M34">
        <f t="shared" si="16"/>
        <v>482.69886428353266</v>
      </c>
      <c r="N34">
        <f t="shared" si="16"/>
        <v>0</v>
      </c>
      <c r="O34">
        <f t="shared" si="16"/>
        <v>8.791788856304987E-2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5" spans="1:27" x14ac:dyDescent="0.35">
      <c r="S65" t="s">
        <v>84</v>
      </c>
      <c r="T65" t="s">
        <v>83</v>
      </c>
      <c r="U65" t="s">
        <v>82</v>
      </c>
      <c r="V65" t="s">
        <v>81</v>
      </c>
      <c r="W65" t="s">
        <v>80</v>
      </c>
      <c r="X65" t="s">
        <v>79</v>
      </c>
      <c r="Y65" t="s">
        <v>78</v>
      </c>
      <c r="Z65" t="s">
        <v>77</v>
      </c>
    </row>
    <row r="66" spans="1:27" x14ac:dyDescent="0.35">
      <c r="S66" s="132">
        <f>SUM(S15:S21)</f>
        <v>96.668929467983205</v>
      </c>
      <c r="T66" s="132">
        <f t="shared" ref="T66:Y66" si="17">SUM(T15:T21)</f>
        <v>288.26345075508908</v>
      </c>
      <c r="U66" s="132">
        <f t="shared" si="17"/>
        <v>16.770290921111251</v>
      </c>
      <c r="V66" s="132">
        <f t="shared" si="17"/>
        <v>17.703199194815014</v>
      </c>
      <c r="W66" s="132">
        <f t="shared" si="17"/>
        <v>44.044515610582394</v>
      </c>
      <c r="X66" s="132">
        <f t="shared" si="17"/>
        <v>236.25635891845425</v>
      </c>
      <c r="Y66" s="132">
        <f t="shared" si="17"/>
        <v>0</v>
      </c>
      <c r="Z66" s="132">
        <f>SUM(Z15:Z21)</f>
        <v>0.29325513196480935</v>
      </c>
      <c r="AA66" s="135">
        <f>SUM(AA15:AA21)</f>
        <v>700</v>
      </c>
    </row>
    <row r="67" spans="1:27" x14ac:dyDescent="0.35">
      <c r="A67" s="5" t="s">
        <v>27</v>
      </c>
      <c r="B67" s="26"/>
      <c r="C67" s="2"/>
      <c r="D67" s="2"/>
      <c r="S67" s="132">
        <f>(S66*100)/$AA66</f>
        <v>13.809847066854742</v>
      </c>
      <c r="T67" s="132">
        <f t="shared" ref="T67:Z67" si="18">(T66*100)/$AA66</f>
        <v>41.180492965012725</v>
      </c>
      <c r="U67" s="132">
        <f t="shared" si="18"/>
        <v>2.3957558458730359</v>
      </c>
      <c r="V67" s="132">
        <f t="shared" si="18"/>
        <v>2.5290284564021448</v>
      </c>
      <c r="W67" s="132">
        <f t="shared" si="18"/>
        <v>6.292073658654628</v>
      </c>
      <c r="X67" s="132">
        <f t="shared" si="18"/>
        <v>33.750908416922037</v>
      </c>
      <c r="Y67" s="132">
        <f t="shared" si="18"/>
        <v>0</v>
      </c>
      <c r="Z67" s="132">
        <f t="shared" si="18"/>
        <v>4.1893590280687051E-2</v>
      </c>
      <c r="AA67" s="135">
        <f>SUM(S67:Z67)</f>
        <v>100</v>
      </c>
    </row>
    <row r="68" spans="1:27" x14ac:dyDescent="0.35">
      <c r="A68" s="25" t="s">
        <v>42</v>
      </c>
      <c r="B68" s="25"/>
      <c r="C68" s="2"/>
      <c r="D68" s="2"/>
    </row>
    <row r="69" spans="1:27" x14ac:dyDescent="0.35">
      <c r="A69" s="24" t="s">
        <v>41</v>
      </c>
      <c r="B69" s="23">
        <v>5</v>
      </c>
      <c r="C69" s="18">
        <f t="shared" ref="C69:C75" si="19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-5.7439503112750749</v>
      </c>
      <c r="D69" s="2"/>
    </row>
    <row r="70" spans="1:27" x14ac:dyDescent="0.35">
      <c r="A70" s="24" t="s">
        <v>41</v>
      </c>
      <c r="B70" s="23">
        <v>16</v>
      </c>
      <c r="C70" s="18">
        <f t="shared" si="19"/>
        <v>-5.1760851262862486</v>
      </c>
      <c r="D70" s="2"/>
    </row>
    <row r="71" spans="1:27" x14ac:dyDescent="0.35">
      <c r="A71" s="24" t="s">
        <v>41</v>
      </c>
      <c r="B71" s="23">
        <v>25</v>
      </c>
      <c r="C71" s="18">
        <f t="shared" si="19"/>
        <v>-4.8010637873223692</v>
      </c>
      <c r="D71" s="2"/>
      <c r="J71" s="132"/>
    </row>
    <row r="72" spans="1:27" x14ac:dyDescent="0.35">
      <c r="A72" s="24" t="s">
        <v>41</v>
      </c>
      <c r="B72" s="23">
        <v>50</v>
      </c>
      <c r="C72" s="18">
        <f t="shared" si="19"/>
        <v>-3.348399999999998</v>
      </c>
      <c r="D72" s="2"/>
      <c r="J72" s="132"/>
    </row>
    <row r="73" spans="1:27" x14ac:dyDescent="0.35">
      <c r="A73" s="24" t="s">
        <v>41</v>
      </c>
      <c r="B73" s="23">
        <v>75</v>
      </c>
      <c r="C73" s="18">
        <f t="shared" si="19"/>
        <v>-0.26774230592558079</v>
      </c>
      <c r="D73" s="2"/>
      <c r="J73" s="132"/>
    </row>
    <row r="74" spans="1:27" x14ac:dyDescent="0.35">
      <c r="A74" s="24" t="s">
        <v>41</v>
      </c>
      <c r="B74" s="23">
        <v>84</v>
      </c>
      <c r="C74" s="18">
        <f t="shared" si="19"/>
        <v>2.4408629825889516</v>
      </c>
      <c r="D74" s="2"/>
    </row>
    <row r="75" spans="1:27" x14ac:dyDescent="0.35">
      <c r="A75" s="24" t="s">
        <v>41</v>
      </c>
      <c r="B75" s="23">
        <v>95</v>
      </c>
      <c r="C75" s="18">
        <f t="shared" si="19"/>
        <v>4.2636003193187868</v>
      </c>
      <c r="D75" s="2"/>
    </row>
    <row r="76" spans="1:27" x14ac:dyDescent="0.35">
      <c r="A76" s="18"/>
      <c r="B76" s="22"/>
      <c r="C76" s="2"/>
      <c r="D76" s="2"/>
    </row>
    <row r="77" spans="1:27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70.487060862909289</v>
      </c>
    </row>
    <row r="78" spans="1:27" x14ac:dyDescent="0.35">
      <c r="A78" s="20" t="s">
        <v>39</v>
      </c>
      <c r="B78" s="132">
        <f>SUM(C11:C20)/SUM(C7:C33)</f>
        <v>0.70487060862909301</v>
      </c>
      <c r="D78" s="19" t="s">
        <v>6</v>
      </c>
      <c r="E78" s="18">
        <f>SUM($D$21:$D$30)</f>
        <v>18.937628744132638</v>
      </c>
    </row>
    <row r="79" spans="1:27" x14ac:dyDescent="0.35">
      <c r="A79" s="20" t="s">
        <v>38</v>
      </c>
      <c r="B79" s="132">
        <f>SUM(C21:C33)/SUM(C7:C33)</f>
        <v>0.29512939137090682</v>
      </c>
      <c r="D79" s="19" t="s">
        <v>5</v>
      </c>
      <c r="E79" s="18">
        <f>SUM($D$31:$D$33)</f>
        <v>10.575310392958045</v>
      </c>
    </row>
    <row r="80" spans="1:27" x14ac:dyDescent="0.35">
      <c r="A80" s="11"/>
      <c r="B80" s="8"/>
      <c r="D80" s="2"/>
      <c r="E80" s="2"/>
    </row>
    <row r="81" spans="1:8" x14ac:dyDescent="0.35">
      <c r="A81" s="16" t="s">
        <v>4</v>
      </c>
      <c r="B81" s="132">
        <f>SUM(S67:U67)</f>
        <v>57.386095877740502</v>
      </c>
      <c r="D81" s="16" t="s">
        <v>4</v>
      </c>
      <c r="E81" s="132">
        <f>SUM(S67:U67)</f>
        <v>57.386095877740502</v>
      </c>
      <c r="G81" s="17" t="s">
        <v>2</v>
      </c>
      <c r="H81" s="132">
        <f>S67</f>
        <v>13.809847066854742</v>
      </c>
    </row>
    <row r="82" spans="1:8" x14ac:dyDescent="0.35">
      <c r="A82" s="16" t="s">
        <v>0</v>
      </c>
      <c r="B82" s="132">
        <f>SUM(V67:W67)</f>
        <v>8.8211021150567728</v>
      </c>
      <c r="D82" s="16" t="s">
        <v>0</v>
      </c>
      <c r="E82" s="132">
        <f>SUM(V67:W67)</f>
        <v>8.8211021150567728</v>
      </c>
      <c r="G82" s="17" t="s">
        <v>1</v>
      </c>
      <c r="H82" s="132">
        <f>T67</f>
        <v>41.180492965012725</v>
      </c>
    </row>
    <row r="83" spans="1:8" x14ac:dyDescent="0.35">
      <c r="A83" s="16" t="s">
        <v>3</v>
      </c>
      <c r="B83" s="132">
        <f>Z67</f>
        <v>4.1893590280687051E-2</v>
      </c>
      <c r="D83" s="16" t="s">
        <v>37</v>
      </c>
      <c r="E83" s="132">
        <f>SUM(X67:Y67)</f>
        <v>33.750908416922037</v>
      </c>
      <c r="G83" s="17" t="s">
        <v>0</v>
      </c>
      <c r="H83" s="132">
        <f>SUM(V67:W67)</f>
        <v>8.8211021150567728</v>
      </c>
    </row>
    <row r="85" spans="1:8" x14ac:dyDescent="0.35">
      <c r="A85" s="16" t="s">
        <v>36</v>
      </c>
      <c r="B85" s="2"/>
      <c r="C85" s="2"/>
      <c r="D85" s="13">
        <f>(C70+C74+C72)/3</f>
        <v>-2.0278740478990982</v>
      </c>
    </row>
    <row r="86" spans="1:8" x14ac:dyDescent="0.35">
      <c r="A86" s="14" t="s">
        <v>35</v>
      </c>
      <c r="B86" s="14"/>
      <c r="C86" s="14"/>
      <c r="D86" s="7">
        <f>C72</f>
        <v>-3.348399999999998</v>
      </c>
    </row>
    <row r="87" spans="1:8" x14ac:dyDescent="0.35">
      <c r="A87" s="14" t="s">
        <v>34</v>
      </c>
      <c r="B87" s="14"/>
      <c r="C87" s="14"/>
      <c r="D87" s="7">
        <f>(C74-C70)/2</f>
        <v>3.8084740544376001</v>
      </c>
    </row>
    <row r="88" spans="1:8" x14ac:dyDescent="0.35">
      <c r="A88" s="15" t="s">
        <v>33</v>
      </c>
      <c r="B88" s="14"/>
      <c r="C88" s="14"/>
      <c r="D88" s="13">
        <f>(C74+C70-D86)/D87</f>
        <v>0.16100355353300402</v>
      </c>
    </row>
    <row r="89" spans="1:8" x14ac:dyDescent="0.35">
      <c r="A89" s="3" t="s">
        <v>32</v>
      </c>
      <c r="B89" s="12"/>
      <c r="C89" s="11"/>
      <c r="D89" s="7">
        <f>((C74-C70)/4)+((C75-C69)/6.6)</f>
        <v>3.4205325773087791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0.52067591799448443</v>
      </c>
    </row>
    <row r="91" spans="1:8" x14ac:dyDescent="0.35">
      <c r="A91" s="3" t="s">
        <v>30</v>
      </c>
      <c r="B91" s="9"/>
      <c r="C91" s="8"/>
      <c r="D91" s="7">
        <f>(C74-C69)/(2.44*(C73-C71))</f>
        <v>0.73995009874736972</v>
      </c>
    </row>
    <row r="92" spans="1:8" x14ac:dyDescent="0.35">
      <c r="A92" s="6" t="s">
        <v>29</v>
      </c>
      <c r="B92" s="6"/>
      <c r="C92" s="5"/>
      <c r="D92" s="7">
        <f>(C70+C72+C74)/3</f>
        <v>-2.0278740478990986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-1.3676110718486485</v>
      </c>
    </row>
    <row r="95" spans="1:8" x14ac:dyDescent="0.35">
      <c r="A95" s="2" t="s">
        <v>9</v>
      </c>
      <c r="B95" s="2"/>
      <c r="C95" s="2"/>
      <c r="D95" s="1">
        <f>100-E23</f>
        <v>21.72919551098056</v>
      </c>
    </row>
    <row r="96" spans="1:8" x14ac:dyDescent="0.35">
      <c r="A96" s="2" t="s">
        <v>8</v>
      </c>
      <c r="B96" s="2"/>
      <c r="C96" s="2"/>
      <c r="D96" s="1">
        <f>100-E30</f>
        <v>10.575310392958059</v>
      </c>
    </row>
    <row r="98" spans="1:3" x14ac:dyDescent="0.35">
      <c r="A98" t="s">
        <v>94</v>
      </c>
      <c r="C98" t="str">
        <f>IF(SUM(M7:N33)&gt;0,"Mixed","No Mixed")</f>
        <v>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MAY210717_5_aggr</v>
      </c>
      <c r="E2" s="142"/>
      <c r="G2" s="109" t="s">
        <v>90</v>
      </c>
      <c r="H2" s="108" t="str">
        <f ca="1">D2</f>
        <v>MAY210717_5_aggr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v>888.39000000000021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Q7">
        <f>100*(M7/B$4)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Q8">
        <f t="shared" ref="Q8:Q32" si="12">100*(M8/B$4)</f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3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Q9">
        <f t="shared" si="12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3"/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Q10">
        <f t="shared" si="12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11"/>
        <v>0</v>
      </c>
      <c r="E11" s="54">
        <f t="shared" si="13"/>
        <v>0</v>
      </c>
      <c r="F11" s="132"/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86.74</v>
      </c>
      <c r="N11" s="60">
        <v>0</v>
      </c>
      <c r="O11" s="60">
        <v>0</v>
      </c>
      <c r="P11" s="50">
        <f t="shared" si="4"/>
        <v>86.74</v>
      </c>
      <c r="Q11">
        <f t="shared" si="12"/>
        <v>9.7637298934026688</v>
      </c>
      <c r="R11" s="48">
        <f t="shared" si="5"/>
        <v>-5.5</v>
      </c>
      <c r="S11" s="47">
        <f t="shared" si="6"/>
        <v>0</v>
      </c>
      <c r="T11" s="46">
        <f t="shared" si="6"/>
        <v>0</v>
      </c>
      <c r="U11" s="45">
        <f t="shared" si="6"/>
        <v>0</v>
      </c>
      <c r="V11" s="46">
        <f t="shared" si="6"/>
        <v>0</v>
      </c>
      <c r="W11" s="46">
        <f t="shared" si="6"/>
        <v>0</v>
      </c>
      <c r="X11" s="46">
        <f t="shared" si="6"/>
        <v>100</v>
      </c>
      <c r="Y11" s="46">
        <f t="shared" si="6"/>
        <v>0</v>
      </c>
      <c r="Z11" s="45">
        <f t="shared" si="6"/>
        <v>0</v>
      </c>
      <c r="AA11" s="49">
        <f t="shared" si="7"/>
        <v>100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11"/>
        <v>0</v>
      </c>
      <c r="E12" s="54">
        <f t="shared" si="13"/>
        <v>0</v>
      </c>
      <c r="F12" s="132"/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85.52</v>
      </c>
      <c r="N12" s="60">
        <v>0</v>
      </c>
      <c r="O12" s="60">
        <v>0</v>
      </c>
      <c r="P12" s="50">
        <f t="shared" si="4"/>
        <v>85.52</v>
      </c>
      <c r="Q12">
        <f t="shared" si="12"/>
        <v>9.6264028185819264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11"/>
        <v>0</v>
      </c>
      <c r="E13" s="54">
        <f t="shared" si="13"/>
        <v>0</v>
      </c>
      <c r="F13" s="132"/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125.26</v>
      </c>
      <c r="N13" s="60">
        <v>0</v>
      </c>
      <c r="O13" s="60">
        <v>0</v>
      </c>
      <c r="P13" s="50">
        <f t="shared" si="4"/>
        <v>125.26</v>
      </c>
      <c r="Q13">
        <f t="shared" si="12"/>
        <v>14.09966343610351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100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0</v>
      </c>
      <c r="D14" s="55">
        <f t="shared" si="11"/>
        <v>0</v>
      </c>
      <c r="E14" s="54">
        <f t="shared" si="13"/>
        <v>0</v>
      </c>
      <c r="F14" s="132"/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68.81</v>
      </c>
      <c r="N14" s="60">
        <v>0</v>
      </c>
      <c r="O14" s="60">
        <v>0</v>
      </c>
      <c r="P14" s="50">
        <f t="shared" si="4"/>
        <v>68.81</v>
      </c>
      <c r="Q14">
        <f t="shared" si="12"/>
        <v>7.7454721462420775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100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4.099400584795319</v>
      </c>
      <c r="D15" s="55">
        <f t="shared" si="11"/>
        <v>1.0104732945558716</v>
      </c>
      <c r="E15" s="54">
        <f t="shared" si="13"/>
        <v>1.0104732945558716</v>
      </c>
      <c r="F15" s="132"/>
      <c r="G15" s="48">
        <f t="shared" si="3"/>
        <v>-3.5</v>
      </c>
      <c r="H15" s="61">
        <v>1.399795321637427</v>
      </c>
      <c r="I15" s="60">
        <v>2.6996052631578955</v>
      </c>
      <c r="J15" s="59">
        <v>0</v>
      </c>
      <c r="K15" s="60">
        <v>0</v>
      </c>
      <c r="L15" s="60">
        <v>0</v>
      </c>
      <c r="M15" s="60">
        <v>64.290599415204682</v>
      </c>
      <c r="N15" s="60">
        <v>0</v>
      </c>
      <c r="O15" s="60">
        <v>0</v>
      </c>
      <c r="P15" s="50">
        <f t="shared" si="4"/>
        <v>68.39</v>
      </c>
      <c r="Q15">
        <f t="shared" si="12"/>
        <v>7.2367540624280622</v>
      </c>
      <c r="R15" s="48">
        <f t="shared" si="5"/>
        <v>-3.5</v>
      </c>
      <c r="S15" s="67">
        <f t="shared" si="6"/>
        <v>2.0467836257309941</v>
      </c>
      <c r="T15" s="66">
        <f t="shared" si="6"/>
        <v>3.9473684210526323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94.005847953216374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4">S15*100/(SUM($S15:$W15)+SUM($Y15:$Z15))</f>
        <v>34.146341463414629</v>
      </c>
      <c r="AE15" s="66">
        <f t="shared" si="14"/>
        <v>65.853658536585371</v>
      </c>
      <c r="AF15" s="65">
        <f t="shared" si="14"/>
        <v>0</v>
      </c>
      <c r="AG15" s="67">
        <f t="shared" si="14"/>
        <v>0</v>
      </c>
      <c r="AH15" s="66">
        <f t="shared" si="14"/>
        <v>0</v>
      </c>
      <c r="AI15" s="66">
        <v>0</v>
      </c>
      <c r="AJ15" s="66">
        <f t="shared" ref="AJ15:AK33" si="15">Y15*100/(SUM($S15:$W15)+SUM($Y15:$Z15))</f>
        <v>0</v>
      </c>
      <c r="AK15" s="65">
        <f t="shared" si="15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15.172829581993568</v>
      </c>
      <c r="D16" s="55">
        <f t="shared" si="11"/>
        <v>3.7399953428111572</v>
      </c>
      <c r="E16" s="54">
        <f t="shared" si="13"/>
        <v>4.7504686373670291</v>
      </c>
      <c r="F16" s="132"/>
      <c r="G16" s="48">
        <f t="shared" si="3"/>
        <v>-3</v>
      </c>
      <c r="H16" s="61">
        <v>5.22508038585209</v>
      </c>
      <c r="I16" s="60">
        <v>5.627009646302251</v>
      </c>
      <c r="J16" s="59">
        <v>0</v>
      </c>
      <c r="K16" s="60">
        <v>0</v>
      </c>
      <c r="L16" s="60">
        <v>4.320739549839228</v>
      </c>
      <c r="M16" s="60">
        <v>16.077170418006432</v>
      </c>
      <c r="N16" s="60">
        <v>0</v>
      </c>
      <c r="O16" s="60">
        <v>0</v>
      </c>
      <c r="P16" s="50">
        <f t="shared" si="4"/>
        <v>31.25</v>
      </c>
      <c r="Q16">
        <f t="shared" si="12"/>
        <v>1.809697364671645</v>
      </c>
      <c r="R16" s="48">
        <f t="shared" si="5"/>
        <v>-3</v>
      </c>
      <c r="S16" s="67">
        <f t="shared" si="6"/>
        <v>16.720257234726688</v>
      </c>
      <c r="T16" s="66">
        <f t="shared" si="6"/>
        <v>18.006430868167204</v>
      </c>
      <c r="U16" s="65">
        <f t="shared" si="6"/>
        <v>0</v>
      </c>
      <c r="V16" s="66">
        <f t="shared" si="6"/>
        <v>0</v>
      </c>
      <c r="W16" s="66">
        <f t="shared" si="6"/>
        <v>13.82636655948553</v>
      </c>
      <c r="X16" s="66">
        <f t="shared" si="6"/>
        <v>51.446945337620576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4"/>
        <v>34.437086092715234</v>
      </c>
      <c r="AE16" s="66">
        <f t="shared" si="14"/>
        <v>37.086092715231793</v>
      </c>
      <c r="AF16" s="65">
        <f t="shared" si="14"/>
        <v>0</v>
      </c>
      <c r="AG16" s="67">
        <f t="shared" si="14"/>
        <v>0</v>
      </c>
      <c r="AH16" s="66">
        <f t="shared" si="14"/>
        <v>28.476821192052981</v>
      </c>
      <c r="AI16" s="66">
        <v>0</v>
      </c>
      <c r="AJ16" s="66">
        <f t="shared" si="15"/>
        <v>0</v>
      </c>
      <c r="AK16" s="65">
        <f t="shared" si="15"/>
        <v>0</v>
      </c>
      <c r="AL16" s="64">
        <f t="shared" si="10"/>
        <v>100.00000000000001</v>
      </c>
    </row>
    <row r="17" spans="1:38" x14ac:dyDescent="0.35">
      <c r="A17" s="71" t="s">
        <v>60</v>
      </c>
      <c r="B17" s="57">
        <v>-2.5</v>
      </c>
      <c r="C17" s="130">
        <v>26.292653631284914</v>
      </c>
      <c r="D17" s="55">
        <f t="shared" si="11"/>
        <v>6.4809534437697298</v>
      </c>
      <c r="E17" s="54">
        <f t="shared" si="13"/>
        <v>11.23142208113676</v>
      </c>
      <c r="F17" s="132"/>
      <c r="G17" s="48">
        <f t="shared" si="3"/>
        <v>-2.5</v>
      </c>
      <c r="H17" s="61">
        <v>8.5975977653631279</v>
      </c>
      <c r="I17" s="60">
        <v>12.096620111731843</v>
      </c>
      <c r="J17" s="59">
        <v>0.79977653631284928</v>
      </c>
      <c r="K17" s="60">
        <v>1.4995810055865924</v>
      </c>
      <c r="L17" s="60">
        <v>3.2990782122905027</v>
      </c>
      <c r="M17" s="60">
        <v>9.4973463687150836</v>
      </c>
      <c r="N17" s="60">
        <v>0</v>
      </c>
      <c r="O17" s="60">
        <v>0</v>
      </c>
      <c r="P17" s="50">
        <f t="shared" si="4"/>
        <v>35.79</v>
      </c>
      <c r="Q17">
        <f t="shared" si="12"/>
        <v>1.0690514716188928</v>
      </c>
      <c r="R17" s="48">
        <f t="shared" si="5"/>
        <v>-2.5</v>
      </c>
      <c r="S17" s="67">
        <f t="shared" si="6"/>
        <v>24.02234636871508</v>
      </c>
      <c r="T17" s="66">
        <f t="shared" si="6"/>
        <v>33.798882681564244</v>
      </c>
      <c r="U17" s="65">
        <f t="shared" si="6"/>
        <v>2.2346368715083802</v>
      </c>
      <c r="V17" s="66">
        <f t="shared" si="6"/>
        <v>4.1899441340782122</v>
      </c>
      <c r="W17" s="66">
        <f t="shared" si="6"/>
        <v>9.2178770949720672</v>
      </c>
      <c r="X17" s="66">
        <f t="shared" si="6"/>
        <v>26.536312849162009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4"/>
        <v>32.699619771863112</v>
      </c>
      <c r="AE17" s="66">
        <f t="shared" si="14"/>
        <v>46.007604562737647</v>
      </c>
      <c r="AF17" s="65">
        <f t="shared" si="14"/>
        <v>3.0418250950570349</v>
      </c>
      <c r="AG17" s="67">
        <f t="shared" si="14"/>
        <v>5.7034220532319395</v>
      </c>
      <c r="AH17" s="66">
        <f t="shared" si="14"/>
        <v>12.547528517110267</v>
      </c>
      <c r="AI17" s="66">
        <v>0</v>
      </c>
      <c r="AJ17" s="66">
        <f t="shared" si="15"/>
        <v>0</v>
      </c>
      <c r="AK17" s="65">
        <f t="shared" si="15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0">
        <v>30.264441805225651</v>
      </c>
      <c r="D18" s="55">
        <f t="shared" si="11"/>
        <v>7.4599711802372513</v>
      </c>
      <c r="E18" s="54">
        <f t="shared" si="13"/>
        <v>18.69139326137401</v>
      </c>
      <c r="F18" s="132"/>
      <c r="G18" s="48">
        <f t="shared" si="3"/>
        <v>-2</v>
      </c>
      <c r="H18" s="61">
        <v>7.2393349168646095</v>
      </c>
      <c r="I18" s="60">
        <v>19.606532066508315</v>
      </c>
      <c r="J18" s="59">
        <v>1.307102137767221</v>
      </c>
      <c r="K18" s="60">
        <v>0.90491686460807619</v>
      </c>
      <c r="L18" s="60">
        <v>1.2065558194774348</v>
      </c>
      <c r="M18" s="60">
        <v>12.065558194774347</v>
      </c>
      <c r="N18" s="60">
        <v>0</v>
      </c>
      <c r="O18" s="60">
        <v>0</v>
      </c>
      <c r="P18" s="50">
        <f t="shared" si="4"/>
        <v>42.33</v>
      </c>
      <c r="Q18">
        <f t="shared" si="12"/>
        <v>1.3581375516129564</v>
      </c>
      <c r="R18" s="48">
        <f t="shared" si="5"/>
        <v>-2</v>
      </c>
      <c r="S18" s="67">
        <f t="shared" si="6"/>
        <v>17.102137767220906</v>
      </c>
      <c r="T18" s="66">
        <f t="shared" si="6"/>
        <v>46.318289786223282</v>
      </c>
      <c r="U18" s="65">
        <f t="shared" si="6"/>
        <v>3.087885985748219</v>
      </c>
      <c r="V18" s="66">
        <f t="shared" si="6"/>
        <v>2.1377672209026133</v>
      </c>
      <c r="W18" s="66">
        <f t="shared" si="6"/>
        <v>2.8503562945368177</v>
      </c>
      <c r="X18" s="66">
        <f t="shared" si="6"/>
        <v>28.50356294536817</v>
      </c>
      <c r="Y18" s="66">
        <f t="shared" si="6"/>
        <v>0</v>
      </c>
      <c r="Z18" s="65">
        <f t="shared" si="6"/>
        <v>0</v>
      </c>
      <c r="AA18" s="50">
        <f t="shared" si="7"/>
        <v>100.00000000000001</v>
      </c>
      <c r="AC18" s="48">
        <f t="shared" si="8"/>
        <v>-2</v>
      </c>
      <c r="AD18" s="67">
        <f t="shared" si="14"/>
        <v>23.920265780730897</v>
      </c>
      <c r="AE18" s="66">
        <f t="shared" si="14"/>
        <v>64.784053156146186</v>
      </c>
      <c r="AF18" s="65">
        <f t="shared" si="14"/>
        <v>4.3189368770764114</v>
      </c>
      <c r="AG18" s="67">
        <f t="shared" si="14"/>
        <v>2.9900332225913622</v>
      </c>
      <c r="AH18" s="66">
        <f t="shared" si="14"/>
        <v>3.9867109634551499</v>
      </c>
      <c r="AI18" s="66">
        <v>0</v>
      </c>
      <c r="AJ18" s="66">
        <f t="shared" si="15"/>
        <v>0</v>
      </c>
      <c r="AK18" s="65">
        <f t="shared" si="15"/>
        <v>0</v>
      </c>
      <c r="AL18" s="64">
        <f t="shared" si="10"/>
        <v>100.00000000000001</v>
      </c>
    </row>
    <row r="19" spans="1:38" x14ac:dyDescent="0.35">
      <c r="A19" s="58" t="s">
        <v>58</v>
      </c>
      <c r="B19" s="57">
        <v>-1.5</v>
      </c>
      <c r="C19" s="130">
        <v>30.756992481203007</v>
      </c>
      <c r="D19" s="55">
        <f t="shared" si="11"/>
        <v>7.5813814435173414</v>
      </c>
      <c r="E19" s="54">
        <f t="shared" si="13"/>
        <v>26.272774704891351</v>
      </c>
      <c r="F19" s="132"/>
      <c r="G19" s="48">
        <f t="shared" si="3"/>
        <v>-1.5</v>
      </c>
      <c r="H19" s="61">
        <v>7.9222556390977443</v>
      </c>
      <c r="I19" s="60">
        <v>15.999849624060152</v>
      </c>
      <c r="J19" s="59">
        <v>1.2427067669172933</v>
      </c>
      <c r="K19" s="60">
        <v>2.0193984962406013</v>
      </c>
      <c r="L19" s="60">
        <v>3.5727819548872173</v>
      </c>
      <c r="M19" s="60">
        <v>10.563007518796992</v>
      </c>
      <c r="N19" s="60">
        <v>0</v>
      </c>
      <c r="O19" s="60">
        <v>0</v>
      </c>
      <c r="P19" s="50">
        <f t="shared" si="4"/>
        <v>41.32</v>
      </c>
      <c r="Q19">
        <f t="shared" si="12"/>
        <v>1.1890056752999234</v>
      </c>
      <c r="R19" s="48">
        <f t="shared" si="5"/>
        <v>-1.5</v>
      </c>
      <c r="S19" s="67">
        <f t="shared" si="6"/>
        <v>19.172932330827066</v>
      </c>
      <c r="T19" s="66">
        <f t="shared" si="6"/>
        <v>38.721804511278201</v>
      </c>
      <c r="U19" s="65">
        <f t="shared" si="6"/>
        <v>3.0075187969924815</v>
      </c>
      <c r="V19" s="66">
        <f t="shared" si="6"/>
        <v>4.8872180451127809</v>
      </c>
      <c r="W19" s="66">
        <f t="shared" si="6"/>
        <v>8.6466165413533815</v>
      </c>
      <c r="X19" s="66">
        <f t="shared" si="6"/>
        <v>25.563909774436087</v>
      </c>
      <c r="Y19" s="66">
        <f t="shared" si="6"/>
        <v>0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4"/>
        <v>25.757575757575758</v>
      </c>
      <c r="AE19" s="66">
        <f t="shared" si="14"/>
        <v>52.020202020202035</v>
      </c>
      <c r="AF19" s="65">
        <f t="shared" si="14"/>
        <v>4.0404040404040416</v>
      </c>
      <c r="AG19" s="67">
        <f t="shared" si="14"/>
        <v>6.5656565656565649</v>
      </c>
      <c r="AH19" s="66">
        <f t="shared" si="14"/>
        <v>11.616161616161614</v>
      </c>
      <c r="AI19" s="66">
        <v>0</v>
      </c>
      <c r="AJ19" s="66">
        <f t="shared" si="15"/>
        <v>0</v>
      </c>
      <c r="AK19" s="65">
        <f t="shared" si="15"/>
        <v>0</v>
      </c>
      <c r="AL19" s="64">
        <f t="shared" si="10"/>
        <v>100.00000000000003</v>
      </c>
    </row>
    <row r="20" spans="1:38" x14ac:dyDescent="0.35">
      <c r="A20" s="58" t="s">
        <v>57</v>
      </c>
      <c r="B20" s="57">
        <v>-1</v>
      </c>
      <c r="C20" s="130">
        <v>37.706078629032255</v>
      </c>
      <c r="D20" s="55">
        <f t="shared" si="11"/>
        <v>9.2942821051393611</v>
      </c>
      <c r="E20" s="54">
        <f t="shared" si="13"/>
        <v>35.567056810030714</v>
      </c>
      <c r="F20" s="132"/>
      <c r="G20" s="48">
        <f t="shared" si="3"/>
        <v>-1</v>
      </c>
      <c r="H20" s="61">
        <v>4.0707762096774198</v>
      </c>
      <c r="I20" s="60">
        <v>28.454314516129031</v>
      </c>
      <c r="J20" s="59">
        <v>1.7681149193548387</v>
      </c>
      <c r="K20" s="60">
        <v>1.809233870967742</v>
      </c>
      <c r="L20" s="60">
        <v>1.6036391129032259</v>
      </c>
      <c r="M20" s="60">
        <v>3.083921370967742</v>
      </c>
      <c r="N20" s="60">
        <v>0</v>
      </c>
      <c r="O20" s="60">
        <v>0</v>
      </c>
      <c r="P20" s="50">
        <f t="shared" si="4"/>
        <v>40.79</v>
      </c>
      <c r="Q20">
        <f t="shared" si="12"/>
        <v>0.3471359843050621</v>
      </c>
      <c r="R20" s="48">
        <f t="shared" si="5"/>
        <v>-1</v>
      </c>
      <c r="S20" s="67">
        <f t="shared" si="6"/>
        <v>9.9798387096774217</v>
      </c>
      <c r="T20" s="66">
        <f t="shared" si="6"/>
        <v>69.758064516129025</v>
      </c>
      <c r="U20" s="65">
        <f t="shared" si="6"/>
        <v>4.334677419354839</v>
      </c>
      <c r="V20" s="66">
        <f t="shared" si="6"/>
        <v>4.435483870967742</v>
      </c>
      <c r="W20" s="66">
        <f t="shared" si="6"/>
        <v>3.931451612903226</v>
      </c>
      <c r="X20" s="66">
        <f t="shared" si="6"/>
        <v>7.560483870967742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4"/>
        <v>10.796074154852784</v>
      </c>
      <c r="AE20" s="66">
        <f t="shared" si="14"/>
        <v>75.463467829880031</v>
      </c>
      <c r="AF20" s="65">
        <f t="shared" si="14"/>
        <v>4.6892039258451472</v>
      </c>
      <c r="AG20" s="67">
        <f t="shared" si="14"/>
        <v>4.7982551799345696</v>
      </c>
      <c r="AH20" s="66">
        <f t="shared" si="14"/>
        <v>4.2529989094874594</v>
      </c>
      <c r="AI20" s="66">
        <v>0</v>
      </c>
      <c r="AJ20" s="66">
        <f t="shared" si="15"/>
        <v>0</v>
      </c>
      <c r="AK20" s="65">
        <f t="shared" si="15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0">
        <v>29.18873900293255</v>
      </c>
      <c r="D21" s="55">
        <f t="shared" si="11"/>
        <v>7.194818035987903</v>
      </c>
      <c r="E21" s="54">
        <f t="shared" si="13"/>
        <v>42.761874846018614</v>
      </c>
      <c r="F21" s="132"/>
      <c r="G21" s="70">
        <f t="shared" si="3"/>
        <v>-0.5</v>
      </c>
      <c r="H21" s="61">
        <v>2.2858651026392964</v>
      </c>
      <c r="I21" s="60">
        <v>23.298240469208213</v>
      </c>
      <c r="J21" s="59">
        <v>1.2308504398826983</v>
      </c>
      <c r="K21" s="60">
        <v>0.61542521994134913</v>
      </c>
      <c r="L21" s="60">
        <v>1.6704398826979474</v>
      </c>
      <c r="M21" s="60">
        <v>0.79126099706744868</v>
      </c>
      <c r="N21" s="60">
        <v>0</v>
      </c>
      <c r="O21" s="60">
        <v>8.791788856304987E-2</v>
      </c>
      <c r="P21" s="69">
        <f t="shared" si="4"/>
        <v>29.980000000000008</v>
      </c>
      <c r="Q21">
        <f t="shared" si="12"/>
        <v>8.9066850940178133E-2</v>
      </c>
      <c r="R21" s="48">
        <f t="shared" si="5"/>
        <v>-0.5</v>
      </c>
      <c r="S21" s="67">
        <f t="shared" si="6"/>
        <v>7.6246334310850434</v>
      </c>
      <c r="T21" s="66">
        <f t="shared" si="6"/>
        <v>77.712609970674478</v>
      </c>
      <c r="U21" s="65">
        <f t="shared" si="6"/>
        <v>4.1055718475073313</v>
      </c>
      <c r="V21" s="66">
        <f t="shared" si="6"/>
        <v>2.0527859237536656</v>
      </c>
      <c r="W21" s="66">
        <f t="shared" si="6"/>
        <v>5.5718475073313778</v>
      </c>
      <c r="X21" s="66">
        <f t="shared" si="6"/>
        <v>2.6392961876832839</v>
      </c>
      <c r="Y21" s="66">
        <f t="shared" si="6"/>
        <v>0</v>
      </c>
      <c r="Z21" s="65">
        <f t="shared" si="6"/>
        <v>0.29325513196480935</v>
      </c>
      <c r="AA21" s="50">
        <f t="shared" si="7"/>
        <v>100</v>
      </c>
      <c r="AC21" s="48">
        <f t="shared" si="8"/>
        <v>-0.5</v>
      </c>
      <c r="AD21" s="67">
        <f t="shared" si="14"/>
        <v>7.831325301204819</v>
      </c>
      <c r="AE21" s="66">
        <f t="shared" si="14"/>
        <v>79.819277108433724</v>
      </c>
      <c r="AF21" s="65">
        <f t="shared" si="14"/>
        <v>4.2168674698795181</v>
      </c>
      <c r="AG21" s="67">
        <f t="shared" si="14"/>
        <v>2.1084337349397591</v>
      </c>
      <c r="AH21" s="66">
        <f t="shared" si="14"/>
        <v>5.7228915662650595</v>
      </c>
      <c r="AI21" s="66">
        <v>0</v>
      </c>
      <c r="AJ21" s="66">
        <f t="shared" si="15"/>
        <v>0</v>
      </c>
      <c r="AK21" s="65">
        <f t="shared" si="15"/>
        <v>0.3012048192771084</v>
      </c>
      <c r="AL21" s="64">
        <f t="shared" si="10"/>
        <v>99.999999999999986</v>
      </c>
    </row>
    <row r="22" spans="1:38" x14ac:dyDescent="0.35">
      <c r="A22" s="58" t="s">
        <v>55</v>
      </c>
      <c r="B22" s="57">
        <v>0</v>
      </c>
      <c r="C22" s="130">
        <v>21.77</v>
      </c>
      <c r="D22" s="55">
        <f t="shared" si="11"/>
        <v>5.3661512622289074</v>
      </c>
      <c r="E22" s="54">
        <f t="shared" si="13"/>
        <v>48.128026108247525</v>
      </c>
      <c r="F22" s="132"/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Q22">
        <f t="shared" si="12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4"/>
        <v>#DIV/0!</v>
      </c>
      <c r="AE22" s="46" t="e">
        <f t="shared" si="14"/>
        <v>#DIV/0!</v>
      </c>
      <c r="AF22" s="45" t="e">
        <f t="shared" si="14"/>
        <v>#DIV/0!</v>
      </c>
      <c r="AG22" s="47" t="e">
        <f t="shared" si="14"/>
        <v>#DIV/0!</v>
      </c>
      <c r="AH22" s="46" t="e">
        <f t="shared" si="14"/>
        <v>#DIV/0!</v>
      </c>
      <c r="AI22" s="46" t="e">
        <f t="shared" ref="AI22:AI33" si="16">X22*100/(SUM($S22:$W22)+SUM($Y22:$Z22))</f>
        <v>#DIV/0!</v>
      </c>
      <c r="AJ22" s="46" t="e">
        <f t="shared" si="15"/>
        <v>#DIV/0!</v>
      </c>
      <c r="AK22" s="45" t="e">
        <f t="shared" si="15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17.399999999999999</v>
      </c>
      <c r="D23" s="55">
        <f t="shared" si="11"/>
        <v>4.2889771227736784</v>
      </c>
      <c r="E23" s="54">
        <f t="shared" si="13"/>
        <v>52.417003231021205</v>
      </c>
      <c r="F23" s="132"/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Q23">
        <f t="shared" si="12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4"/>
        <v>#DIV/0!</v>
      </c>
      <c r="AE23" s="46" t="e">
        <f t="shared" si="14"/>
        <v>#DIV/0!</v>
      </c>
      <c r="AF23" s="45" t="e">
        <f t="shared" si="14"/>
        <v>#DIV/0!</v>
      </c>
      <c r="AG23" s="47" t="e">
        <f t="shared" si="14"/>
        <v>#DIV/0!</v>
      </c>
      <c r="AH23" s="46" t="e">
        <f t="shared" si="14"/>
        <v>#DIV/0!</v>
      </c>
      <c r="AI23" s="46" t="e">
        <f t="shared" si="16"/>
        <v>#DIV/0!</v>
      </c>
      <c r="AJ23" s="46" t="e">
        <f t="shared" si="15"/>
        <v>#DIV/0!</v>
      </c>
      <c r="AK23" s="45" t="e">
        <f t="shared" si="15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15.23</v>
      </c>
      <c r="D24" s="55">
        <f t="shared" si="11"/>
        <v>3.7540874471174215</v>
      </c>
      <c r="E24" s="54">
        <f t="shared" si="13"/>
        <v>56.171090678138626</v>
      </c>
      <c r="F24" s="132"/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Q24">
        <f t="shared" si="12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4"/>
        <v>#DIV/0!</v>
      </c>
      <c r="AE24" s="46" t="e">
        <f t="shared" si="14"/>
        <v>#DIV/0!</v>
      </c>
      <c r="AF24" s="45" t="e">
        <f t="shared" si="14"/>
        <v>#DIV/0!</v>
      </c>
      <c r="AG24" s="47" t="e">
        <f t="shared" si="14"/>
        <v>#DIV/0!</v>
      </c>
      <c r="AH24" s="46" t="e">
        <f t="shared" si="14"/>
        <v>#DIV/0!</v>
      </c>
      <c r="AI24" s="46" t="e">
        <f t="shared" si="16"/>
        <v>#DIV/0!</v>
      </c>
      <c r="AJ24" s="46" t="e">
        <f t="shared" si="15"/>
        <v>#DIV/0!</v>
      </c>
      <c r="AK24" s="45" t="e">
        <f t="shared" si="15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11.97</v>
      </c>
      <c r="D25" s="55">
        <f t="shared" si="11"/>
        <v>2.950520468942583</v>
      </c>
      <c r="E25" s="54">
        <f t="shared" si="13"/>
        <v>59.121611147081211</v>
      </c>
      <c r="F25" s="132"/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Q25">
        <f t="shared" si="12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4"/>
        <v>#DIV/0!</v>
      </c>
      <c r="AE25" s="46" t="e">
        <f t="shared" si="14"/>
        <v>#DIV/0!</v>
      </c>
      <c r="AF25" s="45" t="e">
        <f t="shared" si="14"/>
        <v>#DIV/0!</v>
      </c>
      <c r="AG25" s="47" t="e">
        <f t="shared" si="14"/>
        <v>#DIV/0!</v>
      </c>
      <c r="AH25" s="46" t="e">
        <f t="shared" si="14"/>
        <v>#DIV/0!</v>
      </c>
      <c r="AI25" s="46" t="e">
        <f t="shared" si="16"/>
        <v>#DIV/0!</v>
      </c>
      <c r="AJ25" s="46" t="e">
        <f t="shared" si="15"/>
        <v>#DIV/0!</v>
      </c>
      <c r="AK25" s="45" t="e">
        <f t="shared" si="15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12.05</v>
      </c>
      <c r="D26" s="55">
        <f t="shared" si="11"/>
        <v>2.9702399039898184</v>
      </c>
      <c r="E26" s="54">
        <f t="shared" si="13"/>
        <v>62.091851051071032</v>
      </c>
      <c r="F26" s="132"/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Q26">
        <f t="shared" si="12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4"/>
        <v>#DIV/0!</v>
      </c>
      <c r="AE26" s="46" t="e">
        <f t="shared" si="14"/>
        <v>#DIV/0!</v>
      </c>
      <c r="AF26" s="45" t="e">
        <f t="shared" si="14"/>
        <v>#DIV/0!</v>
      </c>
      <c r="AG26" s="47" t="e">
        <f t="shared" si="14"/>
        <v>#DIV/0!</v>
      </c>
      <c r="AH26" s="46" t="e">
        <f t="shared" si="14"/>
        <v>#DIV/0!</v>
      </c>
      <c r="AI26" s="46" t="e">
        <f t="shared" si="16"/>
        <v>#DIV/0!</v>
      </c>
      <c r="AJ26" s="46" t="e">
        <f t="shared" si="15"/>
        <v>#DIV/0!</v>
      </c>
      <c r="AK26" s="45" t="e">
        <f t="shared" si="15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13.21</v>
      </c>
      <c r="D27" s="55">
        <f t="shared" si="11"/>
        <v>3.2561717121747304</v>
      </c>
      <c r="E27" s="54">
        <f t="shared" si="13"/>
        <v>65.348022763245766</v>
      </c>
      <c r="F27" s="132"/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Q27">
        <f t="shared" si="12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4"/>
        <v>#DIV/0!</v>
      </c>
      <c r="AE27" s="46" t="e">
        <f t="shared" si="14"/>
        <v>#DIV/0!</v>
      </c>
      <c r="AF27" s="45" t="e">
        <f t="shared" si="14"/>
        <v>#DIV/0!</v>
      </c>
      <c r="AG27" s="47" t="e">
        <f t="shared" si="14"/>
        <v>#DIV/0!</v>
      </c>
      <c r="AH27" s="46" t="e">
        <f t="shared" si="14"/>
        <v>#DIV/0!</v>
      </c>
      <c r="AI27" s="46" t="e">
        <f t="shared" si="16"/>
        <v>#DIV/0!</v>
      </c>
      <c r="AJ27" s="46" t="e">
        <f t="shared" si="15"/>
        <v>#DIV/0!</v>
      </c>
      <c r="AK27" s="45" t="e">
        <f t="shared" si="15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12.19</v>
      </c>
      <c r="D28" s="55">
        <f t="shared" si="11"/>
        <v>3.0047489153224798</v>
      </c>
      <c r="E28" s="54">
        <f t="shared" si="13"/>
        <v>68.352771678568246</v>
      </c>
      <c r="F28" s="132"/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Q28">
        <f t="shared" si="12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4"/>
        <v>#DIV/0!</v>
      </c>
      <c r="AE28" s="46" t="e">
        <f t="shared" si="14"/>
        <v>#DIV/0!</v>
      </c>
      <c r="AF28" s="45" t="e">
        <f t="shared" si="14"/>
        <v>#DIV/0!</v>
      </c>
      <c r="AG28" s="47" t="e">
        <f t="shared" si="14"/>
        <v>#DIV/0!</v>
      </c>
      <c r="AH28" s="46" t="e">
        <f t="shared" si="14"/>
        <v>#DIV/0!</v>
      </c>
      <c r="AI28" s="46" t="e">
        <f t="shared" si="16"/>
        <v>#DIV/0!</v>
      </c>
      <c r="AJ28" s="46" t="e">
        <f t="shared" si="15"/>
        <v>#DIV/0!</v>
      </c>
      <c r="AK28" s="45" t="e">
        <f t="shared" si="15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11.08</v>
      </c>
      <c r="D29" s="55">
        <f t="shared" si="11"/>
        <v>2.7311417540420901</v>
      </c>
      <c r="E29" s="54">
        <f t="shared" si="13"/>
        <v>71.083913432610331</v>
      </c>
      <c r="F29" s="132"/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Q29">
        <f t="shared" si="12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4"/>
        <v>#DIV/0!</v>
      </c>
      <c r="AE29" s="46" t="e">
        <f t="shared" si="14"/>
        <v>#DIV/0!</v>
      </c>
      <c r="AF29" s="45" t="e">
        <f t="shared" si="14"/>
        <v>#DIV/0!</v>
      </c>
      <c r="AG29" s="47" t="e">
        <f t="shared" si="14"/>
        <v>#DIV/0!</v>
      </c>
      <c r="AH29" s="46" t="e">
        <f t="shared" si="14"/>
        <v>#DIV/0!</v>
      </c>
      <c r="AI29" s="46" t="e">
        <f t="shared" si="16"/>
        <v>#DIV/0!</v>
      </c>
      <c r="AJ29" s="46" t="e">
        <f t="shared" si="15"/>
        <v>#DIV/0!</v>
      </c>
      <c r="AK29" s="45" t="e">
        <f t="shared" si="15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23.36</v>
      </c>
      <c r="D30" s="55">
        <f t="shared" si="11"/>
        <v>5.7580750337927098</v>
      </c>
      <c r="E30" s="54">
        <f t="shared" si="13"/>
        <v>76.841988466403038</v>
      </c>
      <c r="F30" s="132"/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Q30">
        <f t="shared" si="12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4"/>
        <v>#DIV/0!</v>
      </c>
      <c r="AE30" s="46" t="e">
        <f t="shared" si="14"/>
        <v>#DIV/0!</v>
      </c>
      <c r="AF30" s="45" t="e">
        <f t="shared" si="14"/>
        <v>#DIV/0!</v>
      </c>
      <c r="AG30" s="47" t="e">
        <f t="shared" si="14"/>
        <v>#DIV/0!</v>
      </c>
      <c r="AH30" s="46" t="e">
        <f t="shared" si="14"/>
        <v>#DIV/0!</v>
      </c>
      <c r="AI30" s="46" t="e">
        <f t="shared" si="16"/>
        <v>#DIV/0!</v>
      </c>
      <c r="AJ30" s="46" t="e">
        <f t="shared" si="15"/>
        <v>#DIV/0!</v>
      </c>
      <c r="AK30" s="45" t="e">
        <f t="shared" si="15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93.95</v>
      </c>
      <c r="D31" s="55">
        <f t="shared" si="11"/>
        <v>23.158011533596966</v>
      </c>
      <c r="E31" s="54">
        <f t="shared" si="13"/>
        <v>100</v>
      </c>
      <c r="F31" s="132"/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Q31">
        <f t="shared" si="12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4"/>
        <v>#DIV/0!</v>
      </c>
      <c r="AE31" s="46" t="e">
        <f t="shared" si="14"/>
        <v>#DIV/0!</v>
      </c>
      <c r="AF31" s="45" t="e">
        <f t="shared" si="14"/>
        <v>#DIV/0!</v>
      </c>
      <c r="AG31" s="47" t="e">
        <f t="shared" si="14"/>
        <v>#DIV/0!</v>
      </c>
      <c r="AH31" s="46" t="e">
        <f t="shared" si="14"/>
        <v>#DIV/0!</v>
      </c>
      <c r="AI31" s="46" t="e">
        <f t="shared" si="16"/>
        <v>#DIV/0!</v>
      </c>
      <c r="AJ31" s="46" t="e">
        <f t="shared" si="15"/>
        <v>#DIV/0!</v>
      </c>
      <c r="AK31" s="45" t="e">
        <f t="shared" si="15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3"/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Q32">
        <f t="shared" si="12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4"/>
        <v>#DIV/0!</v>
      </c>
      <c r="AE32" s="46" t="e">
        <f t="shared" si="14"/>
        <v>#DIV/0!</v>
      </c>
      <c r="AF32" s="45" t="e">
        <f t="shared" si="14"/>
        <v>#DIV/0!</v>
      </c>
      <c r="AG32" s="47" t="e">
        <f t="shared" si="14"/>
        <v>#DIV/0!</v>
      </c>
      <c r="AH32" s="46" t="e">
        <f t="shared" si="14"/>
        <v>#DIV/0!</v>
      </c>
      <c r="AI32" s="46" t="e">
        <f t="shared" si="16"/>
        <v>#DIV/0!</v>
      </c>
      <c r="AJ32" s="46" t="e">
        <f t="shared" si="15"/>
        <v>#DIV/0!</v>
      </c>
      <c r="AK32" s="45" t="e">
        <f t="shared" si="15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3"/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Q33">
        <f>100*(M33/B$4)</f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4"/>
        <v>#DIV/0!</v>
      </c>
      <c r="AE33" s="31" t="e">
        <f t="shared" si="14"/>
        <v>#DIV/0!</v>
      </c>
      <c r="AF33" s="30" t="e">
        <f t="shared" si="14"/>
        <v>#DIV/0!</v>
      </c>
      <c r="AG33" s="32" t="e">
        <f t="shared" si="14"/>
        <v>#DIV/0!</v>
      </c>
      <c r="AH33" s="31" t="e">
        <f t="shared" si="14"/>
        <v>#DIV/0!</v>
      </c>
      <c r="AI33" s="31" t="e">
        <f t="shared" si="16"/>
        <v>#DIV/0!</v>
      </c>
      <c r="AJ33" s="31" t="e">
        <f t="shared" si="15"/>
        <v>#DIV/0!</v>
      </c>
      <c r="AK33" s="30" t="e">
        <f t="shared" si="15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36.740705341131722</v>
      </c>
      <c r="I34">
        <f t="shared" ref="I34:O34" si="17">SUM(I7:I33)</f>
        <v>107.7821716970977</v>
      </c>
      <c r="J34">
        <f t="shared" si="17"/>
        <v>6.3485508002349009</v>
      </c>
      <c r="K34">
        <f t="shared" si="17"/>
        <v>6.8485554573443608</v>
      </c>
      <c r="L34">
        <f t="shared" si="17"/>
        <v>15.673234532095556</v>
      </c>
      <c r="M34">
        <f t="shared" si="17"/>
        <v>482.69886428353266</v>
      </c>
      <c r="N34">
        <f t="shared" si="17"/>
        <v>0</v>
      </c>
      <c r="O34">
        <f t="shared" si="17"/>
        <v>8.791788856304987E-2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7" spans="1:10" x14ac:dyDescent="0.35">
      <c r="A67" s="5" t="s">
        <v>27</v>
      </c>
      <c r="B67" s="26"/>
      <c r="C67" s="2"/>
      <c r="D67" s="2"/>
    </row>
    <row r="68" spans="1:10" x14ac:dyDescent="0.35">
      <c r="A68" s="25" t="s">
        <v>42</v>
      </c>
      <c r="B68" s="25"/>
      <c r="C68" s="2"/>
      <c r="D68" s="2"/>
    </row>
    <row r="69" spans="1:10" x14ac:dyDescent="0.35">
      <c r="A69" s="24" t="s">
        <v>41</v>
      </c>
      <c r="B69" s="23">
        <v>5</v>
      </c>
      <c r="C69" s="18">
        <f t="shared" ref="C69:C75" si="18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-2.9807488693756277</v>
      </c>
      <c r="D69" s="2"/>
    </row>
    <row r="70" spans="1:10" x14ac:dyDescent="0.35">
      <c r="A70" s="24" t="s">
        <v>41</v>
      </c>
      <c r="B70" s="23">
        <v>16</v>
      </c>
      <c r="C70" s="18">
        <f t="shared" si="18"/>
        <v>-2.1803889851816032</v>
      </c>
      <c r="D70" s="2"/>
    </row>
    <row r="71" spans="1:10" x14ac:dyDescent="0.35">
      <c r="A71" s="24" t="s">
        <v>41</v>
      </c>
      <c r="B71" s="23">
        <v>25</v>
      </c>
      <c r="C71" s="18">
        <f t="shared" si="18"/>
        <v>-1.5839408170116325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8"/>
        <v>0.21823080867144729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8"/>
        <v>3.8400517138459582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8"/>
        <v>4.1545471968353658</v>
      </c>
      <c r="D74" s="2"/>
    </row>
    <row r="75" spans="1:10" x14ac:dyDescent="0.35">
      <c r="A75" s="24" t="s">
        <v>41</v>
      </c>
      <c r="B75" s="23">
        <v>95</v>
      </c>
      <c r="C75" s="18">
        <f t="shared" si="18"/>
        <v>4.3920459990110521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35.567056810030714</v>
      </c>
    </row>
    <row r="78" spans="1:10" x14ac:dyDescent="0.35">
      <c r="A78" s="20" t="s">
        <v>39</v>
      </c>
      <c r="B78" s="132">
        <f>SUM(C11:C20)/SUM(C7:C33)</f>
        <v>0.35567056810030712</v>
      </c>
      <c r="D78" s="19" t="s">
        <v>6</v>
      </c>
      <c r="E78" s="18">
        <f>SUM($D$21:$D$30)</f>
        <v>41.274931656372317</v>
      </c>
    </row>
    <row r="79" spans="1:10" x14ac:dyDescent="0.35">
      <c r="A79" s="20" t="s">
        <v>38</v>
      </c>
      <c r="B79" s="132">
        <f>SUM(C21:C33)/SUM(C7:C33)</f>
        <v>0.64432943189969283</v>
      </c>
      <c r="D79" s="19" t="s">
        <v>5</v>
      </c>
      <c r="E79" s="18">
        <f>SUM($D$31:$D$33)</f>
        <v>23.158011533596966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22.992384382100074</v>
      </c>
      <c r="D81" s="16" t="s">
        <v>4</v>
      </c>
      <c r="E81">
        <f>100*SUM(H7:J33)/SUM(P7:P33)</f>
        <v>22.992384382100074</v>
      </c>
      <c r="G81" s="17" t="s">
        <v>2</v>
      </c>
      <c r="H81">
        <f>100*SUM(H7:H33)/(SUM(P7:P33)-SUM(M7:N33))</f>
        <v>21.178501737030171</v>
      </c>
    </row>
    <row r="82" spans="1:8" x14ac:dyDescent="0.35">
      <c r="A82" s="16" t="s">
        <v>0</v>
      </c>
      <c r="B82">
        <f>100*SUM(K7:L33)/SUM(P7:P33)</f>
        <v>3.432257915425633</v>
      </c>
      <c r="D82" s="16" t="s">
        <v>0</v>
      </c>
      <c r="E82">
        <f>100*SUM(K7:L33)/SUM(P7:P33)</f>
        <v>3.432257915425633</v>
      </c>
      <c r="G82" s="17" t="s">
        <v>1</v>
      </c>
      <c r="H82">
        <f>100*SUM(I7:J33)/(SUM(P7:P33)-SUM(M7:N33))</f>
        <v>65.788549300175546</v>
      </c>
    </row>
    <row r="83" spans="1:8" x14ac:dyDescent="0.35">
      <c r="A83" s="16" t="s">
        <v>3</v>
      </c>
      <c r="B83">
        <f>100*SUM(O7:O33)/SUM(P7:P33)</f>
        <v>1.3398440757574119E-2</v>
      </c>
      <c r="D83" s="16" t="s">
        <v>37</v>
      </c>
      <c r="E83">
        <f>100*SUM(M7:N33)/SUM(P7:P33)</f>
        <v>73.561959261716694</v>
      </c>
      <c r="G83" s="17" t="s">
        <v>0</v>
      </c>
      <c r="H83">
        <f>100*SUM(K7:L33)/(SUM(P7:P33)-SUM(M7:N33))</f>
        <v>12.982270317995201</v>
      </c>
    </row>
    <row r="85" spans="1:8" x14ac:dyDescent="0.35">
      <c r="A85" s="16" t="s">
        <v>36</v>
      </c>
      <c r="B85" s="2"/>
      <c r="C85" s="2"/>
      <c r="D85" s="13">
        <f>(C70+C74+C72)/3</f>
        <v>0.73079634010840333</v>
      </c>
    </row>
    <row r="86" spans="1:8" x14ac:dyDescent="0.35">
      <c r="A86" s="14" t="s">
        <v>35</v>
      </c>
      <c r="B86" s="14"/>
      <c r="C86" s="14"/>
      <c r="D86" s="7">
        <f>C72</f>
        <v>0.21823080867144729</v>
      </c>
    </row>
    <row r="87" spans="1:8" x14ac:dyDescent="0.35">
      <c r="A87" s="14" t="s">
        <v>34</v>
      </c>
      <c r="B87" s="14"/>
      <c r="C87" s="14"/>
      <c r="D87" s="7">
        <f>(C74-C70)/2</f>
        <v>3.1674680910084847</v>
      </c>
    </row>
    <row r="88" spans="1:8" x14ac:dyDescent="0.35">
      <c r="A88" s="15" t="s">
        <v>33</v>
      </c>
      <c r="B88" s="14"/>
      <c r="C88" s="14"/>
      <c r="D88" s="13">
        <f>(C74+C70-D86)/D87</f>
        <v>0.55436309144419782</v>
      </c>
    </row>
    <row r="89" spans="1:8" x14ac:dyDescent="0.35">
      <c r="A89" s="3" t="s">
        <v>32</v>
      </c>
      <c r="B89" s="12"/>
      <c r="C89" s="11"/>
      <c r="D89" s="7">
        <f>((C74-C70)/4)+((C75-C69)/6.6)</f>
        <v>2.7008241770779815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0.18747669422831481</v>
      </c>
    </row>
    <row r="91" spans="1:8" x14ac:dyDescent="0.35">
      <c r="A91" s="3" t="s">
        <v>30</v>
      </c>
      <c r="B91" s="9"/>
      <c r="C91" s="8"/>
      <c r="D91" s="7">
        <f>(C74-C69)/(2.44*(C73-C71))</f>
        <v>0.53914190512676685</v>
      </c>
    </row>
    <row r="92" spans="1:8" x14ac:dyDescent="0.35">
      <c r="A92" s="6" t="s">
        <v>29</v>
      </c>
      <c r="B92" s="6"/>
      <c r="C92" s="5"/>
      <c r="D92" s="7">
        <f>(C70+C72+C74)/3</f>
        <v>0.73079634010840333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0.9870791058268813</v>
      </c>
    </row>
    <row r="95" spans="1:8" x14ac:dyDescent="0.35">
      <c r="A95" s="2" t="s">
        <v>9</v>
      </c>
      <c r="B95" s="2"/>
      <c r="C95" s="2"/>
      <c r="D95" s="1">
        <f>100-E23</f>
        <v>47.582996768978795</v>
      </c>
    </row>
    <row r="96" spans="1:8" x14ac:dyDescent="0.35">
      <c r="A96" s="2" t="s">
        <v>8</v>
      </c>
      <c r="B96" s="2"/>
      <c r="C96" s="2"/>
      <c r="D96" s="1">
        <f>100-E30</f>
        <v>23.158011533596962</v>
      </c>
    </row>
    <row r="98" spans="1:3" x14ac:dyDescent="0.35">
      <c r="A98" t="s">
        <v>94</v>
      </c>
      <c r="C98" t="str">
        <f>IF(SUM(M7:N33)&gt;0,"Mixed","No Mixed")</f>
        <v>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MAY210717_5_no_aggr</v>
      </c>
      <c r="E2" s="142"/>
      <c r="G2" s="109" t="s">
        <v>90</v>
      </c>
      <c r="H2" s="108" t="str">
        <f ca="1">D2</f>
        <v>MAY210717_5_no_aggr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v>888.39000000000021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2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2"/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11"/>
        <v>0</v>
      </c>
      <c r="E11" s="54">
        <f t="shared" si="12"/>
        <v>0</v>
      </c>
      <c r="F11" s="132"/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11"/>
        <v>0</v>
      </c>
      <c r="E12" s="54">
        <f t="shared" si="12"/>
        <v>0</v>
      </c>
      <c r="F12" s="132"/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11"/>
        <v>0</v>
      </c>
      <c r="E13" s="54">
        <f t="shared" si="12"/>
        <v>0</v>
      </c>
      <c r="F13" s="132"/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0</v>
      </c>
      <c r="D14" s="55">
        <f t="shared" si="11"/>
        <v>0</v>
      </c>
      <c r="E14" s="54">
        <f t="shared" si="12"/>
        <v>0</v>
      </c>
      <c r="F14" s="132"/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4.099400584795319</v>
      </c>
      <c r="D15" s="55">
        <f t="shared" si="11"/>
        <v>1.0104732945558716</v>
      </c>
      <c r="E15" s="54">
        <f t="shared" si="12"/>
        <v>1.0104732945558716</v>
      </c>
      <c r="F15" s="132"/>
      <c r="G15" s="48">
        <f t="shared" si="3"/>
        <v>-3.5</v>
      </c>
      <c r="H15" s="61">
        <v>1.399795321637427</v>
      </c>
      <c r="I15" s="60">
        <v>2.6996052631578955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50">
        <f t="shared" si="4"/>
        <v>4.0994005847953225</v>
      </c>
      <c r="R15" s="48">
        <f t="shared" si="5"/>
        <v>-3.5</v>
      </c>
      <c r="S15" s="67">
        <f t="shared" si="6"/>
        <v>34.146341463414629</v>
      </c>
      <c r="T15" s="66">
        <f t="shared" si="6"/>
        <v>65.853658536585371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3">S15*100/(SUM($S15:$W15)+SUM($Y15:$Z15))</f>
        <v>34.146341463414629</v>
      </c>
      <c r="AE15" s="66">
        <f t="shared" si="13"/>
        <v>65.853658536585371</v>
      </c>
      <c r="AF15" s="65">
        <f t="shared" si="13"/>
        <v>0</v>
      </c>
      <c r="AG15" s="67">
        <f t="shared" si="13"/>
        <v>0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15.172829581993568</v>
      </c>
      <c r="D16" s="55">
        <f t="shared" si="11"/>
        <v>3.7399953428111572</v>
      </c>
      <c r="E16" s="54">
        <f t="shared" si="12"/>
        <v>4.7504686373670291</v>
      </c>
      <c r="F16" s="132"/>
      <c r="G16" s="48">
        <f t="shared" si="3"/>
        <v>-3</v>
      </c>
      <c r="H16" s="61">
        <v>5.22508038585209</v>
      </c>
      <c r="I16" s="60">
        <v>5.627009646302251</v>
      </c>
      <c r="J16" s="59">
        <v>0</v>
      </c>
      <c r="K16" s="60">
        <v>0</v>
      </c>
      <c r="L16" s="60">
        <v>4.320739549839228</v>
      </c>
      <c r="M16" s="60">
        <v>0</v>
      </c>
      <c r="N16" s="60">
        <v>0</v>
      </c>
      <c r="O16" s="60">
        <v>0</v>
      </c>
      <c r="P16" s="50">
        <f t="shared" si="4"/>
        <v>15.172829581993568</v>
      </c>
      <c r="R16" s="48">
        <f t="shared" si="5"/>
        <v>-3</v>
      </c>
      <c r="S16" s="67">
        <f t="shared" si="6"/>
        <v>34.437086092715234</v>
      </c>
      <c r="T16" s="66">
        <f t="shared" si="6"/>
        <v>37.086092715231793</v>
      </c>
      <c r="U16" s="65">
        <f t="shared" si="6"/>
        <v>0</v>
      </c>
      <c r="V16" s="66">
        <f t="shared" si="6"/>
        <v>0</v>
      </c>
      <c r="W16" s="66">
        <f t="shared" si="6"/>
        <v>28.476821192052981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3"/>
        <v>34.437086092715234</v>
      </c>
      <c r="AE16" s="66">
        <f t="shared" si="13"/>
        <v>37.086092715231786</v>
      </c>
      <c r="AF16" s="65">
        <f t="shared" si="13"/>
        <v>0</v>
      </c>
      <c r="AG16" s="67">
        <f t="shared" si="13"/>
        <v>0</v>
      </c>
      <c r="AH16" s="66">
        <f t="shared" si="13"/>
        <v>28.476821192052977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26.292653631284914</v>
      </c>
      <c r="D17" s="55">
        <f t="shared" si="11"/>
        <v>6.4809534437697298</v>
      </c>
      <c r="E17" s="54">
        <f t="shared" si="12"/>
        <v>11.23142208113676</v>
      </c>
      <c r="F17" s="132"/>
      <c r="G17" s="48">
        <f t="shared" si="3"/>
        <v>-2.5</v>
      </c>
      <c r="H17" s="61">
        <v>8.5975977653631279</v>
      </c>
      <c r="I17" s="60">
        <v>12.096620111731843</v>
      </c>
      <c r="J17" s="59">
        <v>0.79977653631284928</v>
      </c>
      <c r="K17" s="60">
        <v>1.4995810055865924</v>
      </c>
      <c r="L17" s="60">
        <v>3.2990782122905027</v>
      </c>
      <c r="M17" s="60">
        <v>0</v>
      </c>
      <c r="N17" s="60">
        <v>0</v>
      </c>
      <c r="O17" s="60">
        <v>0</v>
      </c>
      <c r="P17" s="50">
        <f t="shared" si="4"/>
        <v>26.292653631284914</v>
      </c>
      <c r="R17" s="48">
        <f t="shared" si="5"/>
        <v>-2.5</v>
      </c>
      <c r="S17" s="67">
        <f t="shared" si="6"/>
        <v>32.699619771863119</v>
      </c>
      <c r="T17" s="66">
        <f t="shared" si="6"/>
        <v>46.007604562737647</v>
      </c>
      <c r="U17" s="65">
        <f t="shared" si="6"/>
        <v>3.0418250950570349</v>
      </c>
      <c r="V17" s="66">
        <f t="shared" si="6"/>
        <v>5.7034220532319404</v>
      </c>
      <c r="W17" s="66">
        <f t="shared" si="6"/>
        <v>12.547528517110267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3"/>
        <v>32.699619771863112</v>
      </c>
      <c r="AE17" s="66">
        <f t="shared" si="13"/>
        <v>46.007604562737647</v>
      </c>
      <c r="AF17" s="65">
        <f t="shared" si="13"/>
        <v>3.0418250950570345</v>
      </c>
      <c r="AG17" s="67">
        <f t="shared" si="13"/>
        <v>5.7034220532319404</v>
      </c>
      <c r="AH17" s="66">
        <f t="shared" si="13"/>
        <v>12.547528517110266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130">
        <v>30.264441805225651</v>
      </c>
      <c r="D18" s="55">
        <f t="shared" si="11"/>
        <v>7.4599711802372513</v>
      </c>
      <c r="E18" s="54">
        <f t="shared" si="12"/>
        <v>18.69139326137401</v>
      </c>
      <c r="F18" s="132"/>
      <c r="G18" s="48">
        <f t="shared" si="3"/>
        <v>-2</v>
      </c>
      <c r="H18" s="61">
        <v>7.2393349168646095</v>
      </c>
      <c r="I18" s="60">
        <v>19.606532066508315</v>
      </c>
      <c r="J18" s="59">
        <v>1.307102137767221</v>
      </c>
      <c r="K18" s="60">
        <v>0.90491686460807619</v>
      </c>
      <c r="L18" s="60">
        <v>1.2065558194774348</v>
      </c>
      <c r="M18" s="60">
        <v>0</v>
      </c>
      <c r="N18" s="60">
        <v>0</v>
      </c>
      <c r="O18" s="60">
        <v>0</v>
      </c>
      <c r="P18" s="50">
        <f t="shared" si="4"/>
        <v>30.264441805225655</v>
      </c>
      <c r="R18" s="48">
        <f t="shared" si="5"/>
        <v>-2</v>
      </c>
      <c r="S18" s="67">
        <f t="shared" si="6"/>
        <v>23.920265780730901</v>
      </c>
      <c r="T18" s="66">
        <f t="shared" si="6"/>
        <v>64.784053156146172</v>
      </c>
      <c r="U18" s="65">
        <f t="shared" si="6"/>
        <v>4.3189368770764123</v>
      </c>
      <c r="V18" s="66">
        <f t="shared" si="6"/>
        <v>2.9900332225913626</v>
      </c>
      <c r="W18" s="66">
        <f t="shared" si="6"/>
        <v>3.9867109634551499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3"/>
        <v>23.920265780730901</v>
      </c>
      <c r="AE18" s="66">
        <f t="shared" si="13"/>
        <v>64.784053156146172</v>
      </c>
      <c r="AF18" s="65">
        <f t="shared" si="13"/>
        <v>4.3189368770764123</v>
      </c>
      <c r="AG18" s="67">
        <f t="shared" si="13"/>
        <v>2.9900332225913626</v>
      </c>
      <c r="AH18" s="66">
        <f t="shared" si="13"/>
        <v>3.9867109634551499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30">
        <v>30.756992481203007</v>
      </c>
      <c r="D19" s="55">
        <f t="shared" si="11"/>
        <v>7.5813814435173414</v>
      </c>
      <c r="E19" s="54">
        <f t="shared" si="12"/>
        <v>26.272774704891351</v>
      </c>
      <c r="F19" s="132"/>
      <c r="G19" s="48">
        <f t="shared" si="3"/>
        <v>-1.5</v>
      </c>
      <c r="H19" s="61">
        <v>7.9222556390977443</v>
      </c>
      <c r="I19" s="60">
        <v>15.999849624060152</v>
      </c>
      <c r="J19" s="59">
        <v>1.2427067669172933</v>
      </c>
      <c r="K19" s="60">
        <v>2.0193984962406013</v>
      </c>
      <c r="L19" s="60">
        <v>3.5727819548872173</v>
      </c>
      <c r="M19" s="60">
        <v>0</v>
      </c>
      <c r="N19" s="60">
        <v>0</v>
      </c>
      <c r="O19" s="60">
        <v>0</v>
      </c>
      <c r="P19" s="50">
        <f t="shared" si="4"/>
        <v>30.756992481203007</v>
      </c>
      <c r="R19" s="48">
        <f t="shared" si="5"/>
        <v>-1.5</v>
      </c>
      <c r="S19" s="67">
        <f t="shared" si="6"/>
        <v>25.757575757575758</v>
      </c>
      <c r="T19" s="66">
        <f t="shared" si="6"/>
        <v>52.020202020202028</v>
      </c>
      <c r="U19" s="65">
        <f t="shared" si="6"/>
        <v>4.0404040404040407</v>
      </c>
      <c r="V19" s="66">
        <f t="shared" si="6"/>
        <v>6.5656565656565649</v>
      </c>
      <c r="W19" s="66">
        <f t="shared" si="6"/>
        <v>11.616161616161614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3"/>
        <v>25.757575757575758</v>
      </c>
      <c r="AE19" s="66">
        <f t="shared" si="13"/>
        <v>52.020202020202028</v>
      </c>
      <c r="AF19" s="65">
        <f t="shared" si="13"/>
        <v>4.0404040404040398</v>
      </c>
      <c r="AG19" s="67">
        <f t="shared" si="13"/>
        <v>6.565656565656564</v>
      </c>
      <c r="AH19" s="66">
        <f t="shared" si="13"/>
        <v>11.616161616161612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37.706078629032255</v>
      </c>
      <c r="D20" s="55">
        <f t="shared" si="11"/>
        <v>9.2942821051393611</v>
      </c>
      <c r="E20" s="54">
        <f t="shared" si="12"/>
        <v>35.567056810030714</v>
      </c>
      <c r="F20" s="132"/>
      <c r="G20" s="48">
        <f t="shared" si="3"/>
        <v>-1</v>
      </c>
      <c r="H20" s="61">
        <v>4.0707762096774198</v>
      </c>
      <c r="I20" s="60">
        <v>28.454314516129031</v>
      </c>
      <c r="J20" s="59">
        <v>1.7681149193548387</v>
      </c>
      <c r="K20" s="60">
        <v>1.809233870967742</v>
      </c>
      <c r="L20" s="60">
        <v>1.6036391129032259</v>
      </c>
      <c r="M20" s="60">
        <v>0</v>
      </c>
      <c r="N20" s="60">
        <v>0</v>
      </c>
      <c r="O20" s="60">
        <v>0</v>
      </c>
      <c r="P20" s="50">
        <f t="shared" si="4"/>
        <v>37.706078629032255</v>
      </c>
      <c r="R20" s="48">
        <f t="shared" si="5"/>
        <v>-1</v>
      </c>
      <c r="S20" s="67">
        <f t="shared" si="6"/>
        <v>10.796074154852784</v>
      </c>
      <c r="T20" s="66">
        <f t="shared" si="6"/>
        <v>75.463467829880045</v>
      </c>
      <c r="U20" s="65">
        <f t="shared" si="6"/>
        <v>4.6892039258451472</v>
      </c>
      <c r="V20" s="66">
        <f t="shared" si="6"/>
        <v>4.7982551799345696</v>
      </c>
      <c r="W20" s="66">
        <f t="shared" si="6"/>
        <v>4.2529989094874594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3"/>
        <v>10.796074154852782</v>
      </c>
      <c r="AE20" s="66">
        <f t="shared" si="13"/>
        <v>75.463467829880031</v>
      </c>
      <c r="AF20" s="65">
        <f t="shared" si="13"/>
        <v>4.6892039258451463</v>
      </c>
      <c r="AG20" s="67">
        <f t="shared" si="13"/>
        <v>4.7982551799345687</v>
      </c>
      <c r="AH20" s="66">
        <f t="shared" si="13"/>
        <v>4.2529989094874585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130">
        <v>29.18873900293255</v>
      </c>
      <c r="D21" s="55">
        <f t="shared" si="11"/>
        <v>7.194818035987903</v>
      </c>
      <c r="E21" s="54">
        <f t="shared" si="12"/>
        <v>42.761874846018614</v>
      </c>
      <c r="F21" s="132"/>
      <c r="G21" s="70">
        <f t="shared" si="3"/>
        <v>-0.5</v>
      </c>
      <c r="H21" s="61">
        <v>2.2858651026392964</v>
      </c>
      <c r="I21" s="60">
        <v>23.298240469208213</v>
      </c>
      <c r="J21" s="59">
        <v>1.2308504398826983</v>
      </c>
      <c r="K21" s="60">
        <v>0.61542521994134913</v>
      </c>
      <c r="L21" s="60">
        <v>1.6704398826979474</v>
      </c>
      <c r="M21" s="60">
        <v>0</v>
      </c>
      <c r="N21" s="60">
        <v>0</v>
      </c>
      <c r="O21" s="60">
        <v>8.791788856304987E-2</v>
      </c>
      <c r="P21" s="69">
        <f t="shared" si="4"/>
        <v>29.188739002932557</v>
      </c>
      <c r="R21" s="48">
        <f t="shared" si="5"/>
        <v>-0.5</v>
      </c>
      <c r="S21" s="67">
        <f t="shared" si="6"/>
        <v>7.831325301204819</v>
      </c>
      <c r="T21" s="66">
        <f t="shared" si="6"/>
        <v>79.819277108433724</v>
      </c>
      <c r="U21" s="65">
        <f t="shared" si="6"/>
        <v>4.2168674698795181</v>
      </c>
      <c r="V21" s="66">
        <f t="shared" si="6"/>
        <v>2.1084337349397591</v>
      </c>
      <c r="W21" s="66">
        <f t="shared" si="6"/>
        <v>5.7228915662650595</v>
      </c>
      <c r="X21" s="66">
        <f t="shared" si="6"/>
        <v>0</v>
      </c>
      <c r="Y21" s="66">
        <f t="shared" si="6"/>
        <v>0</v>
      </c>
      <c r="Z21" s="65">
        <f t="shared" si="6"/>
        <v>0.3012048192771084</v>
      </c>
      <c r="AA21" s="50">
        <f t="shared" si="7"/>
        <v>99.999999999999986</v>
      </c>
      <c r="AC21" s="48">
        <f t="shared" si="8"/>
        <v>-0.5</v>
      </c>
      <c r="AD21" s="67">
        <f t="shared" si="13"/>
        <v>7.8313253012048198</v>
      </c>
      <c r="AE21" s="66">
        <f t="shared" si="13"/>
        <v>79.819277108433738</v>
      </c>
      <c r="AF21" s="65">
        <f t="shared" si="13"/>
        <v>4.216867469879519</v>
      </c>
      <c r="AG21" s="67">
        <f t="shared" si="13"/>
        <v>2.1084337349397595</v>
      </c>
      <c r="AH21" s="66">
        <f t="shared" si="13"/>
        <v>5.7228915662650603</v>
      </c>
      <c r="AI21" s="66">
        <v>0</v>
      </c>
      <c r="AJ21" s="66">
        <f t="shared" si="14"/>
        <v>0</v>
      </c>
      <c r="AK21" s="65">
        <f t="shared" si="14"/>
        <v>0.30120481927710846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30">
        <v>21.77</v>
      </c>
      <c r="D22" s="55">
        <f t="shared" si="11"/>
        <v>5.3661512622289074</v>
      </c>
      <c r="E22" s="54">
        <f t="shared" si="12"/>
        <v>48.128026108247525</v>
      </c>
      <c r="F22" s="132"/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3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17.399999999999999</v>
      </c>
      <c r="D23" s="55">
        <f t="shared" si="11"/>
        <v>4.2889771227736784</v>
      </c>
      <c r="E23" s="54">
        <f t="shared" si="12"/>
        <v>52.417003231021205</v>
      </c>
      <c r="F23" s="132"/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3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15.23</v>
      </c>
      <c r="D24" s="55">
        <f t="shared" si="11"/>
        <v>3.7540874471174215</v>
      </c>
      <c r="E24" s="54">
        <f t="shared" si="12"/>
        <v>56.171090678138626</v>
      </c>
      <c r="F24" s="132"/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3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11.97</v>
      </c>
      <c r="D25" s="55">
        <f t="shared" si="11"/>
        <v>2.950520468942583</v>
      </c>
      <c r="E25" s="54">
        <f t="shared" si="12"/>
        <v>59.121611147081211</v>
      </c>
      <c r="F25" s="132"/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3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12.05</v>
      </c>
      <c r="D26" s="55">
        <f t="shared" si="11"/>
        <v>2.9702399039898184</v>
      </c>
      <c r="E26" s="54">
        <f t="shared" si="12"/>
        <v>62.091851051071032</v>
      </c>
      <c r="F26" s="132"/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3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13.21</v>
      </c>
      <c r="D27" s="55">
        <f t="shared" si="11"/>
        <v>3.2561717121747304</v>
      </c>
      <c r="E27" s="54">
        <f t="shared" si="12"/>
        <v>65.348022763245766</v>
      </c>
      <c r="F27" s="132"/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3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12.19</v>
      </c>
      <c r="D28" s="55">
        <f t="shared" si="11"/>
        <v>3.0047489153224798</v>
      </c>
      <c r="E28" s="54">
        <f t="shared" si="12"/>
        <v>68.352771678568246</v>
      </c>
      <c r="F28" s="132"/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3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11.08</v>
      </c>
      <c r="D29" s="55">
        <f t="shared" si="11"/>
        <v>2.7311417540420901</v>
      </c>
      <c r="E29" s="54">
        <f t="shared" si="12"/>
        <v>71.083913432610331</v>
      </c>
      <c r="F29" s="132"/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3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23.36</v>
      </c>
      <c r="D30" s="55">
        <f t="shared" si="11"/>
        <v>5.7580750337927098</v>
      </c>
      <c r="E30" s="54">
        <f t="shared" si="12"/>
        <v>76.841988466403038</v>
      </c>
      <c r="F30" s="132"/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3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93.95</v>
      </c>
      <c r="D31" s="55">
        <f t="shared" si="11"/>
        <v>23.158011533596966</v>
      </c>
      <c r="E31" s="54">
        <f t="shared" si="12"/>
        <v>100</v>
      </c>
      <c r="F31" s="132"/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3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2"/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3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2"/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3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36.740705341131722</v>
      </c>
      <c r="I34">
        <f t="shared" ref="I34:O34" si="16">SUM(I7:I33)</f>
        <v>107.7821716970977</v>
      </c>
      <c r="J34">
        <f t="shared" si="16"/>
        <v>6.3485508002349009</v>
      </c>
      <c r="K34">
        <f t="shared" si="16"/>
        <v>6.8485554573443608</v>
      </c>
      <c r="L34">
        <f t="shared" si="16"/>
        <v>15.673234532095556</v>
      </c>
      <c r="M34">
        <f t="shared" si="16"/>
        <v>0</v>
      </c>
      <c r="N34">
        <f t="shared" si="16"/>
        <v>0</v>
      </c>
      <c r="O34">
        <f t="shared" si="16"/>
        <v>8.791788856304987E-2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6" spans="1:27" x14ac:dyDescent="0.35">
      <c r="H66" s="132"/>
      <c r="I66" s="132"/>
      <c r="J66" s="132"/>
      <c r="K66" s="132"/>
      <c r="L66" s="132"/>
      <c r="M66" s="132"/>
      <c r="N66" s="132"/>
      <c r="O66" s="132"/>
      <c r="P66" s="132"/>
      <c r="S66" s="132">
        <f>SUM(S15:S21)</f>
        <v>169.58828832235727</v>
      </c>
      <c r="T66" s="132">
        <f t="shared" ref="T66:Z66" si="17">SUM(T15:T21)</f>
        <v>421.03435592921682</v>
      </c>
      <c r="U66" s="132">
        <f t="shared" si="17"/>
        <v>20.307237408262154</v>
      </c>
      <c r="V66" s="132">
        <f t="shared" si="17"/>
        <v>22.165800756354194</v>
      </c>
      <c r="W66" s="132">
        <f t="shared" si="17"/>
        <v>66.603112764532526</v>
      </c>
      <c r="X66" s="132">
        <f t="shared" si="17"/>
        <v>0</v>
      </c>
      <c r="Y66" s="132">
        <f t="shared" si="17"/>
        <v>0</v>
      </c>
      <c r="Z66" s="132">
        <f t="shared" si="17"/>
        <v>0.3012048192771084</v>
      </c>
      <c r="AA66" s="132">
        <f>SUM(AA15:AA21)</f>
        <v>700</v>
      </c>
    </row>
    <row r="67" spans="1:27" x14ac:dyDescent="0.35">
      <c r="A67" s="5" t="s">
        <v>27</v>
      </c>
      <c r="B67" s="26"/>
      <c r="C67" s="2"/>
      <c r="D67" s="2"/>
      <c r="H67" s="132"/>
      <c r="I67" s="132"/>
      <c r="J67" s="132"/>
      <c r="K67" s="132"/>
      <c r="L67" s="132"/>
      <c r="M67" s="132"/>
      <c r="N67" s="132"/>
      <c r="O67" s="132"/>
      <c r="P67" s="132"/>
      <c r="S67" s="132">
        <f>(S66*100)/$AA66</f>
        <v>24.226898331765323</v>
      </c>
      <c r="T67" s="132">
        <f t="shared" ref="T67:Z67" si="18">(T66*100)/$AA66</f>
        <v>60.147765132745263</v>
      </c>
      <c r="U67" s="132">
        <f t="shared" si="18"/>
        <v>2.9010339154660221</v>
      </c>
      <c r="V67" s="132">
        <f t="shared" si="18"/>
        <v>3.166542965193456</v>
      </c>
      <c r="W67" s="132">
        <f t="shared" si="18"/>
        <v>9.5147303949332187</v>
      </c>
      <c r="X67" s="132">
        <f t="shared" si="18"/>
        <v>0</v>
      </c>
      <c r="Y67" s="132">
        <f t="shared" si="18"/>
        <v>0</v>
      </c>
      <c r="Z67" s="132">
        <f t="shared" si="18"/>
        <v>4.3029259896729774E-2</v>
      </c>
      <c r="AA67" s="132">
        <f>SUM(S67:Z67)</f>
        <v>100.00000000000001</v>
      </c>
    </row>
    <row r="68" spans="1:27" x14ac:dyDescent="0.35">
      <c r="A68" s="25" t="s">
        <v>42</v>
      </c>
      <c r="B68" s="25"/>
      <c r="C68" s="2"/>
      <c r="D68" s="2"/>
    </row>
    <row r="69" spans="1:27" x14ac:dyDescent="0.35">
      <c r="A69" s="24" t="s">
        <v>41</v>
      </c>
      <c r="B69" s="23">
        <v>5</v>
      </c>
      <c r="C69" s="18">
        <f t="shared" ref="C69:C75" si="19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-2.9807488693756277</v>
      </c>
      <c r="D69" s="2"/>
    </row>
    <row r="70" spans="1:27" x14ac:dyDescent="0.35">
      <c r="A70" s="24" t="s">
        <v>41</v>
      </c>
      <c r="B70" s="23">
        <v>16</v>
      </c>
      <c r="C70" s="18">
        <f t="shared" si="19"/>
        <v>-2.1803889851816032</v>
      </c>
      <c r="D70" s="2"/>
    </row>
    <row r="71" spans="1:27" x14ac:dyDescent="0.35">
      <c r="A71" s="24" t="s">
        <v>41</v>
      </c>
      <c r="B71" s="23">
        <v>25</v>
      </c>
      <c r="C71" s="18">
        <f t="shared" si="19"/>
        <v>-1.5839408170116325</v>
      </c>
      <c r="D71" s="2"/>
      <c r="J71" s="132"/>
    </row>
    <row r="72" spans="1:27" x14ac:dyDescent="0.35">
      <c r="A72" s="24" t="s">
        <v>41</v>
      </c>
      <c r="B72" s="23">
        <v>50</v>
      </c>
      <c r="C72" s="18">
        <f t="shared" si="19"/>
        <v>0.21823080867144729</v>
      </c>
      <c r="D72" s="2"/>
      <c r="J72" s="132"/>
    </row>
    <row r="73" spans="1:27" x14ac:dyDescent="0.35">
      <c r="A73" s="24" t="s">
        <v>41</v>
      </c>
      <c r="B73" s="23">
        <v>75</v>
      </c>
      <c r="C73" s="18">
        <f t="shared" si="19"/>
        <v>3.8400517138459582</v>
      </c>
      <c r="D73" s="2"/>
      <c r="J73" s="132"/>
    </row>
    <row r="74" spans="1:27" x14ac:dyDescent="0.35">
      <c r="A74" s="24" t="s">
        <v>41</v>
      </c>
      <c r="B74" s="23">
        <v>84</v>
      </c>
      <c r="C74" s="18">
        <f t="shared" si="19"/>
        <v>4.1545471968353658</v>
      </c>
      <c r="D74" s="2"/>
    </row>
    <row r="75" spans="1:27" x14ac:dyDescent="0.35">
      <c r="A75" s="24" t="s">
        <v>41</v>
      </c>
      <c r="B75" s="23">
        <v>95</v>
      </c>
      <c r="C75" s="18">
        <f t="shared" si="19"/>
        <v>4.3920459990110521</v>
      </c>
      <c r="D75" s="2"/>
    </row>
    <row r="76" spans="1:27" x14ac:dyDescent="0.35">
      <c r="A76" s="18"/>
      <c r="B76" s="22"/>
      <c r="C76" s="2"/>
      <c r="D76" s="2"/>
    </row>
    <row r="77" spans="1:27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35.567056810030714</v>
      </c>
    </row>
    <row r="78" spans="1:27" x14ac:dyDescent="0.35">
      <c r="A78" s="20" t="s">
        <v>39</v>
      </c>
      <c r="B78" s="132">
        <f>SUM(C11:C20)/SUM(C7:C33)</f>
        <v>0.35567056810030712</v>
      </c>
      <c r="D78" s="19" t="s">
        <v>6</v>
      </c>
      <c r="E78" s="18">
        <f>SUM($D$21:$D$30)</f>
        <v>41.274931656372317</v>
      </c>
    </row>
    <row r="79" spans="1:27" x14ac:dyDescent="0.35">
      <c r="A79" s="20" t="s">
        <v>38</v>
      </c>
      <c r="B79" s="132">
        <f>SUM(C21:C33)/SUM(C7:C33)</f>
        <v>0.64432943189969283</v>
      </c>
      <c r="D79" s="19" t="s">
        <v>5</v>
      </c>
      <c r="E79" s="18">
        <f>SUM($D$31:$D$33)</f>
        <v>23.158011533596966</v>
      </c>
    </row>
    <row r="80" spans="1:27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86.967051037205763</v>
      </c>
      <c r="D81" s="16" t="s">
        <v>4</v>
      </c>
      <c r="E81">
        <f>100*SUM(H7:J33)/SUM(P7:P33)</f>
        <v>86.967051037205763</v>
      </c>
      <c r="G81" s="17" t="s">
        <v>2</v>
      </c>
      <c r="H81">
        <f>100*SUM(H7:H33)/(SUM(P7:P33)-SUM(M7:N33))</f>
        <v>21.178501737030189</v>
      </c>
    </row>
    <row r="82" spans="1:8" x14ac:dyDescent="0.35">
      <c r="A82" s="16" t="s">
        <v>0</v>
      </c>
      <c r="B82">
        <f>100*SUM(K7:L33)/SUM(P7:P33)</f>
        <v>12.982270317995212</v>
      </c>
      <c r="D82" s="16" t="s">
        <v>0</v>
      </c>
      <c r="E82">
        <f>100*SUM(K7:L33)/SUM(P7:P33)</f>
        <v>12.982270317995212</v>
      </c>
      <c r="G82" s="17" t="s">
        <v>1</v>
      </c>
      <c r="H82">
        <f>100*SUM(I7:J33)/(SUM(P7:P33)-SUM(M7:N33))</f>
        <v>65.788549300175603</v>
      </c>
    </row>
    <row r="83" spans="1:8" x14ac:dyDescent="0.35">
      <c r="A83" s="16" t="s">
        <v>3</v>
      </c>
      <c r="B83">
        <f>100*SUM(O7:O33)/SUM(P7:P33)</f>
        <v>5.0678644799017465E-2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12.982270317995212</v>
      </c>
    </row>
    <row r="85" spans="1:8" x14ac:dyDescent="0.35">
      <c r="A85" s="16" t="s">
        <v>36</v>
      </c>
      <c r="B85" s="2"/>
      <c r="C85" s="2"/>
      <c r="D85" s="13">
        <f>(C70+C74+C72)/3</f>
        <v>0.73079634010840333</v>
      </c>
    </row>
    <row r="86" spans="1:8" x14ac:dyDescent="0.35">
      <c r="A86" s="14" t="s">
        <v>35</v>
      </c>
      <c r="B86" s="14"/>
      <c r="C86" s="14"/>
      <c r="D86" s="7">
        <f>C72</f>
        <v>0.21823080867144729</v>
      </c>
    </row>
    <row r="87" spans="1:8" x14ac:dyDescent="0.35">
      <c r="A87" s="14" t="s">
        <v>34</v>
      </c>
      <c r="B87" s="14"/>
      <c r="C87" s="14"/>
      <c r="D87" s="7">
        <f>(C74-C70)/2</f>
        <v>3.1674680910084847</v>
      </c>
    </row>
    <row r="88" spans="1:8" x14ac:dyDescent="0.35">
      <c r="A88" s="15" t="s">
        <v>33</v>
      </c>
      <c r="B88" s="14"/>
      <c r="C88" s="14"/>
      <c r="D88" s="13">
        <f>(C74+C70-D86)/D87</f>
        <v>0.55436309144419782</v>
      </c>
    </row>
    <row r="89" spans="1:8" x14ac:dyDescent="0.35">
      <c r="A89" s="3" t="s">
        <v>32</v>
      </c>
      <c r="B89" s="12"/>
      <c r="C89" s="11"/>
      <c r="D89" s="7">
        <f>((C74-C70)/4)+((C75-C69)/6.6)</f>
        <v>2.7008241770779815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0.18747669422831481</v>
      </c>
    </row>
    <row r="91" spans="1:8" x14ac:dyDescent="0.35">
      <c r="A91" s="3" t="s">
        <v>30</v>
      </c>
      <c r="B91" s="9"/>
      <c r="C91" s="8"/>
      <c r="D91" s="7">
        <f>(C74-C69)/(2.44*(C73-C71))</f>
        <v>0.53914190512676685</v>
      </c>
    </row>
    <row r="92" spans="1:8" x14ac:dyDescent="0.35">
      <c r="A92" s="6" t="s">
        <v>29</v>
      </c>
      <c r="B92" s="6"/>
      <c r="C92" s="5"/>
      <c r="D92" s="7">
        <f>(C70+C72+C74)/3</f>
        <v>0.73079634010840333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0.9870791058268813</v>
      </c>
    </row>
    <row r="95" spans="1:8" x14ac:dyDescent="0.35">
      <c r="A95" s="2" t="s">
        <v>9</v>
      </c>
      <c r="B95" s="2"/>
      <c r="C95" s="2"/>
      <c r="D95" s="1">
        <f>100-E23</f>
        <v>47.582996768978795</v>
      </c>
    </row>
    <row r="96" spans="1:8" x14ac:dyDescent="0.35">
      <c r="A96" s="2" t="s">
        <v>8</v>
      </c>
      <c r="B96" s="2"/>
      <c r="C96" s="2"/>
      <c r="D96" s="1">
        <f>100-E30</f>
        <v>23.158011533596962</v>
      </c>
    </row>
    <row r="98" spans="1:3" x14ac:dyDescent="0.35">
      <c r="A98" t="s">
        <v>94</v>
      </c>
      <c r="C98" t="str">
        <f>IF(SUM(M7:N33)&gt;0,"Mixed","No Mixed")</f>
        <v>No 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MAY210717_6</v>
      </c>
      <c r="E2" s="142"/>
      <c r="G2" s="109" t="s">
        <v>90</v>
      </c>
      <c r="H2" s="108" t="str">
        <f ca="1">D2</f>
        <v>MAY210717_6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f>SUM(C7:C33)</f>
        <v>734.71999999999991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2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213.04</v>
      </c>
      <c r="D10" s="55">
        <f t="shared" si="11"/>
        <v>28.996080139372825</v>
      </c>
      <c r="E10" s="54">
        <f t="shared" si="12"/>
        <v>28.996080139372825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213.04</v>
      </c>
      <c r="N10" s="60">
        <v>0</v>
      </c>
      <c r="O10" s="60">
        <v>0</v>
      </c>
      <c r="P10" s="50">
        <f t="shared" si="4"/>
        <v>213.04</v>
      </c>
      <c r="R10" s="48">
        <f t="shared" si="5"/>
        <v>-6</v>
      </c>
      <c r="S10" s="47">
        <f t="shared" si="6"/>
        <v>0</v>
      </c>
      <c r="T10" s="46">
        <f t="shared" si="6"/>
        <v>0</v>
      </c>
      <c r="U10" s="45">
        <f t="shared" si="6"/>
        <v>0</v>
      </c>
      <c r="V10" s="46">
        <f t="shared" si="6"/>
        <v>0</v>
      </c>
      <c r="W10" s="46">
        <f t="shared" si="6"/>
        <v>0</v>
      </c>
      <c r="X10" s="46">
        <f t="shared" si="6"/>
        <v>100</v>
      </c>
      <c r="Y10" s="46">
        <f t="shared" si="6"/>
        <v>0</v>
      </c>
      <c r="Z10" s="45">
        <f t="shared" si="6"/>
        <v>0</v>
      </c>
      <c r="AA10" s="49">
        <f t="shared" si="7"/>
        <v>100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317.26</v>
      </c>
      <c r="D11" s="55">
        <f t="shared" si="11"/>
        <v>43.181075783972126</v>
      </c>
      <c r="E11" s="54">
        <f t="shared" si="12"/>
        <v>72.177155923344955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317.26</v>
      </c>
      <c r="N11" s="60">
        <v>0</v>
      </c>
      <c r="O11" s="60">
        <v>0</v>
      </c>
      <c r="P11" s="50">
        <f t="shared" si="4"/>
        <v>317.26</v>
      </c>
      <c r="R11" s="48">
        <f t="shared" si="5"/>
        <v>-5.5</v>
      </c>
      <c r="S11" s="47">
        <f t="shared" si="6"/>
        <v>0</v>
      </c>
      <c r="T11" s="46">
        <f t="shared" si="6"/>
        <v>0</v>
      </c>
      <c r="U11" s="45">
        <f t="shared" si="6"/>
        <v>0</v>
      </c>
      <c r="V11" s="46">
        <f t="shared" si="6"/>
        <v>0</v>
      </c>
      <c r="W11" s="46">
        <f t="shared" si="6"/>
        <v>0</v>
      </c>
      <c r="X11" s="46">
        <f t="shared" si="6"/>
        <v>100</v>
      </c>
      <c r="Y11" s="46">
        <f t="shared" si="6"/>
        <v>0</v>
      </c>
      <c r="Z11" s="45">
        <f t="shared" si="6"/>
        <v>0</v>
      </c>
      <c r="AA11" s="49">
        <f t="shared" si="7"/>
        <v>100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42.29</v>
      </c>
      <c r="D12" s="55">
        <f t="shared" si="11"/>
        <v>5.7559342334494783</v>
      </c>
      <c r="E12" s="54">
        <f t="shared" si="12"/>
        <v>77.933090156794435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42.29</v>
      </c>
      <c r="N12" s="60">
        <v>0</v>
      </c>
      <c r="O12" s="60">
        <v>0</v>
      </c>
      <c r="P12" s="50">
        <f t="shared" si="4"/>
        <v>42.29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27.42</v>
      </c>
      <c r="D13" s="55">
        <f t="shared" si="11"/>
        <v>3.7320339721254361</v>
      </c>
      <c r="E13" s="54">
        <f t="shared" si="12"/>
        <v>81.665124128919871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27.42</v>
      </c>
      <c r="N13" s="60">
        <v>0</v>
      </c>
      <c r="O13" s="60">
        <v>0</v>
      </c>
      <c r="P13" s="50">
        <f t="shared" si="4"/>
        <v>27.42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100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46.29</v>
      </c>
      <c r="D14" s="55">
        <f t="shared" si="11"/>
        <v>6.3003593205574919</v>
      </c>
      <c r="E14" s="54">
        <f t="shared" si="12"/>
        <v>87.965483449477361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46.29</v>
      </c>
      <c r="N14" s="60">
        <v>0</v>
      </c>
      <c r="O14" s="60">
        <v>0</v>
      </c>
      <c r="P14" s="50">
        <f t="shared" si="4"/>
        <v>46.29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100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13.7</v>
      </c>
      <c r="D15" s="55">
        <f t="shared" si="11"/>
        <v>1.8646559233449478</v>
      </c>
      <c r="E15" s="54">
        <f t="shared" si="12"/>
        <v>89.830139372822302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13.7</v>
      </c>
      <c r="N15" s="60">
        <v>0</v>
      </c>
      <c r="O15" s="60">
        <v>0</v>
      </c>
      <c r="P15" s="50">
        <f t="shared" si="4"/>
        <v>13.7</v>
      </c>
      <c r="R15" s="48">
        <f t="shared" si="5"/>
        <v>-3.5</v>
      </c>
      <c r="S15" s="67">
        <f t="shared" si="6"/>
        <v>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100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 t="e">
        <f t="shared" ref="AD15:AH33" si="13">S15*100/(SUM($S15:$W15)+SUM($Y15:$Z15))</f>
        <v>#DIV/0!</v>
      </c>
      <c r="AE15" s="66" t="e">
        <f t="shared" si="13"/>
        <v>#DIV/0!</v>
      </c>
      <c r="AF15" s="65" t="e">
        <f t="shared" si="13"/>
        <v>#DIV/0!</v>
      </c>
      <c r="AG15" s="67" t="e">
        <f t="shared" si="13"/>
        <v>#DIV/0!</v>
      </c>
      <c r="AH15" s="66" t="e">
        <f t="shared" si="13"/>
        <v>#DIV/0!</v>
      </c>
      <c r="AI15" s="66">
        <v>0</v>
      </c>
      <c r="AJ15" s="66" t="e">
        <f t="shared" ref="AJ15:AK33" si="14">Y15*100/(SUM($S15:$W15)+SUM($Y15:$Z15))</f>
        <v>#DIV/0!</v>
      </c>
      <c r="AK15" s="65" t="e">
        <f t="shared" si="14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130">
        <v>13.94</v>
      </c>
      <c r="D16" s="55">
        <f t="shared" si="11"/>
        <v>1.8973214285714288</v>
      </c>
      <c r="E16" s="54">
        <f t="shared" si="12"/>
        <v>91.727460801393732</v>
      </c>
      <c r="G16" s="48">
        <f t="shared" si="3"/>
        <v>-3</v>
      </c>
      <c r="H16" s="61">
        <v>0.80811594202898551</v>
      </c>
      <c r="I16" s="60">
        <v>0</v>
      </c>
      <c r="J16" s="59">
        <v>0</v>
      </c>
      <c r="K16" s="60">
        <v>0</v>
      </c>
      <c r="L16" s="60">
        <v>0</v>
      </c>
      <c r="M16" s="60">
        <v>13.131884057971014</v>
      </c>
      <c r="N16" s="60">
        <v>0</v>
      </c>
      <c r="O16" s="60">
        <v>0</v>
      </c>
      <c r="P16" s="50">
        <f t="shared" si="4"/>
        <v>13.94</v>
      </c>
      <c r="R16" s="48">
        <f t="shared" si="5"/>
        <v>-3</v>
      </c>
      <c r="S16" s="67">
        <f t="shared" si="6"/>
        <v>5.7971014492753623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94.20289855072464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3"/>
        <v>100</v>
      </c>
      <c r="AE16" s="66">
        <f t="shared" si="13"/>
        <v>0</v>
      </c>
      <c r="AF16" s="65">
        <f t="shared" si="13"/>
        <v>0</v>
      </c>
      <c r="AG16" s="67">
        <f t="shared" si="13"/>
        <v>0</v>
      </c>
      <c r="AH16" s="66">
        <f t="shared" si="13"/>
        <v>0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9.5500000000000007</v>
      </c>
      <c r="D17" s="55">
        <f t="shared" si="11"/>
        <v>1.2998148954703834</v>
      </c>
      <c r="E17" s="54">
        <f t="shared" si="12"/>
        <v>93.027275696864109</v>
      </c>
      <c r="G17" s="48">
        <f t="shared" si="3"/>
        <v>-2.5</v>
      </c>
      <c r="H17" s="61">
        <v>2.2115789473684213</v>
      </c>
      <c r="I17" s="60">
        <v>0.80421052631578949</v>
      </c>
      <c r="J17" s="59">
        <v>0</v>
      </c>
      <c r="K17" s="60">
        <v>0</v>
      </c>
      <c r="L17" s="60">
        <v>0</v>
      </c>
      <c r="M17" s="60">
        <v>6.5342105263157899</v>
      </c>
      <c r="N17" s="60">
        <v>0</v>
      </c>
      <c r="O17" s="60">
        <v>0</v>
      </c>
      <c r="P17" s="50">
        <f t="shared" si="4"/>
        <v>9.5500000000000007</v>
      </c>
      <c r="R17" s="48">
        <f t="shared" si="5"/>
        <v>-2.5</v>
      </c>
      <c r="S17" s="67">
        <f t="shared" si="6"/>
        <v>23.157894736842106</v>
      </c>
      <c r="T17" s="66">
        <f t="shared" si="6"/>
        <v>8.4210526315789469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68.421052631578945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3"/>
        <v>73.333333333333329</v>
      </c>
      <c r="AE17" s="66">
        <f t="shared" si="13"/>
        <v>26.666666666666664</v>
      </c>
      <c r="AF17" s="65">
        <f t="shared" si="13"/>
        <v>0</v>
      </c>
      <c r="AG17" s="67">
        <f t="shared" si="13"/>
        <v>0</v>
      </c>
      <c r="AH17" s="66">
        <f t="shared" si="13"/>
        <v>0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0">
        <v>7.61</v>
      </c>
      <c r="D18" s="55">
        <f t="shared" si="11"/>
        <v>1.0357687282229968</v>
      </c>
      <c r="E18" s="54">
        <f t="shared" si="12"/>
        <v>94.063044425087099</v>
      </c>
      <c r="G18" s="48">
        <f t="shared" si="3"/>
        <v>-2</v>
      </c>
      <c r="H18" s="61">
        <v>2.1308000000000002</v>
      </c>
      <c r="I18" s="60">
        <v>0.40586666666666671</v>
      </c>
      <c r="J18" s="59">
        <v>0</v>
      </c>
      <c r="K18" s="60">
        <v>0</v>
      </c>
      <c r="L18" s="60">
        <v>0</v>
      </c>
      <c r="M18" s="60">
        <v>5.0733333333333341</v>
      </c>
      <c r="N18" s="60">
        <v>0</v>
      </c>
      <c r="O18" s="60">
        <v>0</v>
      </c>
      <c r="P18" s="50">
        <f t="shared" si="4"/>
        <v>7.6100000000000012</v>
      </c>
      <c r="R18" s="48">
        <f t="shared" si="5"/>
        <v>-2</v>
      </c>
      <c r="S18" s="67">
        <f t="shared" si="6"/>
        <v>27.999999999999996</v>
      </c>
      <c r="T18" s="66">
        <f t="shared" si="6"/>
        <v>5.333333333333333</v>
      </c>
      <c r="U18" s="65">
        <f t="shared" si="6"/>
        <v>0</v>
      </c>
      <c r="V18" s="66">
        <f t="shared" si="6"/>
        <v>0</v>
      </c>
      <c r="W18" s="66">
        <f t="shared" si="6"/>
        <v>0</v>
      </c>
      <c r="X18" s="66">
        <f t="shared" si="6"/>
        <v>66.666666666666671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3"/>
        <v>84</v>
      </c>
      <c r="AE18" s="66">
        <f t="shared" si="13"/>
        <v>16</v>
      </c>
      <c r="AF18" s="65">
        <f t="shared" si="13"/>
        <v>0</v>
      </c>
      <c r="AG18" s="67">
        <f t="shared" si="13"/>
        <v>0</v>
      </c>
      <c r="AH18" s="66">
        <f t="shared" si="13"/>
        <v>0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30">
        <v>6.31</v>
      </c>
      <c r="D19" s="55">
        <f t="shared" si="11"/>
        <v>0.85883057491289194</v>
      </c>
      <c r="E19" s="54">
        <f t="shared" si="12"/>
        <v>94.921874999999986</v>
      </c>
      <c r="G19" s="48">
        <f t="shared" si="3"/>
        <v>-1.5</v>
      </c>
      <c r="H19" s="61">
        <v>1.2212903225806448</v>
      </c>
      <c r="I19" s="60">
        <v>0.40709677419354834</v>
      </c>
      <c r="J19" s="59">
        <v>0</v>
      </c>
      <c r="K19" s="60">
        <v>0.10177419354838708</v>
      </c>
      <c r="L19" s="60">
        <v>0.10177419354838708</v>
      </c>
      <c r="M19" s="60">
        <v>4.4780645161290318</v>
      </c>
      <c r="N19" s="60">
        <v>0</v>
      </c>
      <c r="O19" s="60">
        <v>0</v>
      </c>
      <c r="P19" s="50">
        <f t="shared" si="4"/>
        <v>6.3099999999999987</v>
      </c>
      <c r="R19" s="48">
        <f t="shared" si="5"/>
        <v>-1.5</v>
      </c>
      <c r="S19" s="67">
        <f t="shared" si="6"/>
        <v>19.35483870967742</v>
      </c>
      <c r="T19" s="66">
        <f t="shared" si="6"/>
        <v>6.4516129032258069</v>
      </c>
      <c r="U19" s="65">
        <f t="shared" si="6"/>
        <v>0</v>
      </c>
      <c r="V19" s="66">
        <f t="shared" si="6"/>
        <v>1.6129032258064517</v>
      </c>
      <c r="W19" s="66">
        <f t="shared" si="6"/>
        <v>1.6129032258064517</v>
      </c>
      <c r="X19" s="66">
        <f t="shared" si="6"/>
        <v>70.967741935483872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3"/>
        <v>66.666666666666657</v>
      </c>
      <c r="AE19" s="66">
        <f t="shared" si="13"/>
        <v>22.222222222222221</v>
      </c>
      <c r="AF19" s="65">
        <f t="shared" si="13"/>
        <v>0</v>
      </c>
      <c r="AG19" s="67">
        <f t="shared" si="13"/>
        <v>5.5555555555555554</v>
      </c>
      <c r="AH19" s="66">
        <f t="shared" si="13"/>
        <v>5.5555555555555554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5.58</v>
      </c>
      <c r="D20" s="55">
        <f t="shared" si="11"/>
        <v>0.75947299651567957</v>
      </c>
      <c r="E20" s="54">
        <f t="shared" si="12"/>
        <v>95.681347996515669</v>
      </c>
      <c r="G20" s="48">
        <f t="shared" si="3"/>
        <v>-1</v>
      </c>
      <c r="H20" s="61">
        <v>1.3093862815884478</v>
      </c>
      <c r="I20" s="60">
        <v>0.20144404332129964</v>
      </c>
      <c r="J20" s="59">
        <v>5.0361010830324911E-2</v>
      </c>
      <c r="K20" s="60">
        <v>5.0361010830324911E-2</v>
      </c>
      <c r="L20" s="60">
        <v>3.0216606498194944E-2</v>
      </c>
      <c r="M20" s="60">
        <v>3.9281588447653428</v>
      </c>
      <c r="N20" s="60">
        <v>0</v>
      </c>
      <c r="O20" s="60">
        <v>1.0072202166064982E-2</v>
      </c>
      <c r="P20" s="50">
        <f t="shared" si="4"/>
        <v>5.580000000000001</v>
      </c>
      <c r="R20" s="48">
        <f t="shared" si="5"/>
        <v>-1</v>
      </c>
      <c r="S20" s="67">
        <f t="shared" si="6"/>
        <v>23.465703971119133</v>
      </c>
      <c r="T20" s="66">
        <f t="shared" si="6"/>
        <v>3.6101083032490973</v>
      </c>
      <c r="U20" s="65">
        <f t="shared" si="6"/>
        <v>0.90252707581227432</v>
      </c>
      <c r="V20" s="66">
        <f t="shared" si="6"/>
        <v>0.90252707581227432</v>
      </c>
      <c r="W20" s="66">
        <f t="shared" si="6"/>
        <v>0.54151624548736454</v>
      </c>
      <c r="X20" s="66">
        <f t="shared" si="6"/>
        <v>70.397111913357392</v>
      </c>
      <c r="Y20" s="66">
        <f t="shared" si="6"/>
        <v>0</v>
      </c>
      <c r="Z20" s="65">
        <f t="shared" si="6"/>
        <v>0.18050541516245483</v>
      </c>
      <c r="AA20" s="50">
        <f t="shared" si="7"/>
        <v>100</v>
      </c>
      <c r="AC20" s="48">
        <f t="shared" si="8"/>
        <v>-1</v>
      </c>
      <c r="AD20" s="67">
        <f t="shared" si="13"/>
        <v>79.268292682926827</v>
      </c>
      <c r="AE20" s="66">
        <f t="shared" si="13"/>
        <v>12.195121951219512</v>
      </c>
      <c r="AF20" s="65">
        <f t="shared" si="13"/>
        <v>3.0487804878048781</v>
      </c>
      <c r="AG20" s="67">
        <f t="shared" si="13"/>
        <v>3.0487804878048781</v>
      </c>
      <c r="AH20" s="66">
        <f t="shared" si="13"/>
        <v>1.8292682926829269</v>
      </c>
      <c r="AI20" s="66">
        <v>0</v>
      </c>
      <c r="AJ20" s="66">
        <f t="shared" si="14"/>
        <v>0</v>
      </c>
      <c r="AK20" s="65">
        <f t="shared" si="14"/>
        <v>0.6097560975609756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0">
        <v>4.49</v>
      </c>
      <c r="D21" s="55">
        <f t="shared" si="11"/>
        <v>0.61111716027874574</v>
      </c>
      <c r="E21" s="54">
        <f t="shared" si="12"/>
        <v>96.292465156794421</v>
      </c>
      <c r="G21" s="70">
        <f t="shared" si="3"/>
        <v>-0.5</v>
      </c>
      <c r="H21" s="61">
        <v>1.0298165137614679</v>
      </c>
      <c r="I21" s="60">
        <v>0.14417431192660551</v>
      </c>
      <c r="J21" s="59">
        <v>0</v>
      </c>
      <c r="K21" s="60">
        <v>6.1788990825688075E-2</v>
      </c>
      <c r="L21" s="60">
        <v>2.0596330275229356E-2</v>
      </c>
      <c r="M21" s="60">
        <v>3.2336238532110091</v>
      </c>
      <c r="N21" s="60">
        <v>0</v>
      </c>
      <c r="O21" s="60">
        <v>0</v>
      </c>
      <c r="P21" s="69">
        <f t="shared" si="4"/>
        <v>4.49</v>
      </c>
      <c r="Q21" s="68"/>
      <c r="R21" s="48">
        <f t="shared" si="5"/>
        <v>-0.5</v>
      </c>
      <c r="S21" s="67">
        <f t="shared" si="6"/>
        <v>22.935779816513758</v>
      </c>
      <c r="T21" s="66">
        <f t="shared" si="6"/>
        <v>3.2110091743119265</v>
      </c>
      <c r="U21" s="65">
        <f t="shared" si="6"/>
        <v>0</v>
      </c>
      <c r="V21" s="66">
        <f t="shared" si="6"/>
        <v>1.3761467889908257</v>
      </c>
      <c r="W21" s="66">
        <f t="shared" si="6"/>
        <v>0.4587155963302752</v>
      </c>
      <c r="X21" s="66">
        <f t="shared" si="6"/>
        <v>72.018348623853214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3"/>
        <v>81.967213114754102</v>
      </c>
      <c r="AE21" s="66">
        <f t="shared" si="13"/>
        <v>11.475409836065575</v>
      </c>
      <c r="AF21" s="65">
        <f t="shared" si="13"/>
        <v>0</v>
      </c>
      <c r="AG21" s="67">
        <f t="shared" si="13"/>
        <v>4.9180327868852469</v>
      </c>
      <c r="AH21" s="66">
        <f t="shared" si="13"/>
        <v>1.6393442622950822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10"/>
        <v>100.00000000000001</v>
      </c>
    </row>
    <row r="22" spans="1:38" x14ac:dyDescent="0.35">
      <c r="A22" s="58" t="s">
        <v>55</v>
      </c>
      <c r="B22" s="57">
        <v>0</v>
      </c>
      <c r="C22" s="130">
        <v>3.47</v>
      </c>
      <c r="D22" s="55">
        <f t="shared" si="11"/>
        <v>0.47228876306620221</v>
      </c>
      <c r="E22" s="54">
        <f t="shared" si="12"/>
        <v>96.764753919860624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3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2.88</v>
      </c>
      <c r="D23" s="55">
        <f t="shared" si="11"/>
        <v>0.39198606271777003</v>
      </c>
      <c r="E23" s="54">
        <f t="shared" si="12"/>
        <v>97.156739982578401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3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2.67</v>
      </c>
      <c r="D24" s="55">
        <f t="shared" si="11"/>
        <v>0.36340374564459937</v>
      </c>
      <c r="E24" s="54">
        <f t="shared" si="12"/>
        <v>97.520143728223005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3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1.99</v>
      </c>
      <c r="D25" s="55">
        <f t="shared" si="11"/>
        <v>0.27085148083623695</v>
      </c>
      <c r="E25" s="54">
        <f t="shared" si="12"/>
        <v>97.790995209059247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3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2.12</v>
      </c>
      <c r="D26" s="55">
        <f t="shared" si="11"/>
        <v>0.28854529616724744</v>
      </c>
      <c r="E26" s="54">
        <f t="shared" si="12"/>
        <v>98.07954050522649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3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1.78</v>
      </c>
      <c r="D27" s="55">
        <f t="shared" si="11"/>
        <v>0.24226916376306626</v>
      </c>
      <c r="E27" s="54">
        <f t="shared" si="12"/>
        <v>98.321809668989559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3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1.7</v>
      </c>
      <c r="D28" s="55">
        <f t="shared" si="11"/>
        <v>0.23138066202090593</v>
      </c>
      <c r="E28" s="54">
        <f t="shared" si="12"/>
        <v>98.55319033101047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3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1.5</v>
      </c>
      <c r="D29" s="55">
        <f t="shared" si="11"/>
        <v>0.20415940766550525</v>
      </c>
      <c r="E29" s="54">
        <f t="shared" si="12"/>
        <v>98.75734973867597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3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1.64</v>
      </c>
      <c r="D30" s="55">
        <f t="shared" si="11"/>
        <v>0.22321428571428575</v>
      </c>
      <c r="E30" s="54">
        <f t="shared" si="12"/>
        <v>98.980564024390262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3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7.49</v>
      </c>
      <c r="D31" s="55">
        <f t="shared" si="11"/>
        <v>1.0194359756097564</v>
      </c>
      <c r="E31" s="54">
        <f t="shared" si="12"/>
        <v>100.00000000000001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3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2"/>
        <v>100.00000000000001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3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2"/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3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8.710988007327968</v>
      </c>
      <c r="I34">
        <f t="shared" ref="I34:O34" si="16">SUM(I7:I33)</f>
        <v>1.9627923224239097</v>
      </c>
      <c r="J34">
        <f t="shared" si="16"/>
        <v>5.0361010830324911E-2</v>
      </c>
      <c r="K34">
        <f t="shared" si="16"/>
        <v>0.21392419520440009</v>
      </c>
      <c r="L34">
        <f t="shared" si="16"/>
        <v>0.1525871303218114</v>
      </c>
      <c r="M34">
        <f t="shared" si="16"/>
        <v>696.37927513172542</v>
      </c>
      <c r="N34">
        <f t="shared" si="16"/>
        <v>0</v>
      </c>
      <c r="O34">
        <f t="shared" si="16"/>
        <v>1.0072202166064982E-2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67" spans="1:10" x14ac:dyDescent="0.35">
      <c r="A67" s="5" t="s">
        <v>27</v>
      </c>
      <c r="B67" s="26"/>
      <c r="C67" s="2"/>
      <c r="D67" s="2"/>
    </row>
    <row r="68" spans="1:10" x14ac:dyDescent="0.35">
      <c r="A68" s="25" t="s">
        <v>42</v>
      </c>
      <c r="B68" s="25"/>
      <c r="C68" s="2"/>
      <c r="D68" s="2"/>
    </row>
    <row r="69" spans="1:10" x14ac:dyDescent="0.35">
      <c r="A69" s="24" t="s">
        <v>41</v>
      </c>
      <c r="B69" s="23">
        <v>5</v>
      </c>
      <c r="C69" s="18">
        <f t="shared" ref="C69:C75" si="1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-6.4137814494930527</v>
      </c>
      <c r="D69" s="2"/>
    </row>
    <row r="70" spans="1:10" x14ac:dyDescent="0.35">
      <c r="A70" s="24" t="s">
        <v>41</v>
      </c>
      <c r="B70" s="23">
        <v>16</v>
      </c>
      <c r="C70" s="18">
        <f t="shared" si="17"/>
        <v>-6.2241006383777693</v>
      </c>
      <c r="D70" s="2"/>
    </row>
    <row r="71" spans="1:10" x14ac:dyDescent="0.35">
      <c r="A71" s="24" t="s">
        <v>41</v>
      </c>
      <c r="B71" s="23">
        <v>25</v>
      </c>
      <c r="C71" s="18">
        <f t="shared" si="17"/>
        <v>-6.0689072474652646</v>
      </c>
      <c r="D71" s="2"/>
    </row>
    <row r="72" spans="1:10" x14ac:dyDescent="0.35">
      <c r="A72" s="24" t="s">
        <v>41</v>
      </c>
      <c r="B72" s="23">
        <v>50</v>
      </c>
      <c r="C72" s="18">
        <f t="shared" si="17"/>
        <v>-5.7567925360902734</v>
      </c>
      <c r="D72" s="2"/>
    </row>
    <row r="73" spans="1:10" x14ac:dyDescent="0.35">
      <c r="A73" s="24" t="s">
        <v>41</v>
      </c>
      <c r="B73" s="23">
        <v>75</v>
      </c>
      <c r="C73" s="18">
        <f t="shared" si="17"/>
        <v>-5.2547883660439831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7"/>
        <v>-4.3147029596025064</v>
      </c>
      <c r="D74" s="2"/>
    </row>
    <row r="75" spans="1:10" x14ac:dyDescent="0.35">
      <c r="A75" s="24" t="s">
        <v>41</v>
      </c>
      <c r="B75" s="23">
        <v>95</v>
      </c>
      <c r="C75" s="18">
        <f t="shared" si="17"/>
        <v>-1.4485663082437186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 s="132">
        <f>SUM(C7:C10)/SUM(C7:C33)</f>
        <v>0.28996080139372826</v>
      </c>
      <c r="D77" s="19" t="s">
        <v>7</v>
      </c>
      <c r="E77" s="18">
        <f>SUM($D$7:$D$20)</f>
        <v>95.681347996515669</v>
      </c>
    </row>
    <row r="78" spans="1:10" x14ac:dyDescent="0.35">
      <c r="A78" s="20" t="s">
        <v>39</v>
      </c>
      <c r="B78" s="132">
        <f>SUM(C11:C20)/SUM(C7:C33)</f>
        <v>0.66685267857142871</v>
      </c>
      <c r="D78" s="19" t="s">
        <v>6</v>
      </c>
      <c r="E78" s="18">
        <f>SUM($D$21:$D$30)</f>
        <v>3.2992160278745639</v>
      </c>
    </row>
    <row r="79" spans="1:10" x14ac:dyDescent="0.35">
      <c r="A79" s="20" t="s">
        <v>38</v>
      </c>
      <c r="B79" s="132">
        <f>SUM(C21:C33)/SUM(C7:C33)</f>
        <v>4.3186520034843218E-2</v>
      </c>
      <c r="D79" s="19" t="s">
        <v>5</v>
      </c>
      <c r="E79" s="18">
        <f>SUM($D$31:$D$33)</f>
        <v>1.0194359756097564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1.5158225448892126</v>
      </c>
      <c r="D81" s="16" t="s">
        <v>4</v>
      </c>
      <c r="E81">
        <f>100*SUM(H7:J33)/SUM(P7:P33)</f>
        <v>1.5158225448892126</v>
      </c>
      <c r="G81" s="17" t="s">
        <v>2</v>
      </c>
      <c r="H81">
        <f>100*SUM(H7:H33)/(SUM(P7:P33)-SUM(M7:N33))</f>
        <v>78.472244927209161</v>
      </c>
    </row>
    <row r="82" spans="1:8" x14ac:dyDescent="0.35">
      <c r="A82" s="16" t="s">
        <v>0</v>
      </c>
      <c r="B82">
        <f>100*SUM(K7:L33)/SUM(P7:P33)</f>
        <v>5.1805185379969969E-2</v>
      </c>
      <c r="D82" s="16" t="s">
        <v>0</v>
      </c>
      <c r="E82">
        <f>100*SUM(K7:L33)/SUM(P7:P33)</f>
        <v>5.1805185379969969E-2</v>
      </c>
      <c r="G82" s="17" t="s">
        <v>1</v>
      </c>
      <c r="H82">
        <f>100*SUM(I7:J33)/(SUM(P7:P33)-SUM(M7:N33))</f>
        <v>18.135332216076833</v>
      </c>
    </row>
    <row r="83" spans="1:8" x14ac:dyDescent="0.35">
      <c r="A83" s="16" t="s">
        <v>3</v>
      </c>
      <c r="B83">
        <f>100*SUM(O7:O33)/SUM(P7:P33)</f>
        <v>1.4236730601663626E-3</v>
      </c>
      <c r="D83" s="16" t="s">
        <v>37</v>
      </c>
      <c r="E83">
        <f>100*SUM(M7:N33)/SUM(P7:P33)</f>
        <v>98.43094859667066</v>
      </c>
      <c r="G83" s="17" t="s">
        <v>0</v>
      </c>
      <c r="H83">
        <f>100*SUM(K7:L33)/(SUM(P7:P33)-SUM(M7:N33))</f>
        <v>3.3016882219438584</v>
      </c>
    </row>
    <row r="85" spans="1:8" x14ac:dyDescent="0.35">
      <c r="A85" s="16" t="s">
        <v>36</v>
      </c>
      <c r="B85" s="2"/>
      <c r="C85" s="2"/>
      <c r="D85" s="13">
        <f>(C70+C74+C72)/3</f>
        <v>-5.4318653780235167</v>
      </c>
    </row>
    <row r="86" spans="1:8" x14ac:dyDescent="0.35">
      <c r="A86" s="14" t="s">
        <v>35</v>
      </c>
      <c r="B86" s="14"/>
      <c r="C86" s="14"/>
      <c r="D86" s="7">
        <f>C72</f>
        <v>-5.7567925360902734</v>
      </c>
    </row>
    <row r="87" spans="1:8" x14ac:dyDescent="0.35">
      <c r="A87" s="14" t="s">
        <v>34</v>
      </c>
      <c r="B87" s="14"/>
      <c r="C87" s="14"/>
      <c r="D87" s="7">
        <f>(C74-C70)/2</f>
        <v>0.95469883938763145</v>
      </c>
    </row>
    <row r="88" spans="1:8" x14ac:dyDescent="0.35">
      <c r="A88" s="15" t="s">
        <v>33</v>
      </c>
      <c r="B88" s="14"/>
      <c r="C88" s="14"/>
      <c r="D88" s="13">
        <f>(C74+C70-D86)/D87</f>
        <v>-5.0089209964446058</v>
      </c>
    </row>
    <row r="89" spans="1:8" x14ac:dyDescent="0.35">
      <c r="A89" s="3" t="s">
        <v>32</v>
      </c>
      <c r="B89" s="12"/>
      <c r="C89" s="11"/>
      <c r="D89" s="7">
        <f>((C74-C70)/4)+((C75-C69)/6.6)</f>
        <v>1.2296547441255332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0.62294057516617318</v>
      </c>
    </row>
    <row r="91" spans="1:8" x14ac:dyDescent="0.35">
      <c r="A91" s="3" t="s">
        <v>30</v>
      </c>
      <c r="B91" s="9"/>
      <c r="C91" s="8"/>
      <c r="D91" s="7">
        <f>(C74-C69)/(2.44*(C73-C71))</f>
        <v>1.0566983388536664</v>
      </c>
    </row>
    <row r="92" spans="1:8" x14ac:dyDescent="0.35">
      <c r="A92" s="6" t="s">
        <v>29</v>
      </c>
      <c r="B92" s="6"/>
      <c r="C92" s="5"/>
      <c r="D92" s="7">
        <f>(C70+C72+C74)/3</f>
        <v>-5.4318653780235167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-5.2694017989901383</v>
      </c>
    </row>
    <row r="95" spans="1:8" x14ac:dyDescent="0.35">
      <c r="A95" s="2" t="s">
        <v>9</v>
      </c>
      <c r="B95" s="2"/>
      <c r="C95" s="2"/>
      <c r="D95" s="1">
        <f>100-E23</f>
        <v>2.8432600174215992</v>
      </c>
    </row>
    <row r="96" spans="1:8" x14ac:dyDescent="0.35">
      <c r="A96" s="2" t="s">
        <v>8</v>
      </c>
      <c r="B96" s="2"/>
      <c r="C96" s="2"/>
      <c r="D96" s="1">
        <f>100-E30</f>
        <v>1.0194359756097384</v>
      </c>
    </row>
    <row r="98" spans="1:3" x14ac:dyDescent="0.35">
      <c r="A98" t="s">
        <v>94</v>
      </c>
      <c r="C98" t="str">
        <f>IF(SUM(M7:N33)&gt;0,"Mixed","No Mixed")</f>
        <v>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MAY210717_6_aggr</v>
      </c>
      <c r="E2" s="142"/>
      <c r="G2" s="109" t="s">
        <v>90</v>
      </c>
      <c r="H2" s="108" t="str">
        <f ca="1">D2</f>
        <v>MAY210717_6_aggr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v>734.71999999999991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Q7">
        <f>100*(M7/B$4)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Q8">
        <f t="shared" ref="Q8:Q32" si="12">100*(M8/B$4)</f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3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Q9">
        <f t="shared" si="12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3"/>
        <v>0</v>
      </c>
      <c r="F10" s="132"/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213.04</v>
      </c>
      <c r="N10" s="60">
        <v>0</v>
      </c>
      <c r="O10" s="60">
        <v>0</v>
      </c>
      <c r="P10" s="50">
        <f t="shared" si="4"/>
        <v>213.04</v>
      </c>
      <c r="Q10">
        <f>100*(M10/B$4)</f>
        <v>28.996080139372825</v>
      </c>
      <c r="R10" s="48">
        <f t="shared" si="5"/>
        <v>-6</v>
      </c>
      <c r="S10" s="47">
        <f t="shared" si="6"/>
        <v>0</v>
      </c>
      <c r="T10" s="46">
        <f t="shared" si="6"/>
        <v>0</v>
      </c>
      <c r="U10" s="45">
        <f t="shared" si="6"/>
        <v>0</v>
      </c>
      <c r="V10" s="46">
        <f t="shared" si="6"/>
        <v>0</v>
      </c>
      <c r="W10" s="46">
        <f t="shared" si="6"/>
        <v>0</v>
      </c>
      <c r="X10" s="46">
        <f t="shared" si="6"/>
        <v>100</v>
      </c>
      <c r="Y10" s="46">
        <f t="shared" si="6"/>
        <v>0</v>
      </c>
      <c r="Z10" s="45">
        <f t="shared" si="6"/>
        <v>0</v>
      </c>
      <c r="AA10" s="49">
        <f t="shared" si="7"/>
        <v>100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11"/>
        <v>0</v>
      </c>
      <c r="E11" s="54">
        <f t="shared" si="13"/>
        <v>0</v>
      </c>
      <c r="F11" s="132"/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317.26</v>
      </c>
      <c r="N11" s="60">
        <v>0</v>
      </c>
      <c r="O11" s="60">
        <v>0</v>
      </c>
      <c r="P11" s="50">
        <f t="shared" si="4"/>
        <v>317.26</v>
      </c>
      <c r="Q11">
        <f t="shared" si="12"/>
        <v>43.181075783972126</v>
      </c>
      <c r="R11" s="48">
        <f t="shared" si="5"/>
        <v>-5.5</v>
      </c>
      <c r="S11" s="47">
        <f t="shared" si="6"/>
        <v>0</v>
      </c>
      <c r="T11" s="46">
        <f t="shared" si="6"/>
        <v>0</v>
      </c>
      <c r="U11" s="45">
        <f t="shared" si="6"/>
        <v>0</v>
      </c>
      <c r="V11" s="46">
        <f t="shared" si="6"/>
        <v>0</v>
      </c>
      <c r="W11" s="46">
        <f t="shared" si="6"/>
        <v>0</v>
      </c>
      <c r="X11" s="46">
        <f t="shared" si="6"/>
        <v>100</v>
      </c>
      <c r="Y11" s="46">
        <f t="shared" si="6"/>
        <v>0</v>
      </c>
      <c r="Z11" s="45">
        <f t="shared" si="6"/>
        <v>0</v>
      </c>
      <c r="AA11" s="49">
        <f t="shared" si="7"/>
        <v>100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11"/>
        <v>0</v>
      </c>
      <c r="E12" s="54">
        <f t="shared" si="13"/>
        <v>0</v>
      </c>
      <c r="F12" s="132"/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42.29</v>
      </c>
      <c r="N12" s="60">
        <v>0</v>
      </c>
      <c r="O12" s="60">
        <v>0</v>
      </c>
      <c r="P12" s="50">
        <f t="shared" si="4"/>
        <v>42.29</v>
      </c>
      <c r="Q12">
        <f t="shared" si="12"/>
        <v>5.7559342334494783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11"/>
        <v>0</v>
      </c>
      <c r="E13" s="54">
        <f t="shared" si="13"/>
        <v>0</v>
      </c>
      <c r="F13" s="132"/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27.42</v>
      </c>
      <c r="N13" s="60">
        <v>0</v>
      </c>
      <c r="O13" s="60">
        <v>0</v>
      </c>
      <c r="P13" s="50">
        <f t="shared" si="4"/>
        <v>27.42</v>
      </c>
      <c r="Q13">
        <f t="shared" si="12"/>
        <v>3.7320339721254361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100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0</v>
      </c>
      <c r="D14" s="55">
        <f t="shared" si="11"/>
        <v>0</v>
      </c>
      <c r="E14" s="54">
        <f t="shared" si="13"/>
        <v>0</v>
      </c>
      <c r="F14" s="132"/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46.29</v>
      </c>
      <c r="N14" s="60">
        <v>0</v>
      </c>
      <c r="O14" s="60">
        <v>0</v>
      </c>
      <c r="P14" s="50">
        <f t="shared" si="4"/>
        <v>46.29</v>
      </c>
      <c r="Q14">
        <f t="shared" si="12"/>
        <v>6.3003593205574919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100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0</v>
      </c>
      <c r="D15" s="55">
        <f t="shared" si="11"/>
        <v>0</v>
      </c>
      <c r="E15" s="54">
        <f t="shared" si="13"/>
        <v>0</v>
      </c>
      <c r="F15" s="132"/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13.7</v>
      </c>
      <c r="N15" s="60">
        <v>0</v>
      </c>
      <c r="O15" s="60">
        <v>0</v>
      </c>
      <c r="P15" s="50">
        <f t="shared" si="4"/>
        <v>13.7</v>
      </c>
      <c r="Q15">
        <f t="shared" si="12"/>
        <v>1.8646559233449478</v>
      </c>
      <c r="R15" s="48">
        <f t="shared" si="5"/>
        <v>-3.5</v>
      </c>
      <c r="S15" s="67">
        <f t="shared" si="6"/>
        <v>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100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 t="e">
        <f t="shared" ref="AD15:AH33" si="14">S15*100/(SUM($S15:$W15)+SUM($Y15:$Z15))</f>
        <v>#DIV/0!</v>
      </c>
      <c r="AE15" s="66" t="e">
        <f t="shared" si="14"/>
        <v>#DIV/0!</v>
      </c>
      <c r="AF15" s="65" t="e">
        <f t="shared" si="14"/>
        <v>#DIV/0!</v>
      </c>
      <c r="AG15" s="67" t="e">
        <f t="shared" si="14"/>
        <v>#DIV/0!</v>
      </c>
      <c r="AH15" s="66" t="e">
        <f t="shared" si="14"/>
        <v>#DIV/0!</v>
      </c>
      <c r="AI15" s="66">
        <v>0</v>
      </c>
      <c r="AJ15" s="66" t="e">
        <f t="shared" ref="AJ15:AK33" si="15">Y15*100/(SUM($S15:$W15)+SUM($Y15:$Z15))</f>
        <v>#DIV/0!</v>
      </c>
      <c r="AK15" s="65" t="e">
        <f t="shared" si="15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130">
        <v>0.8081159420289854</v>
      </c>
      <c r="D16" s="55">
        <f t="shared" si="11"/>
        <v>2.1077221278559373</v>
      </c>
      <c r="E16" s="54">
        <f t="shared" si="13"/>
        <v>2.1077221278559373</v>
      </c>
      <c r="F16" s="132"/>
      <c r="G16" s="48">
        <f t="shared" si="3"/>
        <v>-3</v>
      </c>
      <c r="H16" s="61">
        <v>0.80811594202898551</v>
      </c>
      <c r="I16" s="60">
        <v>0</v>
      </c>
      <c r="J16" s="59">
        <v>0</v>
      </c>
      <c r="K16" s="60">
        <v>0</v>
      </c>
      <c r="L16" s="60">
        <v>0</v>
      </c>
      <c r="M16" s="60">
        <v>13.131884057971014</v>
      </c>
      <c r="N16" s="60">
        <v>0</v>
      </c>
      <c r="O16" s="60">
        <v>0</v>
      </c>
      <c r="P16" s="50">
        <f t="shared" si="4"/>
        <v>13.94</v>
      </c>
      <c r="Q16">
        <f t="shared" si="12"/>
        <v>1.7873317805383024</v>
      </c>
      <c r="R16" s="48">
        <f t="shared" si="5"/>
        <v>-3</v>
      </c>
      <c r="S16" s="67">
        <f t="shared" si="6"/>
        <v>5.7971014492753623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94.20289855072464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4"/>
        <v>100</v>
      </c>
      <c r="AE16" s="66">
        <f t="shared" si="14"/>
        <v>0</v>
      </c>
      <c r="AF16" s="65">
        <f t="shared" si="14"/>
        <v>0</v>
      </c>
      <c r="AG16" s="67">
        <f t="shared" si="14"/>
        <v>0</v>
      </c>
      <c r="AH16" s="66">
        <f t="shared" si="14"/>
        <v>0</v>
      </c>
      <c r="AI16" s="66">
        <v>0</v>
      </c>
      <c r="AJ16" s="66">
        <f t="shared" si="15"/>
        <v>0</v>
      </c>
      <c r="AK16" s="65">
        <f t="shared" si="15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3.0157894736842108</v>
      </c>
      <c r="D17" s="55">
        <f t="shared" si="11"/>
        <v>7.8657601911425106</v>
      </c>
      <c r="E17" s="54">
        <f t="shared" si="13"/>
        <v>9.9734823189984478</v>
      </c>
      <c r="F17" s="132"/>
      <c r="G17" s="48">
        <f t="shared" si="3"/>
        <v>-2.5</v>
      </c>
      <c r="H17" s="61">
        <v>2.2115789473684213</v>
      </c>
      <c r="I17" s="60">
        <v>0.80421052631578949</v>
      </c>
      <c r="J17" s="59">
        <v>0</v>
      </c>
      <c r="K17" s="60">
        <v>0</v>
      </c>
      <c r="L17" s="60">
        <v>0</v>
      </c>
      <c r="M17" s="60">
        <v>6.5342105263157899</v>
      </c>
      <c r="N17" s="60">
        <v>0</v>
      </c>
      <c r="O17" s="60">
        <v>0</v>
      </c>
      <c r="P17" s="50">
        <f t="shared" si="4"/>
        <v>9.5500000000000007</v>
      </c>
      <c r="Q17">
        <f t="shared" si="12"/>
        <v>0.88934703374289392</v>
      </c>
      <c r="R17" s="48">
        <f t="shared" si="5"/>
        <v>-2.5</v>
      </c>
      <c r="S17" s="67">
        <f t="shared" si="6"/>
        <v>23.157894736842106</v>
      </c>
      <c r="T17" s="66">
        <f t="shared" si="6"/>
        <v>8.4210526315789469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68.421052631578945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4"/>
        <v>73.333333333333329</v>
      </c>
      <c r="AE17" s="66">
        <f t="shared" si="14"/>
        <v>26.666666666666664</v>
      </c>
      <c r="AF17" s="65">
        <f t="shared" si="14"/>
        <v>0</v>
      </c>
      <c r="AG17" s="67">
        <f t="shared" si="14"/>
        <v>0</v>
      </c>
      <c r="AH17" s="66">
        <f t="shared" si="14"/>
        <v>0</v>
      </c>
      <c r="AI17" s="66">
        <v>0</v>
      </c>
      <c r="AJ17" s="66">
        <f t="shared" si="15"/>
        <v>0</v>
      </c>
      <c r="AK17" s="65">
        <f t="shared" si="15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0">
        <v>2.5366666666666662</v>
      </c>
      <c r="D18" s="55">
        <f t="shared" si="11"/>
        <v>6.6161155674071868</v>
      </c>
      <c r="E18" s="54">
        <f t="shared" si="13"/>
        <v>16.589597886405635</v>
      </c>
      <c r="F18" s="132"/>
      <c r="G18" s="48">
        <f t="shared" si="3"/>
        <v>-2</v>
      </c>
      <c r="H18" s="61">
        <v>2.1308000000000002</v>
      </c>
      <c r="I18" s="60">
        <v>0.40586666666666671</v>
      </c>
      <c r="J18" s="59">
        <v>0</v>
      </c>
      <c r="K18" s="60">
        <v>0</v>
      </c>
      <c r="L18" s="60">
        <v>0</v>
      </c>
      <c r="M18" s="60">
        <v>5.0733333333333341</v>
      </c>
      <c r="N18" s="60">
        <v>0</v>
      </c>
      <c r="O18" s="60">
        <v>0</v>
      </c>
      <c r="P18" s="50">
        <f t="shared" si="4"/>
        <v>7.6100000000000012</v>
      </c>
      <c r="Q18">
        <f t="shared" si="12"/>
        <v>0.69051248548199795</v>
      </c>
      <c r="R18" s="48">
        <f t="shared" si="5"/>
        <v>-2</v>
      </c>
      <c r="S18" s="67">
        <f t="shared" si="6"/>
        <v>27.999999999999996</v>
      </c>
      <c r="T18" s="66">
        <f t="shared" si="6"/>
        <v>5.333333333333333</v>
      </c>
      <c r="U18" s="65">
        <f t="shared" si="6"/>
        <v>0</v>
      </c>
      <c r="V18" s="66">
        <f t="shared" si="6"/>
        <v>0</v>
      </c>
      <c r="W18" s="66">
        <f t="shared" si="6"/>
        <v>0</v>
      </c>
      <c r="X18" s="66">
        <f t="shared" si="6"/>
        <v>66.666666666666671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4"/>
        <v>84</v>
      </c>
      <c r="AE18" s="66">
        <f t="shared" si="14"/>
        <v>16</v>
      </c>
      <c r="AF18" s="65">
        <f t="shared" si="14"/>
        <v>0</v>
      </c>
      <c r="AG18" s="67">
        <f t="shared" si="14"/>
        <v>0</v>
      </c>
      <c r="AH18" s="66">
        <f t="shared" si="14"/>
        <v>0</v>
      </c>
      <c r="AI18" s="66">
        <v>0</v>
      </c>
      <c r="AJ18" s="66">
        <f t="shared" si="15"/>
        <v>0</v>
      </c>
      <c r="AK18" s="65">
        <f t="shared" si="15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30">
        <v>1.8319354838709678</v>
      </c>
      <c r="D19" s="55">
        <f t="shared" si="11"/>
        <v>4.7780408173420481</v>
      </c>
      <c r="E19" s="54">
        <f t="shared" si="13"/>
        <v>21.367638703747684</v>
      </c>
      <c r="F19" s="132"/>
      <c r="G19" s="48">
        <f t="shared" si="3"/>
        <v>-1.5</v>
      </c>
      <c r="H19" s="61">
        <v>1.2212903225806448</v>
      </c>
      <c r="I19" s="60">
        <v>0.40709677419354834</v>
      </c>
      <c r="J19" s="59">
        <v>0</v>
      </c>
      <c r="K19" s="60">
        <v>0.10177419354838708</v>
      </c>
      <c r="L19" s="60">
        <v>0.10177419354838708</v>
      </c>
      <c r="M19" s="60">
        <v>4.4780645161290318</v>
      </c>
      <c r="N19" s="60">
        <v>0</v>
      </c>
      <c r="O19" s="60">
        <v>0</v>
      </c>
      <c r="P19" s="50">
        <f t="shared" si="4"/>
        <v>6.3099999999999987</v>
      </c>
      <c r="Q19">
        <f t="shared" si="12"/>
        <v>0.60949266606721364</v>
      </c>
      <c r="R19" s="48">
        <f t="shared" si="5"/>
        <v>-1.5</v>
      </c>
      <c r="S19" s="67">
        <f t="shared" si="6"/>
        <v>19.35483870967742</v>
      </c>
      <c r="T19" s="66">
        <f t="shared" si="6"/>
        <v>6.4516129032258069</v>
      </c>
      <c r="U19" s="65">
        <f t="shared" si="6"/>
        <v>0</v>
      </c>
      <c r="V19" s="66">
        <f t="shared" si="6"/>
        <v>1.6129032258064517</v>
      </c>
      <c r="W19" s="66">
        <f t="shared" si="6"/>
        <v>1.6129032258064517</v>
      </c>
      <c r="X19" s="66">
        <f t="shared" si="6"/>
        <v>70.967741935483872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4"/>
        <v>66.666666666666657</v>
      </c>
      <c r="AE19" s="66">
        <f t="shared" si="14"/>
        <v>22.222222222222221</v>
      </c>
      <c r="AF19" s="65">
        <f t="shared" si="14"/>
        <v>0</v>
      </c>
      <c r="AG19" s="67">
        <f t="shared" si="14"/>
        <v>5.5555555555555554</v>
      </c>
      <c r="AH19" s="66">
        <f t="shared" si="14"/>
        <v>5.5555555555555554</v>
      </c>
      <c r="AI19" s="66">
        <v>0</v>
      </c>
      <c r="AJ19" s="66">
        <f t="shared" si="15"/>
        <v>0</v>
      </c>
      <c r="AK19" s="65">
        <f t="shared" si="15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1.6518411552346572</v>
      </c>
      <c r="D20" s="55">
        <f t="shared" si="11"/>
        <v>4.3083200980414809</v>
      </c>
      <c r="E20" s="54">
        <f t="shared" si="13"/>
        <v>25.675958801789164</v>
      </c>
      <c r="F20" s="132"/>
      <c r="G20" s="48">
        <f t="shared" si="3"/>
        <v>-1</v>
      </c>
      <c r="H20" s="61">
        <v>1.3093862815884478</v>
      </c>
      <c r="I20" s="60">
        <v>0.20144404332129964</v>
      </c>
      <c r="J20" s="59">
        <v>5.0361010830324911E-2</v>
      </c>
      <c r="K20" s="60">
        <v>5.0361010830324911E-2</v>
      </c>
      <c r="L20" s="60">
        <v>3.0216606498194944E-2</v>
      </c>
      <c r="M20" s="60">
        <v>3.9281588447653428</v>
      </c>
      <c r="N20" s="60">
        <v>0</v>
      </c>
      <c r="O20" s="60">
        <v>1.0072202166064982E-2</v>
      </c>
      <c r="P20" s="50">
        <f t="shared" si="4"/>
        <v>5.580000000000001</v>
      </c>
      <c r="Q20">
        <f t="shared" si="12"/>
        <v>0.53464705530887191</v>
      </c>
      <c r="R20" s="48">
        <f t="shared" si="5"/>
        <v>-1</v>
      </c>
      <c r="S20" s="67">
        <f t="shared" si="6"/>
        <v>23.465703971119133</v>
      </c>
      <c r="T20" s="66">
        <f t="shared" si="6"/>
        <v>3.6101083032490973</v>
      </c>
      <c r="U20" s="65">
        <f t="shared" si="6"/>
        <v>0.90252707581227432</v>
      </c>
      <c r="V20" s="66">
        <f t="shared" si="6"/>
        <v>0.90252707581227432</v>
      </c>
      <c r="W20" s="66">
        <f t="shared" si="6"/>
        <v>0.54151624548736454</v>
      </c>
      <c r="X20" s="66">
        <f t="shared" si="6"/>
        <v>70.397111913357392</v>
      </c>
      <c r="Y20" s="66">
        <f t="shared" si="6"/>
        <v>0</v>
      </c>
      <c r="Z20" s="65">
        <f t="shared" si="6"/>
        <v>0.18050541516245483</v>
      </c>
      <c r="AA20" s="50">
        <f t="shared" si="7"/>
        <v>100</v>
      </c>
      <c r="AC20" s="48">
        <f t="shared" si="8"/>
        <v>-1</v>
      </c>
      <c r="AD20" s="67">
        <f t="shared" si="14"/>
        <v>79.268292682926827</v>
      </c>
      <c r="AE20" s="66">
        <f t="shared" si="14"/>
        <v>12.195121951219512</v>
      </c>
      <c r="AF20" s="65">
        <f t="shared" si="14"/>
        <v>3.0487804878048781</v>
      </c>
      <c r="AG20" s="67">
        <f t="shared" si="14"/>
        <v>3.0487804878048781</v>
      </c>
      <c r="AH20" s="66">
        <f t="shared" si="14"/>
        <v>1.8292682926829269</v>
      </c>
      <c r="AI20" s="66">
        <v>0</v>
      </c>
      <c r="AJ20" s="66">
        <f t="shared" si="15"/>
        <v>0</v>
      </c>
      <c r="AK20" s="65">
        <f t="shared" si="15"/>
        <v>0.6097560975609756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0">
        <v>1.2563761467889911</v>
      </c>
      <c r="D21" s="55">
        <f t="shared" si="11"/>
        <v>3.2768711366450862</v>
      </c>
      <c r="E21" s="54">
        <f t="shared" si="13"/>
        <v>28.952829938434249</v>
      </c>
      <c r="F21" s="132"/>
      <c r="G21" s="70">
        <f t="shared" si="3"/>
        <v>-0.5</v>
      </c>
      <c r="H21" s="61">
        <v>1.0298165137614679</v>
      </c>
      <c r="I21" s="60">
        <v>0.14417431192660551</v>
      </c>
      <c r="J21" s="59">
        <v>0</v>
      </c>
      <c r="K21" s="60">
        <v>6.1788990825688075E-2</v>
      </c>
      <c r="L21" s="60">
        <v>2.0596330275229356E-2</v>
      </c>
      <c r="M21" s="60">
        <v>3.2336238532110091</v>
      </c>
      <c r="N21" s="60">
        <v>0</v>
      </c>
      <c r="O21" s="60">
        <v>0</v>
      </c>
      <c r="P21" s="69">
        <f t="shared" si="4"/>
        <v>4.49</v>
      </c>
      <c r="Q21">
        <f t="shared" si="12"/>
        <v>0.44011648698973882</v>
      </c>
      <c r="R21" s="48">
        <f t="shared" si="5"/>
        <v>-0.5</v>
      </c>
      <c r="S21" s="67">
        <f t="shared" si="6"/>
        <v>22.935779816513758</v>
      </c>
      <c r="T21" s="66">
        <f t="shared" si="6"/>
        <v>3.2110091743119265</v>
      </c>
      <c r="U21" s="65">
        <f t="shared" si="6"/>
        <v>0</v>
      </c>
      <c r="V21" s="66">
        <f t="shared" si="6"/>
        <v>1.3761467889908257</v>
      </c>
      <c r="W21" s="66">
        <f t="shared" si="6"/>
        <v>0.4587155963302752</v>
      </c>
      <c r="X21" s="66">
        <f t="shared" si="6"/>
        <v>72.018348623853214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4"/>
        <v>81.967213114754102</v>
      </c>
      <c r="AE21" s="66">
        <f t="shared" si="14"/>
        <v>11.475409836065575</v>
      </c>
      <c r="AF21" s="65">
        <f t="shared" si="14"/>
        <v>0</v>
      </c>
      <c r="AG21" s="67">
        <f t="shared" si="14"/>
        <v>4.9180327868852469</v>
      </c>
      <c r="AH21" s="66">
        <f t="shared" si="14"/>
        <v>1.6393442622950822</v>
      </c>
      <c r="AI21" s="66">
        <v>0</v>
      </c>
      <c r="AJ21" s="66">
        <f t="shared" si="15"/>
        <v>0</v>
      </c>
      <c r="AK21" s="65">
        <f t="shared" si="15"/>
        <v>0</v>
      </c>
      <c r="AL21" s="64">
        <f t="shared" si="10"/>
        <v>100.00000000000001</v>
      </c>
    </row>
    <row r="22" spans="1:38" x14ac:dyDescent="0.35">
      <c r="A22" s="58" t="s">
        <v>55</v>
      </c>
      <c r="B22" s="57">
        <v>0</v>
      </c>
      <c r="C22" s="130">
        <v>3.47</v>
      </c>
      <c r="D22" s="55">
        <f t="shared" si="11"/>
        <v>9.0504287853756669</v>
      </c>
      <c r="E22" s="54">
        <f t="shared" si="13"/>
        <v>38.003258723809914</v>
      </c>
      <c r="F22" s="132"/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Q22">
        <f t="shared" si="12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4"/>
        <v>#DIV/0!</v>
      </c>
      <c r="AE22" s="46" t="e">
        <f t="shared" si="14"/>
        <v>#DIV/0!</v>
      </c>
      <c r="AF22" s="45" t="e">
        <f t="shared" si="14"/>
        <v>#DIV/0!</v>
      </c>
      <c r="AG22" s="47" t="e">
        <f t="shared" si="14"/>
        <v>#DIV/0!</v>
      </c>
      <c r="AH22" s="46" t="e">
        <f t="shared" si="14"/>
        <v>#DIV/0!</v>
      </c>
      <c r="AI22" s="46" t="e">
        <f t="shared" ref="AI22:AI33" si="16">X22*100/(SUM($S22:$W22)+SUM($Y22:$Z22))</f>
        <v>#DIV/0!</v>
      </c>
      <c r="AJ22" s="46" t="e">
        <f t="shared" si="15"/>
        <v>#DIV/0!</v>
      </c>
      <c r="AK22" s="45" t="e">
        <f t="shared" si="15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2.88</v>
      </c>
      <c r="D23" s="55">
        <f t="shared" si="11"/>
        <v>7.5115950725884488</v>
      </c>
      <c r="E23" s="54">
        <f t="shared" si="13"/>
        <v>45.514853796398363</v>
      </c>
      <c r="F23" s="132"/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Q23">
        <f t="shared" si="12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4"/>
        <v>#DIV/0!</v>
      </c>
      <c r="AE23" s="46" t="e">
        <f t="shared" si="14"/>
        <v>#DIV/0!</v>
      </c>
      <c r="AF23" s="45" t="e">
        <f t="shared" si="14"/>
        <v>#DIV/0!</v>
      </c>
      <c r="AG23" s="47" t="e">
        <f t="shared" si="14"/>
        <v>#DIV/0!</v>
      </c>
      <c r="AH23" s="46" t="e">
        <f t="shared" si="14"/>
        <v>#DIV/0!</v>
      </c>
      <c r="AI23" s="46" t="e">
        <f t="shared" si="16"/>
        <v>#DIV/0!</v>
      </c>
      <c r="AJ23" s="46" t="e">
        <f t="shared" si="15"/>
        <v>#DIV/0!</v>
      </c>
      <c r="AK23" s="45" t="e">
        <f t="shared" si="15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2.67</v>
      </c>
      <c r="D24" s="55">
        <f t="shared" si="11"/>
        <v>6.9638745985455417</v>
      </c>
      <c r="E24" s="54">
        <f t="shared" si="13"/>
        <v>52.478728394943907</v>
      </c>
      <c r="F24" s="132"/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Q24">
        <f t="shared" si="12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4"/>
        <v>#DIV/0!</v>
      </c>
      <c r="AE24" s="46" t="e">
        <f t="shared" si="14"/>
        <v>#DIV/0!</v>
      </c>
      <c r="AF24" s="45" t="e">
        <f t="shared" si="14"/>
        <v>#DIV/0!</v>
      </c>
      <c r="AG24" s="47" t="e">
        <f t="shared" si="14"/>
        <v>#DIV/0!</v>
      </c>
      <c r="AH24" s="46" t="e">
        <f t="shared" si="14"/>
        <v>#DIV/0!</v>
      </c>
      <c r="AI24" s="46" t="e">
        <f t="shared" si="16"/>
        <v>#DIV/0!</v>
      </c>
      <c r="AJ24" s="46" t="e">
        <f t="shared" si="15"/>
        <v>#DIV/0!</v>
      </c>
      <c r="AK24" s="45" t="e">
        <f t="shared" si="15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1.99</v>
      </c>
      <c r="D25" s="55">
        <f t="shared" si="11"/>
        <v>5.1903035397399355</v>
      </c>
      <c r="E25" s="54">
        <f t="shared" si="13"/>
        <v>57.669031934683844</v>
      </c>
      <c r="F25" s="132"/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Q25">
        <f t="shared" si="12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4"/>
        <v>#DIV/0!</v>
      </c>
      <c r="AE25" s="46" t="e">
        <f t="shared" si="14"/>
        <v>#DIV/0!</v>
      </c>
      <c r="AF25" s="45" t="e">
        <f t="shared" si="14"/>
        <v>#DIV/0!</v>
      </c>
      <c r="AG25" s="47" t="e">
        <f t="shared" si="14"/>
        <v>#DIV/0!</v>
      </c>
      <c r="AH25" s="46" t="e">
        <f t="shared" si="14"/>
        <v>#DIV/0!</v>
      </c>
      <c r="AI25" s="46" t="e">
        <f t="shared" si="16"/>
        <v>#DIV/0!</v>
      </c>
      <c r="AJ25" s="46" t="e">
        <f t="shared" si="15"/>
        <v>#DIV/0!</v>
      </c>
      <c r="AK25" s="45" t="e">
        <f t="shared" si="15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2.12</v>
      </c>
      <c r="D26" s="55">
        <f t="shared" si="11"/>
        <v>5.5293685950998306</v>
      </c>
      <c r="E26" s="54">
        <f t="shared" si="13"/>
        <v>63.198400529783676</v>
      </c>
      <c r="F26" s="132"/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Q26">
        <f t="shared" si="12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4"/>
        <v>#DIV/0!</v>
      </c>
      <c r="AE26" s="46" t="e">
        <f t="shared" si="14"/>
        <v>#DIV/0!</v>
      </c>
      <c r="AF26" s="45" t="e">
        <f t="shared" si="14"/>
        <v>#DIV/0!</v>
      </c>
      <c r="AG26" s="47" t="e">
        <f t="shared" si="14"/>
        <v>#DIV/0!</v>
      </c>
      <c r="AH26" s="46" t="e">
        <f t="shared" si="14"/>
        <v>#DIV/0!</v>
      </c>
      <c r="AI26" s="46" t="e">
        <f t="shared" si="16"/>
        <v>#DIV/0!</v>
      </c>
      <c r="AJ26" s="46" t="e">
        <f t="shared" si="15"/>
        <v>#DIV/0!</v>
      </c>
      <c r="AK26" s="45" t="e">
        <f t="shared" si="15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1.78</v>
      </c>
      <c r="D27" s="55">
        <f t="shared" si="11"/>
        <v>4.6425830656970275</v>
      </c>
      <c r="E27" s="54">
        <f t="shared" si="13"/>
        <v>67.840983595480708</v>
      </c>
      <c r="F27" s="132"/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Q27">
        <f t="shared" si="12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4"/>
        <v>#DIV/0!</v>
      </c>
      <c r="AE27" s="46" t="e">
        <f t="shared" si="14"/>
        <v>#DIV/0!</v>
      </c>
      <c r="AF27" s="45" t="e">
        <f t="shared" si="14"/>
        <v>#DIV/0!</v>
      </c>
      <c r="AG27" s="47" t="e">
        <f t="shared" si="14"/>
        <v>#DIV/0!</v>
      </c>
      <c r="AH27" s="46" t="e">
        <f t="shared" si="14"/>
        <v>#DIV/0!</v>
      </c>
      <c r="AI27" s="46" t="e">
        <f t="shared" si="16"/>
        <v>#DIV/0!</v>
      </c>
      <c r="AJ27" s="46" t="e">
        <f t="shared" si="15"/>
        <v>#DIV/0!</v>
      </c>
      <c r="AK27" s="45" t="e">
        <f t="shared" si="15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1.7</v>
      </c>
      <c r="D28" s="55">
        <f t="shared" si="11"/>
        <v>4.4339276470140154</v>
      </c>
      <c r="E28" s="54">
        <f t="shared" si="13"/>
        <v>72.274911242494724</v>
      </c>
      <c r="F28" s="132"/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Q28">
        <f t="shared" si="12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4"/>
        <v>#DIV/0!</v>
      </c>
      <c r="AE28" s="46" t="e">
        <f t="shared" si="14"/>
        <v>#DIV/0!</v>
      </c>
      <c r="AF28" s="45" t="e">
        <f t="shared" si="14"/>
        <v>#DIV/0!</v>
      </c>
      <c r="AG28" s="47" t="e">
        <f t="shared" si="14"/>
        <v>#DIV/0!</v>
      </c>
      <c r="AH28" s="46" t="e">
        <f t="shared" si="14"/>
        <v>#DIV/0!</v>
      </c>
      <c r="AI28" s="46" t="e">
        <f t="shared" si="16"/>
        <v>#DIV/0!</v>
      </c>
      <c r="AJ28" s="46" t="e">
        <f t="shared" si="15"/>
        <v>#DIV/0!</v>
      </c>
      <c r="AK28" s="45" t="e">
        <f t="shared" si="15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1.5</v>
      </c>
      <c r="D29" s="55">
        <f t="shared" si="11"/>
        <v>3.9122891003064839</v>
      </c>
      <c r="E29" s="54">
        <f t="shared" si="13"/>
        <v>76.187200342801205</v>
      </c>
      <c r="F29" s="132"/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Q29">
        <f t="shared" si="12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4"/>
        <v>#DIV/0!</v>
      </c>
      <c r="AE29" s="46" t="e">
        <f t="shared" si="14"/>
        <v>#DIV/0!</v>
      </c>
      <c r="AF29" s="45" t="e">
        <f t="shared" si="14"/>
        <v>#DIV/0!</v>
      </c>
      <c r="AG29" s="47" t="e">
        <f t="shared" si="14"/>
        <v>#DIV/0!</v>
      </c>
      <c r="AH29" s="46" t="e">
        <f t="shared" si="14"/>
        <v>#DIV/0!</v>
      </c>
      <c r="AI29" s="46" t="e">
        <f t="shared" si="16"/>
        <v>#DIV/0!</v>
      </c>
      <c r="AJ29" s="46" t="e">
        <f t="shared" si="15"/>
        <v>#DIV/0!</v>
      </c>
      <c r="AK29" s="45" t="e">
        <f t="shared" si="15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1.64</v>
      </c>
      <c r="D30" s="55">
        <f t="shared" si="11"/>
        <v>4.2774360830017555</v>
      </c>
      <c r="E30" s="54">
        <f t="shared" si="13"/>
        <v>80.464636425802965</v>
      </c>
      <c r="F30" s="132"/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Q30">
        <f t="shared" si="12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4"/>
        <v>#DIV/0!</v>
      </c>
      <c r="AE30" s="46" t="e">
        <f t="shared" si="14"/>
        <v>#DIV/0!</v>
      </c>
      <c r="AF30" s="45" t="e">
        <f t="shared" si="14"/>
        <v>#DIV/0!</v>
      </c>
      <c r="AG30" s="47" t="e">
        <f t="shared" si="14"/>
        <v>#DIV/0!</v>
      </c>
      <c r="AH30" s="46" t="e">
        <f t="shared" si="14"/>
        <v>#DIV/0!</v>
      </c>
      <c r="AI30" s="46" t="e">
        <f t="shared" si="16"/>
        <v>#DIV/0!</v>
      </c>
      <c r="AJ30" s="46" t="e">
        <f t="shared" si="15"/>
        <v>#DIV/0!</v>
      </c>
      <c r="AK30" s="45" t="e">
        <f t="shared" si="15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7.49</v>
      </c>
      <c r="D31" s="55">
        <f t="shared" si="11"/>
        <v>19.535363574197046</v>
      </c>
      <c r="E31" s="54">
        <f t="shared" si="13"/>
        <v>100.00000000000001</v>
      </c>
      <c r="F31" s="132"/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Q31">
        <f t="shared" si="12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4"/>
        <v>#DIV/0!</v>
      </c>
      <c r="AE31" s="46" t="e">
        <f t="shared" si="14"/>
        <v>#DIV/0!</v>
      </c>
      <c r="AF31" s="45" t="e">
        <f t="shared" si="14"/>
        <v>#DIV/0!</v>
      </c>
      <c r="AG31" s="47" t="e">
        <f t="shared" si="14"/>
        <v>#DIV/0!</v>
      </c>
      <c r="AH31" s="46" t="e">
        <f t="shared" si="14"/>
        <v>#DIV/0!</v>
      </c>
      <c r="AI31" s="46" t="e">
        <f t="shared" si="16"/>
        <v>#DIV/0!</v>
      </c>
      <c r="AJ31" s="46" t="e">
        <f t="shared" si="15"/>
        <v>#DIV/0!</v>
      </c>
      <c r="AK31" s="45" t="e">
        <f t="shared" si="15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3"/>
        <v>100.00000000000001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Q32">
        <f t="shared" si="12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4"/>
        <v>#DIV/0!</v>
      </c>
      <c r="AE32" s="46" t="e">
        <f t="shared" si="14"/>
        <v>#DIV/0!</v>
      </c>
      <c r="AF32" s="45" t="e">
        <f t="shared" si="14"/>
        <v>#DIV/0!</v>
      </c>
      <c r="AG32" s="47" t="e">
        <f t="shared" si="14"/>
        <v>#DIV/0!</v>
      </c>
      <c r="AH32" s="46" t="e">
        <f t="shared" si="14"/>
        <v>#DIV/0!</v>
      </c>
      <c r="AI32" s="46" t="e">
        <f t="shared" si="16"/>
        <v>#DIV/0!</v>
      </c>
      <c r="AJ32" s="46" t="e">
        <f t="shared" si="15"/>
        <v>#DIV/0!</v>
      </c>
      <c r="AK32" s="45" t="e">
        <f t="shared" si="15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3"/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Q33">
        <f>100*(M33/B$4)</f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4"/>
        <v>#DIV/0!</v>
      </c>
      <c r="AE33" s="31" t="e">
        <f t="shared" si="14"/>
        <v>#DIV/0!</v>
      </c>
      <c r="AF33" s="30" t="e">
        <f t="shared" si="14"/>
        <v>#DIV/0!</v>
      </c>
      <c r="AG33" s="32" t="e">
        <f t="shared" si="14"/>
        <v>#DIV/0!</v>
      </c>
      <c r="AH33" s="31" t="e">
        <f t="shared" si="14"/>
        <v>#DIV/0!</v>
      </c>
      <c r="AI33" s="31" t="e">
        <f t="shared" si="16"/>
        <v>#DIV/0!</v>
      </c>
      <c r="AJ33" s="31" t="e">
        <f t="shared" si="15"/>
        <v>#DIV/0!</v>
      </c>
      <c r="AK33" s="30" t="e">
        <f t="shared" si="15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8.710988007327968</v>
      </c>
      <c r="I34">
        <f t="shared" ref="I34:O34" si="17">SUM(I7:I33)</f>
        <v>1.9627923224239097</v>
      </c>
      <c r="J34">
        <f t="shared" si="17"/>
        <v>5.0361010830324911E-2</v>
      </c>
      <c r="K34">
        <f t="shared" si="17"/>
        <v>0.21392419520440009</v>
      </c>
      <c r="L34">
        <f t="shared" si="17"/>
        <v>0.1525871303218114</v>
      </c>
      <c r="M34">
        <f t="shared" si="17"/>
        <v>696.37927513172542</v>
      </c>
      <c r="N34">
        <f t="shared" si="17"/>
        <v>0</v>
      </c>
      <c r="O34">
        <f t="shared" si="17"/>
        <v>1.0072202166064982E-2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7" spans="1:10" x14ac:dyDescent="0.35">
      <c r="A67" s="5" t="s">
        <v>27</v>
      </c>
      <c r="B67" s="26"/>
      <c r="C67" s="2"/>
      <c r="D67" s="2"/>
    </row>
    <row r="68" spans="1:10" x14ac:dyDescent="0.35">
      <c r="A68" s="25" t="s">
        <v>42</v>
      </c>
      <c r="B68" s="25"/>
      <c r="C68" s="2"/>
      <c r="D68" s="2"/>
    </row>
    <row r="69" spans="1:10" x14ac:dyDescent="0.35">
      <c r="A69" s="24" t="s">
        <v>41</v>
      </c>
      <c r="B69" s="23">
        <v>5</v>
      </c>
      <c r="C69" s="18">
        <f t="shared" ref="C69:C75" si="18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-2.8161475940112561</v>
      </c>
      <c r="D69" s="2"/>
    </row>
    <row r="70" spans="1:10" x14ac:dyDescent="0.35">
      <c r="A70" s="24" t="s">
        <v>41</v>
      </c>
      <c r="B70" s="23">
        <v>16</v>
      </c>
      <c r="C70" s="18">
        <f t="shared" si="18"/>
        <v>-2.0445577076457186</v>
      </c>
      <c r="D70" s="2"/>
    </row>
    <row r="71" spans="1:10" x14ac:dyDescent="0.35">
      <c r="A71" s="24" t="s">
        <v>41</v>
      </c>
      <c r="B71" s="23">
        <v>25</v>
      </c>
      <c r="C71" s="18">
        <f t="shared" si="18"/>
        <v>-1.0784480709890205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8"/>
        <v>0.82202950671587283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8"/>
        <v>3.3482729276437926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8"/>
        <v>4.0904862497380563</v>
      </c>
      <c r="D74" s="2"/>
    </row>
    <row r="75" spans="1:10" x14ac:dyDescent="0.35">
      <c r="A75" s="24" t="s">
        <v>41</v>
      </c>
      <c r="B75" s="23">
        <v>95</v>
      </c>
      <c r="C75" s="18">
        <f t="shared" si="18"/>
        <v>4.3720269530431422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25.675958801789164</v>
      </c>
    </row>
    <row r="78" spans="1:10" x14ac:dyDescent="0.35">
      <c r="A78" s="20" t="s">
        <v>39</v>
      </c>
      <c r="B78" s="132">
        <f>SUM(C11:C20)/SUM(C7:C33)</f>
        <v>0.25675958801789167</v>
      </c>
      <c r="D78" s="19" t="s">
        <v>6</v>
      </c>
      <c r="E78" s="18">
        <f>SUM($D$21:$D$30)</f>
        <v>54.788677624013786</v>
      </c>
    </row>
    <row r="79" spans="1:10" x14ac:dyDescent="0.35">
      <c r="A79" s="20" t="s">
        <v>38</v>
      </c>
      <c r="B79" s="132">
        <f>SUM(C21:C33)/SUM(C7:C33)</f>
        <v>0.74324041198210833</v>
      </c>
      <c r="D79" s="19" t="s">
        <v>5</v>
      </c>
      <c r="E79" s="18">
        <f>SUM($D$31:$D$33)</f>
        <v>19.535363574197046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1.5158225448892126</v>
      </c>
      <c r="D81" s="16" t="s">
        <v>4</v>
      </c>
      <c r="E81">
        <f>100*SUM(H7:J33)/SUM(P7:P33)</f>
        <v>1.5158225448892126</v>
      </c>
      <c r="G81" s="17" t="s">
        <v>2</v>
      </c>
      <c r="H81">
        <f>100*SUM(H7:H33)/(SUM(P7:P33)-SUM(M7:N33))</f>
        <v>78.472244927209161</v>
      </c>
    </row>
    <row r="82" spans="1:8" x14ac:dyDescent="0.35">
      <c r="A82" s="16" t="s">
        <v>0</v>
      </c>
      <c r="B82">
        <f>100*SUM(K7:L33)/SUM(P7:P33)</f>
        <v>5.1805185379969969E-2</v>
      </c>
      <c r="D82" s="16" t="s">
        <v>0</v>
      </c>
      <c r="E82">
        <f>100*SUM(K7:L33)/SUM(P7:P33)</f>
        <v>5.1805185379969969E-2</v>
      </c>
      <c r="G82" s="17" t="s">
        <v>1</v>
      </c>
      <c r="H82">
        <f>100*SUM(I7:J33)/(SUM(P7:P33)-SUM(M7:N33))</f>
        <v>18.135332216076833</v>
      </c>
    </row>
    <row r="83" spans="1:8" x14ac:dyDescent="0.35">
      <c r="A83" s="16" t="s">
        <v>3</v>
      </c>
      <c r="B83">
        <f>100*SUM(O7:O33)/SUM(P7:P33)</f>
        <v>1.4236730601663626E-3</v>
      </c>
      <c r="D83" s="16" t="s">
        <v>37</v>
      </c>
      <c r="E83">
        <f>100*SUM(M7:N33)/SUM(P7:P33)</f>
        <v>98.43094859667066</v>
      </c>
      <c r="G83" s="17" t="s">
        <v>0</v>
      </c>
      <c r="H83">
        <f>100*SUM(K7:L33)/(SUM(P7:P33)-SUM(M7:N33))</f>
        <v>3.3016882219438584</v>
      </c>
    </row>
    <row r="85" spans="1:8" x14ac:dyDescent="0.35">
      <c r="A85" s="16" t="s">
        <v>36</v>
      </c>
      <c r="B85" s="2"/>
      <c r="C85" s="2"/>
      <c r="D85" s="13">
        <f>(C70+C74+C72)/3</f>
        <v>0.95598601626940349</v>
      </c>
    </row>
    <row r="86" spans="1:8" x14ac:dyDescent="0.35">
      <c r="A86" s="14" t="s">
        <v>35</v>
      </c>
      <c r="B86" s="14"/>
      <c r="C86" s="14"/>
      <c r="D86" s="7">
        <f>C72</f>
        <v>0.82202950671587283</v>
      </c>
    </row>
    <row r="87" spans="1:8" x14ac:dyDescent="0.35">
      <c r="A87" s="14" t="s">
        <v>34</v>
      </c>
      <c r="B87" s="14"/>
      <c r="C87" s="14"/>
      <c r="D87" s="7">
        <f>(C74-C70)/2</f>
        <v>3.0675219786918877</v>
      </c>
    </row>
    <row r="88" spans="1:8" x14ac:dyDescent="0.35">
      <c r="A88" s="15" t="s">
        <v>33</v>
      </c>
      <c r="B88" s="14"/>
      <c r="C88" s="14"/>
      <c r="D88" s="13">
        <f>(C74+C70-D86)/D87</f>
        <v>0.39898623184384924</v>
      </c>
    </row>
    <row r="89" spans="1:8" x14ac:dyDescent="0.35">
      <c r="A89" s="3" t="s">
        <v>32</v>
      </c>
      <c r="B89" s="12"/>
      <c r="C89" s="11"/>
      <c r="D89" s="7">
        <f>((C74-C70)/4)+((C75-C69)/6.6)</f>
        <v>2.6228783449602466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2.6618306972830429E-2</v>
      </c>
    </row>
    <row r="91" spans="1:8" x14ac:dyDescent="0.35">
      <c r="A91" s="3" t="s">
        <v>30</v>
      </c>
      <c r="B91" s="9"/>
      <c r="C91" s="8"/>
      <c r="D91" s="7">
        <f>(C74-C69)/(2.44*(C73-C71))</f>
        <v>0.63943213086053741</v>
      </c>
    </row>
    <row r="92" spans="1:8" x14ac:dyDescent="0.35">
      <c r="A92" s="6" t="s">
        <v>29</v>
      </c>
      <c r="B92" s="6"/>
      <c r="C92" s="5"/>
      <c r="D92" s="7">
        <f>(C70+C72+C74)/3</f>
        <v>0.95598601626940349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1.0229642710461688</v>
      </c>
    </row>
    <row r="95" spans="1:8" x14ac:dyDescent="0.35">
      <c r="A95" s="2" t="s">
        <v>9</v>
      </c>
      <c r="B95" s="2"/>
      <c r="C95" s="2"/>
      <c r="D95" s="1">
        <f>100-E23</f>
        <v>54.485146203601637</v>
      </c>
    </row>
    <row r="96" spans="1:8" x14ac:dyDescent="0.35">
      <c r="A96" s="2" t="s">
        <v>8</v>
      </c>
      <c r="B96" s="2"/>
      <c r="C96" s="2"/>
      <c r="D96" s="1">
        <f>100-E30</f>
        <v>19.535363574197035</v>
      </c>
    </row>
    <row r="98" spans="1:3" x14ac:dyDescent="0.35">
      <c r="A98" t="s">
        <v>94</v>
      </c>
      <c r="C98" t="str">
        <f>IF(SUM(M7:N33)&gt;0,"Mixed","No Mixed")</f>
        <v>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MAY210717_6_no_aggr</v>
      </c>
      <c r="E2" s="142"/>
      <c r="G2" s="109" t="s">
        <v>90</v>
      </c>
      <c r="H2" s="108" t="str">
        <f ca="1">D2</f>
        <v>MAY210717_6_no_aggr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f>SUM(C7:C33)</f>
        <v>38.340724868274478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2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2"/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11"/>
        <v>0</v>
      </c>
      <c r="E11" s="54">
        <f t="shared" si="12"/>
        <v>0</v>
      </c>
      <c r="F11" s="132"/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11"/>
        <v>0</v>
      </c>
      <c r="E12" s="54">
        <f t="shared" si="12"/>
        <v>0</v>
      </c>
      <c r="F12" s="132"/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11"/>
        <v>0</v>
      </c>
      <c r="E13" s="54">
        <f t="shared" si="12"/>
        <v>0</v>
      </c>
      <c r="F13" s="132"/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0</v>
      </c>
      <c r="D14" s="55">
        <f t="shared" si="11"/>
        <v>0</v>
      </c>
      <c r="E14" s="54">
        <f t="shared" si="12"/>
        <v>0</v>
      </c>
      <c r="F14" s="132"/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0</v>
      </c>
      <c r="D15" s="55">
        <f t="shared" si="11"/>
        <v>0</v>
      </c>
      <c r="E15" s="54">
        <f t="shared" si="12"/>
        <v>0</v>
      </c>
      <c r="F15" s="132"/>
      <c r="G15" s="48">
        <f t="shared" si="3"/>
        <v>-3.5</v>
      </c>
      <c r="H15" s="61">
        <v>1.399795321637427</v>
      </c>
      <c r="I15" s="60">
        <v>2.6996052631578955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50">
        <f t="shared" si="4"/>
        <v>4.0994005847953225</v>
      </c>
      <c r="R15" s="48">
        <f t="shared" si="5"/>
        <v>-3.5</v>
      </c>
      <c r="S15" s="67">
        <f t="shared" si="6"/>
        <v>34.146341463414629</v>
      </c>
      <c r="T15" s="66">
        <f t="shared" si="6"/>
        <v>65.853658536585371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3">S15*100/(SUM($S15:$W15)+SUM($Y15:$Z15))</f>
        <v>34.146341463414629</v>
      </c>
      <c r="AE15" s="66">
        <f t="shared" si="13"/>
        <v>65.853658536585371</v>
      </c>
      <c r="AF15" s="65">
        <f t="shared" si="13"/>
        <v>0</v>
      </c>
      <c r="AG15" s="67">
        <f t="shared" si="13"/>
        <v>0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0.8081159420289854</v>
      </c>
      <c r="D16" s="55">
        <f t="shared" si="11"/>
        <v>2.1077221278559373</v>
      </c>
      <c r="E16" s="54">
        <f t="shared" si="12"/>
        <v>2.1077221278559373</v>
      </c>
      <c r="F16" s="132"/>
      <c r="G16" s="48">
        <f t="shared" si="3"/>
        <v>-3</v>
      </c>
      <c r="H16" s="61">
        <v>5.22508038585209</v>
      </c>
      <c r="I16" s="60">
        <v>5.627009646302251</v>
      </c>
      <c r="J16" s="59">
        <v>0</v>
      </c>
      <c r="K16" s="60">
        <v>0</v>
      </c>
      <c r="L16" s="60">
        <v>4.320739549839228</v>
      </c>
      <c r="M16" s="60">
        <v>0</v>
      </c>
      <c r="N16" s="60">
        <v>0</v>
      </c>
      <c r="O16" s="60">
        <v>0</v>
      </c>
      <c r="P16" s="50">
        <f t="shared" si="4"/>
        <v>15.172829581993568</v>
      </c>
      <c r="R16" s="48">
        <f t="shared" si="5"/>
        <v>-3</v>
      </c>
      <c r="S16" s="67">
        <f t="shared" si="6"/>
        <v>34.437086092715234</v>
      </c>
      <c r="T16" s="66">
        <f t="shared" si="6"/>
        <v>37.086092715231793</v>
      </c>
      <c r="U16" s="65">
        <f t="shared" si="6"/>
        <v>0</v>
      </c>
      <c r="V16" s="66">
        <f t="shared" si="6"/>
        <v>0</v>
      </c>
      <c r="W16" s="66">
        <f t="shared" si="6"/>
        <v>28.476821192052981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3"/>
        <v>34.437086092715234</v>
      </c>
      <c r="AE16" s="66">
        <f t="shared" si="13"/>
        <v>37.086092715231786</v>
      </c>
      <c r="AF16" s="65">
        <f t="shared" si="13"/>
        <v>0</v>
      </c>
      <c r="AG16" s="67">
        <f t="shared" si="13"/>
        <v>0</v>
      </c>
      <c r="AH16" s="66">
        <f t="shared" si="13"/>
        <v>28.476821192052977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3.0157894736842108</v>
      </c>
      <c r="D17" s="55">
        <f t="shared" si="11"/>
        <v>7.8657601911425106</v>
      </c>
      <c r="E17" s="54">
        <f t="shared" si="12"/>
        <v>9.9734823189984478</v>
      </c>
      <c r="F17" s="132"/>
      <c r="G17" s="48">
        <f t="shared" si="3"/>
        <v>-2.5</v>
      </c>
      <c r="H17" s="61">
        <v>8.5975977653631279</v>
      </c>
      <c r="I17" s="60">
        <v>12.096620111731843</v>
      </c>
      <c r="J17" s="59">
        <v>0.79977653631284928</v>
      </c>
      <c r="K17" s="60">
        <v>1.4995810055865924</v>
      </c>
      <c r="L17" s="60">
        <v>3.2990782122905027</v>
      </c>
      <c r="M17" s="60">
        <v>0</v>
      </c>
      <c r="N17" s="60">
        <v>0</v>
      </c>
      <c r="O17" s="60">
        <v>0</v>
      </c>
      <c r="P17" s="50">
        <f t="shared" si="4"/>
        <v>26.292653631284914</v>
      </c>
      <c r="R17" s="48">
        <f t="shared" si="5"/>
        <v>-2.5</v>
      </c>
      <c r="S17" s="67">
        <f t="shared" si="6"/>
        <v>32.699619771863119</v>
      </c>
      <c r="T17" s="66">
        <f t="shared" si="6"/>
        <v>46.007604562737647</v>
      </c>
      <c r="U17" s="65">
        <f t="shared" si="6"/>
        <v>3.0418250950570349</v>
      </c>
      <c r="V17" s="66">
        <f t="shared" si="6"/>
        <v>5.7034220532319404</v>
      </c>
      <c r="W17" s="66">
        <f t="shared" si="6"/>
        <v>12.547528517110267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3"/>
        <v>32.699619771863112</v>
      </c>
      <c r="AE17" s="66">
        <f t="shared" si="13"/>
        <v>46.007604562737647</v>
      </c>
      <c r="AF17" s="65">
        <f t="shared" si="13"/>
        <v>3.0418250950570345</v>
      </c>
      <c r="AG17" s="67">
        <f t="shared" si="13"/>
        <v>5.7034220532319404</v>
      </c>
      <c r="AH17" s="66">
        <f t="shared" si="13"/>
        <v>12.547528517110266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130">
        <v>2.5366666666666662</v>
      </c>
      <c r="D18" s="55">
        <f t="shared" si="11"/>
        <v>6.6161155674071868</v>
      </c>
      <c r="E18" s="54">
        <f t="shared" si="12"/>
        <v>16.589597886405635</v>
      </c>
      <c r="F18" s="132"/>
      <c r="G18" s="48">
        <f t="shared" si="3"/>
        <v>-2</v>
      </c>
      <c r="H18" s="61">
        <v>7.2393349168646095</v>
      </c>
      <c r="I18" s="60">
        <v>19.606532066508315</v>
      </c>
      <c r="J18" s="59">
        <v>1.307102137767221</v>
      </c>
      <c r="K18" s="60">
        <v>0.90491686460807619</v>
      </c>
      <c r="L18" s="60">
        <v>1.2065558194774348</v>
      </c>
      <c r="M18" s="60">
        <v>0</v>
      </c>
      <c r="N18" s="60">
        <v>0</v>
      </c>
      <c r="O18" s="60">
        <v>0</v>
      </c>
      <c r="P18" s="50">
        <f t="shared" si="4"/>
        <v>30.264441805225655</v>
      </c>
      <c r="R18" s="48">
        <f t="shared" si="5"/>
        <v>-2</v>
      </c>
      <c r="S18" s="67">
        <f t="shared" si="6"/>
        <v>23.920265780730901</v>
      </c>
      <c r="T18" s="66">
        <f t="shared" si="6"/>
        <v>64.784053156146172</v>
      </c>
      <c r="U18" s="65">
        <f t="shared" si="6"/>
        <v>4.3189368770764123</v>
      </c>
      <c r="V18" s="66">
        <f t="shared" si="6"/>
        <v>2.9900332225913626</v>
      </c>
      <c r="W18" s="66">
        <f t="shared" si="6"/>
        <v>3.9867109634551499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3"/>
        <v>23.920265780730901</v>
      </c>
      <c r="AE18" s="66">
        <f t="shared" si="13"/>
        <v>64.784053156146172</v>
      </c>
      <c r="AF18" s="65">
        <f t="shared" si="13"/>
        <v>4.3189368770764123</v>
      </c>
      <c r="AG18" s="67">
        <f t="shared" si="13"/>
        <v>2.9900332225913626</v>
      </c>
      <c r="AH18" s="66">
        <f t="shared" si="13"/>
        <v>3.9867109634551499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30">
        <v>1.8319354838709678</v>
      </c>
      <c r="D19" s="55">
        <f t="shared" si="11"/>
        <v>4.7780408173420481</v>
      </c>
      <c r="E19" s="54">
        <f t="shared" si="12"/>
        <v>21.367638703747684</v>
      </c>
      <c r="F19" s="132"/>
      <c r="G19" s="48">
        <f t="shared" si="3"/>
        <v>-1.5</v>
      </c>
      <c r="H19" s="61">
        <v>7.9222556390977443</v>
      </c>
      <c r="I19" s="60">
        <v>15.999849624060152</v>
      </c>
      <c r="J19" s="59">
        <v>1.2427067669172933</v>
      </c>
      <c r="K19" s="60">
        <v>2.0193984962406013</v>
      </c>
      <c r="L19" s="60">
        <v>3.5727819548872173</v>
      </c>
      <c r="M19" s="60">
        <v>0</v>
      </c>
      <c r="N19" s="60">
        <v>0</v>
      </c>
      <c r="O19" s="60">
        <v>0</v>
      </c>
      <c r="P19" s="50">
        <f t="shared" si="4"/>
        <v>30.756992481203007</v>
      </c>
      <c r="R19" s="48">
        <f t="shared" si="5"/>
        <v>-1.5</v>
      </c>
      <c r="S19" s="67">
        <f t="shared" si="6"/>
        <v>25.757575757575758</v>
      </c>
      <c r="T19" s="66">
        <f t="shared" si="6"/>
        <v>52.020202020202028</v>
      </c>
      <c r="U19" s="65">
        <f t="shared" si="6"/>
        <v>4.0404040404040407</v>
      </c>
      <c r="V19" s="66">
        <f t="shared" si="6"/>
        <v>6.5656565656565649</v>
      </c>
      <c r="W19" s="66">
        <f t="shared" si="6"/>
        <v>11.616161616161614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3"/>
        <v>25.757575757575758</v>
      </c>
      <c r="AE19" s="66">
        <f t="shared" si="13"/>
        <v>52.020202020202028</v>
      </c>
      <c r="AF19" s="65">
        <f t="shared" si="13"/>
        <v>4.0404040404040398</v>
      </c>
      <c r="AG19" s="67">
        <f t="shared" si="13"/>
        <v>6.565656565656564</v>
      </c>
      <c r="AH19" s="66">
        <f t="shared" si="13"/>
        <v>11.616161616161612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1.6518411552346572</v>
      </c>
      <c r="D20" s="55">
        <f t="shared" si="11"/>
        <v>4.3083200980414809</v>
      </c>
      <c r="E20" s="54">
        <f t="shared" si="12"/>
        <v>25.675958801789164</v>
      </c>
      <c r="F20" s="132"/>
      <c r="G20" s="48">
        <f t="shared" si="3"/>
        <v>-1</v>
      </c>
      <c r="H20" s="61">
        <v>4.0707762096774198</v>
      </c>
      <c r="I20" s="60">
        <v>28.454314516129031</v>
      </c>
      <c r="J20" s="59">
        <v>1.7681149193548387</v>
      </c>
      <c r="K20" s="60">
        <v>1.809233870967742</v>
      </c>
      <c r="L20" s="60">
        <v>1.6036391129032259</v>
      </c>
      <c r="M20" s="60">
        <v>0</v>
      </c>
      <c r="N20" s="60">
        <v>0</v>
      </c>
      <c r="O20" s="60">
        <v>0</v>
      </c>
      <c r="P20" s="50">
        <f t="shared" si="4"/>
        <v>37.706078629032255</v>
      </c>
      <c r="R20" s="48">
        <f t="shared" si="5"/>
        <v>-1</v>
      </c>
      <c r="S20" s="67">
        <f t="shared" si="6"/>
        <v>10.796074154852784</v>
      </c>
      <c r="T20" s="66">
        <f t="shared" si="6"/>
        <v>75.463467829880045</v>
      </c>
      <c r="U20" s="65">
        <f t="shared" si="6"/>
        <v>4.6892039258451472</v>
      </c>
      <c r="V20" s="66">
        <f t="shared" si="6"/>
        <v>4.7982551799345696</v>
      </c>
      <c r="W20" s="66">
        <f t="shared" si="6"/>
        <v>4.2529989094874594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3"/>
        <v>10.796074154852782</v>
      </c>
      <c r="AE20" s="66">
        <f t="shared" si="13"/>
        <v>75.463467829880031</v>
      </c>
      <c r="AF20" s="65">
        <f t="shared" si="13"/>
        <v>4.6892039258451463</v>
      </c>
      <c r="AG20" s="67">
        <f t="shared" si="13"/>
        <v>4.7982551799345687</v>
      </c>
      <c r="AH20" s="66">
        <f t="shared" si="13"/>
        <v>4.2529989094874585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130">
        <v>1.2563761467889911</v>
      </c>
      <c r="D21" s="55">
        <f t="shared" si="11"/>
        <v>3.2768711366450862</v>
      </c>
      <c r="E21" s="54">
        <f t="shared" si="12"/>
        <v>28.952829938434249</v>
      </c>
      <c r="F21" s="132"/>
      <c r="G21" s="70">
        <f t="shared" si="3"/>
        <v>-0.5</v>
      </c>
      <c r="H21" s="61">
        <v>2.2858651026392964</v>
      </c>
      <c r="I21" s="60">
        <v>23.298240469208213</v>
      </c>
      <c r="J21" s="59">
        <v>1.2308504398826983</v>
      </c>
      <c r="K21" s="60">
        <v>0.61542521994134913</v>
      </c>
      <c r="L21" s="60">
        <v>1.6704398826979474</v>
      </c>
      <c r="M21" s="60">
        <v>0</v>
      </c>
      <c r="N21" s="60">
        <v>0</v>
      </c>
      <c r="O21" s="60">
        <v>8.791788856304987E-2</v>
      </c>
      <c r="P21" s="69">
        <f t="shared" si="4"/>
        <v>29.188739002932557</v>
      </c>
      <c r="R21" s="48">
        <f t="shared" si="5"/>
        <v>-0.5</v>
      </c>
      <c r="S21" s="67">
        <f t="shared" si="6"/>
        <v>7.831325301204819</v>
      </c>
      <c r="T21" s="66">
        <f t="shared" si="6"/>
        <v>79.819277108433724</v>
      </c>
      <c r="U21" s="65">
        <f t="shared" si="6"/>
        <v>4.2168674698795181</v>
      </c>
      <c r="V21" s="66">
        <f t="shared" si="6"/>
        <v>2.1084337349397591</v>
      </c>
      <c r="W21" s="66">
        <f t="shared" si="6"/>
        <v>5.7228915662650595</v>
      </c>
      <c r="X21" s="66">
        <f t="shared" si="6"/>
        <v>0</v>
      </c>
      <c r="Y21" s="66">
        <f t="shared" si="6"/>
        <v>0</v>
      </c>
      <c r="Z21" s="65">
        <f t="shared" si="6"/>
        <v>0.3012048192771084</v>
      </c>
      <c r="AA21" s="50">
        <f t="shared" si="7"/>
        <v>99.999999999999986</v>
      </c>
      <c r="AC21" s="48">
        <f t="shared" si="8"/>
        <v>-0.5</v>
      </c>
      <c r="AD21" s="67">
        <f t="shared" si="13"/>
        <v>7.8313253012048198</v>
      </c>
      <c r="AE21" s="66">
        <f t="shared" si="13"/>
        <v>79.819277108433738</v>
      </c>
      <c r="AF21" s="65">
        <f t="shared" si="13"/>
        <v>4.216867469879519</v>
      </c>
      <c r="AG21" s="67">
        <f t="shared" si="13"/>
        <v>2.1084337349397595</v>
      </c>
      <c r="AH21" s="66">
        <f t="shared" si="13"/>
        <v>5.7228915662650603</v>
      </c>
      <c r="AI21" s="66">
        <v>0</v>
      </c>
      <c r="AJ21" s="66">
        <f t="shared" si="14"/>
        <v>0</v>
      </c>
      <c r="AK21" s="65">
        <f t="shared" si="14"/>
        <v>0.30120481927710846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30">
        <v>3.47</v>
      </c>
      <c r="D22" s="55">
        <f t="shared" si="11"/>
        <v>9.0504287853756669</v>
      </c>
      <c r="E22" s="54">
        <f t="shared" si="12"/>
        <v>38.003258723809914</v>
      </c>
      <c r="F22" s="132"/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3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2.88</v>
      </c>
      <c r="D23" s="55">
        <f t="shared" si="11"/>
        <v>7.5115950725884488</v>
      </c>
      <c r="E23" s="54">
        <f t="shared" si="12"/>
        <v>45.514853796398363</v>
      </c>
      <c r="F23" s="132"/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3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2.67</v>
      </c>
      <c r="D24" s="55">
        <f t="shared" si="11"/>
        <v>6.9638745985455417</v>
      </c>
      <c r="E24" s="54">
        <f t="shared" si="12"/>
        <v>52.478728394943907</v>
      </c>
      <c r="F24" s="132"/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3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1.99</v>
      </c>
      <c r="D25" s="55">
        <f t="shared" si="11"/>
        <v>5.1903035397399355</v>
      </c>
      <c r="E25" s="54">
        <f t="shared" si="12"/>
        <v>57.669031934683844</v>
      </c>
      <c r="F25" s="132"/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3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2.12</v>
      </c>
      <c r="D26" s="55">
        <f t="shared" si="11"/>
        <v>5.5293685950998306</v>
      </c>
      <c r="E26" s="54">
        <f t="shared" si="12"/>
        <v>63.198400529783676</v>
      </c>
      <c r="F26" s="132"/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3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1.78</v>
      </c>
      <c r="D27" s="55">
        <f t="shared" si="11"/>
        <v>4.6425830656970275</v>
      </c>
      <c r="E27" s="54">
        <f t="shared" si="12"/>
        <v>67.840983595480708</v>
      </c>
      <c r="F27" s="132"/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3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1.7</v>
      </c>
      <c r="D28" s="55">
        <f t="shared" si="11"/>
        <v>4.4339276470140154</v>
      </c>
      <c r="E28" s="54">
        <f t="shared" si="12"/>
        <v>72.274911242494724</v>
      </c>
      <c r="F28" s="132"/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3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1.5</v>
      </c>
      <c r="D29" s="55">
        <f t="shared" si="11"/>
        <v>3.9122891003064839</v>
      </c>
      <c r="E29" s="54">
        <f t="shared" si="12"/>
        <v>76.187200342801205</v>
      </c>
      <c r="F29" s="132"/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3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1.64</v>
      </c>
      <c r="D30" s="55">
        <f t="shared" si="11"/>
        <v>4.2774360830017555</v>
      </c>
      <c r="E30" s="54">
        <f t="shared" si="12"/>
        <v>80.464636425802965</v>
      </c>
      <c r="F30" s="132"/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3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7.49</v>
      </c>
      <c r="D31" s="55">
        <f t="shared" si="11"/>
        <v>19.535363574197046</v>
      </c>
      <c r="E31" s="54">
        <f t="shared" si="12"/>
        <v>100.00000000000001</v>
      </c>
      <c r="F31" s="132"/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3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2"/>
        <v>100.00000000000001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3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2"/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3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36.740705341131722</v>
      </c>
      <c r="I34">
        <f t="shared" ref="I34:O34" si="16">SUM(I7:I33)</f>
        <v>107.7821716970977</v>
      </c>
      <c r="J34">
        <f t="shared" si="16"/>
        <v>6.3485508002349009</v>
      </c>
      <c r="K34">
        <f t="shared" si="16"/>
        <v>6.8485554573443608</v>
      </c>
      <c r="L34">
        <f t="shared" si="16"/>
        <v>15.673234532095556</v>
      </c>
      <c r="M34">
        <f t="shared" si="16"/>
        <v>0</v>
      </c>
      <c r="N34">
        <f t="shared" si="16"/>
        <v>0</v>
      </c>
      <c r="O34">
        <f t="shared" si="16"/>
        <v>8.791788856304987E-2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7" spans="1:10" x14ac:dyDescent="0.35">
      <c r="A67" s="5" t="s">
        <v>27</v>
      </c>
      <c r="B67" s="26"/>
      <c r="C67" s="2"/>
      <c r="D67" s="2"/>
    </row>
    <row r="68" spans="1:10" x14ac:dyDescent="0.35">
      <c r="A68" s="25" t="s">
        <v>42</v>
      </c>
      <c r="B68" s="25"/>
      <c r="C68" s="2"/>
      <c r="D68" s="2"/>
    </row>
    <row r="69" spans="1:10" x14ac:dyDescent="0.35">
      <c r="A69" s="24" t="s">
        <v>41</v>
      </c>
      <c r="B69" s="23">
        <v>5</v>
      </c>
      <c r="C69" s="18">
        <f t="shared" ref="C69:C75" si="1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-2.8161475940112561</v>
      </c>
      <c r="D69" s="2"/>
    </row>
    <row r="70" spans="1:10" x14ac:dyDescent="0.35">
      <c r="A70" s="24" t="s">
        <v>41</v>
      </c>
      <c r="B70" s="23">
        <v>16</v>
      </c>
      <c r="C70" s="18">
        <f t="shared" si="17"/>
        <v>-2.0445577076457186</v>
      </c>
      <c r="D70" s="2"/>
    </row>
    <row r="71" spans="1:10" x14ac:dyDescent="0.35">
      <c r="A71" s="24" t="s">
        <v>41</v>
      </c>
      <c r="B71" s="23">
        <v>25</v>
      </c>
      <c r="C71" s="18">
        <f t="shared" si="17"/>
        <v>-1.0784480709890205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7"/>
        <v>0.82202950671587283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7"/>
        <v>3.3482729276437926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7"/>
        <v>4.0904862497380563</v>
      </c>
      <c r="D74" s="2"/>
    </row>
    <row r="75" spans="1:10" x14ac:dyDescent="0.35">
      <c r="A75" s="24" t="s">
        <v>41</v>
      </c>
      <c r="B75" s="23">
        <v>95</v>
      </c>
      <c r="C75" s="18">
        <f t="shared" si="17"/>
        <v>4.3720269530431422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25.675958801789164</v>
      </c>
    </row>
    <row r="78" spans="1:10" x14ac:dyDescent="0.35">
      <c r="A78" s="20" t="s">
        <v>39</v>
      </c>
      <c r="B78" s="132">
        <f>SUM(C11:C20)/SUM(C7:C33)</f>
        <v>0.25675958801789167</v>
      </c>
      <c r="D78" s="19" t="s">
        <v>6</v>
      </c>
      <c r="E78" s="18">
        <f>SUM($D$21:$D$30)</f>
        <v>54.788677624013786</v>
      </c>
    </row>
    <row r="79" spans="1:10" x14ac:dyDescent="0.35">
      <c r="A79" s="20" t="s">
        <v>38</v>
      </c>
      <c r="B79" s="132">
        <f>SUM(C21:C33)/SUM(C7:C33)</f>
        <v>0.74324041198210833</v>
      </c>
      <c r="D79" s="19" t="s">
        <v>5</v>
      </c>
      <c r="E79" s="18">
        <f>SUM($D$31:$D$33)</f>
        <v>19.535363574197046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86.967051037205763</v>
      </c>
      <c r="D81" s="16" t="s">
        <v>4</v>
      </c>
      <c r="E81">
        <f>100*SUM(H7:J33)/SUM(P7:P33)</f>
        <v>86.967051037205763</v>
      </c>
      <c r="G81" s="17" t="s">
        <v>2</v>
      </c>
      <c r="H81">
        <f>100*SUM(H7:H33)/(SUM(P7:P33)-SUM(M7:N33))</f>
        <v>21.178501737030189</v>
      </c>
    </row>
    <row r="82" spans="1:8" x14ac:dyDescent="0.35">
      <c r="A82" s="16" t="s">
        <v>0</v>
      </c>
      <c r="B82">
        <f>100*SUM(K7:L33)/SUM(P7:P33)</f>
        <v>12.982270317995212</v>
      </c>
      <c r="D82" s="16" t="s">
        <v>0</v>
      </c>
      <c r="E82">
        <f>100*SUM(K7:L33)/SUM(P7:P33)</f>
        <v>12.982270317995212</v>
      </c>
      <c r="G82" s="17" t="s">
        <v>1</v>
      </c>
      <c r="H82">
        <f>100*SUM(I7:J33)/(SUM(P7:P33)-SUM(M7:N33))</f>
        <v>65.788549300175603</v>
      </c>
    </row>
    <row r="83" spans="1:8" x14ac:dyDescent="0.35">
      <c r="A83" s="16" t="s">
        <v>3</v>
      </c>
      <c r="B83">
        <f>100*SUM(O7:O33)/SUM(P7:P33)</f>
        <v>5.0678644799017465E-2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12.982270317995212</v>
      </c>
    </row>
    <row r="85" spans="1:8" x14ac:dyDescent="0.35">
      <c r="A85" s="16" t="s">
        <v>36</v>
      </c>
      <c r="B85" s="2"/>
      <c r="C85" s="2"/>
      <c r="D85" s="13">
        <f>(C70+C74+C72)/3</f>
        <v>0.95598601626940349</v>
      </c>
    </row>
    <row r="86" spans="1:8" x14ac:dyDescent="0.35">
      <c r="A86" s="14" t="s">
        <v>35</v>
      </c>
      <c r="B86" s="14"/>
      <c r="C86" s="14"/>
      <c r="D86" s="7">
        <f>C72</f>
        <v>0.82202950671587283</v>
      </c>
    </row>
    <row r="87" spans="1:8" x14ac:dyDescent="0.35">
      <c r="A87" s="14" t="s">
        <v>34</v>
      </c>
      <c r="B87" s="14"/>
      <c r="C87" s="14"/>
      <c r="D87" s="7">
        <f>(C74-C70)/2</f>
        <v>3.0675219786918877</v>
      </c>
    </row>
    <row r="88" spans="1:8" x14ac:dyDescent="0.35">
      <c r="A88" s="15" t="s">
        <v>33</v>
      </c>
      <c r="B88" s="14"/>
      <c r="C88" s="14"/>
      <c r="D88" s="13">
        <f>(C74+C70-D86)/D87</f>
        <v>0.39898623184384924</v>
      </c>
    </row>
    <row r="89" spans="1:8" x14ac:dyDescent="0.35">
      <c r="A89" s="3" t="s">
        <v>32</v>
      </c>
      <c r="B89" s="12"/>
      <c r="C89" s="11"/>
      <c r="D89" s="7">
        <f>((C74-C70)/4)+((C75-C69)/6.6)</f>
        <v>2.6228783449602466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2.6618306972830429E-2</v>
      </c>
    </row>
    <row r="91" spans="1:8" x14ac:dyDescent="0.35">
      <c r="A91" s="3" t="s">
        <v>30</v>
      </c>
      <c r="B91" s="9"/>
      <c r="C91" s="8"/>
      <c r="D91" s="7">
        <f>(C74-C69)/(2.44*(C73-C71))</f>
        <v>0.63943213086053741</v>
      </c>
    </row>
    <row r="92" spans="1:8" x14ac:dyDescent="0.35">
      <c r="A92" s="6" t="s">
        <v>29</v>
      </c>
      <c r="B92" s="6"/>
      <c r="C92" s="5"/>
      <c r="D92" s="7">
        <f>(C70+C72+C74)/3</f>
        <v>0.95598601626940349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1.0229642710461688</v>
      </c>
    </row>
    <row r="95" spans="1:8" x14ac:dyDescent="0.35">
      <c r="A95" s="2" t="s">
        <v>9</v>
      </c>
      <c r="B95" s="2"/>
      <c r="C95" s="2"/>
      <c r="D95" s="1">
        <f>100-E23</f>
        <v>54.485146203601637</v>
      </c>
    </row>
    <row r="96" spans="1:8" x14ac:dyDescent="0.35">
      <c r="A96" s="2" t="s">
        <v>8</v>
      </c>
      <c r="B96" s="2"/>
      <c r="C96" s="2"/>
      <c r="D96" s="1">
        <f>100-E30</f>
        <v>19.535363574197035</v>
      </c>
    </row>
    <row r="98" spans="1:3" x14ac:dyDescent="0.35">
      <c r="A98" t="s">
        <v>94</v>
      </c>
      <c r="C98" t="str">
        <f>IF(SUM(M7:N33)&gt;0,"Mixed","No Mixed")</f>
        <v>No 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MAY210717_7</v>
      </c>
      <c r="E2" s="142"/>
      <c r="G2" s="109" t="s">
        <v>90</v>
      </c>
      <c r="H2" s="108" t="str">
        <f ca="1">D2</f>
        <v>MAY210717_7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f>SUM(C7:C33)</f>
        <v>893.31000000000029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2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238.84</v>
      </c>
      <c r="D10" s="55">
        <f t="shared" si="11"/>
        <v>26.736519237442764</v>
      </c>
      <c r="E10" s="54">
        <f t="shared" si="12"/>
        <v>26.736519237442764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238.84</v>
      </c>
      <c r="N10" s="60">
        <v>0</v>
      </c>
      <c r="O10" s="60">
        <v>0</v>
      </c>
      <c r="P10" s="50">
        <f t="shared" si="4"/>
        <v>238.84</v>
      </c>
      <c r="R10" s="48">
        <f t="shared" si="5"/>
        <v>-6</v>
      </c>
      <c r="S10" s="47">
        <f t="shared" si="6"/>
        <v>0</v>
      </c>
      <c r="T10" s="46">
        <f t="shared" si="6"/>
        <v>0</v>
      </c>
      <c r="U10" s="45">
        <f t="shared" si="6"/>
        <v>0</v>
      </c>
      <c r="V10" s="46">
        <f t="shared" si="6"/>
        <v>0</v>
      </c>
      <c r="W10" s="46">
        <f t="shared" si="6"/>
        <v>0</v>
      </c>
      <c r="X10" s="46">
        <f t="shared" si="6"/>
        <v>100</v>
      </c>
      <c r="Y10" s="46">
        <f t="shared" si="6"/>
        <v>0</v>
      </c>
      <c r="Z10" s="45">
        <f t="shared" si="6"/>
        <v>0</v>
      </c>
      <c r="AA10" s="49">
        <f t="shared" si="7"/>
        <v>100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317.37</v>
      </c>
      <c r="D11" s="55">
        <f t="shared" si="11"/>
        <v>35.527420492326286</v>
      </c>
      <c r="E11" s="54">
        <f t="shared" si="12"/>
        <v>62.263939729769049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317.37</v>
      </c>
      <c r="N11" s="60">
        <v>0</v>
      </c>
      <c r="O11" s="60">
        <v>0</v>
      </c>
      <c r="P11" s="50">
        <f t="shared" si="4"/>
        <v>317.37</v>
      </c>
      <c r="R11" s="48">
        <f t="shared" si="5"/>
        <v>-5.5</v>
      </c>
      <c r="S11" s="47">
        <f t="shared" si="6"/>
        <v>0</v>
      </c>
      <c r="T11" s="46">
        <f t="shared" si="6"/>
        <v>0</v>
      </c>
      <c r="U11" s="45">
        <f t="shared" si="6"/>
        <v>0</v>
      </c>
      <c r="V11" s="46">
        <f t="shared" si="6"/>
        <v>0</v>
      </c>
      <c r="W11" s="46">
        <f t="shared" si="6"/>
        <v>0</v>
      </c>
      <c r="X11" s="46">
        <f t="shared" si="6"/>
        <v>100</v>
      </c>
      <c r="Y11" s="46">
        <f t="shared" si="6"/>
        <v>0</v>
      </c>
      <c r="Z11" s="45">
        <f t="shared" si="6"/>
        <v>0</v>
      </c>
      <c r="AA11" s="49">
        <f t="shared" si="7"/>
        <v>100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99.51</v>
      </c>
      <c r="D12" s="55">
        <f t="shared" si="11"/>
        <v>11.139470060785166</v>
      </c>
      <c r="E12" s="54">
        <f t="shared" si="12"/>
        <v>73.403409790554221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99.51</v>
      </c>
      <c r="N12" s="60">
        <v>0</v>
      </c>
      <c r="O12" s="60">
        <v>0</v>
      </c>
      <c r="P12" s="50">
        <f t="shared" si="4"/>
        <v>99.51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17.25</v>
      </c>
      <c r="D13" s="55">
        <f t="shared" si="11"/>
        <v>1.9310205863585985</v>
      </c>
      <c r="E13" s="54">
        <f t="shared" si="12"/>
        <v>75.33443037691282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17.25</v>
      </c>
      <c r="N13" s="60">
        <v>0</v>
      </c>
      <c r="O13" s="60">
        <v>0</v>
      </c>
      <c r="P13" s="50">
        <f t="shared" si="4"/>
        <v>17.25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100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55.09</v>
      </c>
      <c r="D14" s="55">
        <f t="shared" si="11"/>
        <v>6.1669521218837788</v>
      </c>
      <c r="E14" s="54">
        <f t="shared" si="12"/>
        <v>81.501382498796602</v>
      </c>
      <c r="G14" s="48">
        <f t="shared" si="3"/>
        <v>-4</v>
      </c>
      <c r="H14" s="61">
        <v>2.8942210144927536</v>
      </c>
      <c r="I14" s="60">
        <v>0</v>
      </c>
      <c r="J14" s="59">
        <v>0</v>
      </c>
      <c r="K14" s="60">
        <v>0</v>
      </c>
      <c r="L14" s="60">
        <v>0</v>
      </c>
      <c r="M14" s="60">
        <v>52.195778985507246</v>
      </c>
      <c r="N14" s="60">
        <v>0</v>
      </c>
      <c r="O14" s="60">
        <v>0</v>
      </c>
      <c r="P14" s="50">
        <f t="shared" si="4"/>
        <v>55.09</v>
      </c>
      <c r="R14" s="48">
        <f t="shared" si="5"/>
        <v>-4</v>
      </c>
      <c r="S14" s="47">
        <f t="shared" si="6"/>
        <v>5.2536231884057969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94.746376811594203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100.00000000000001</v>
      </c>
      <c r="AE14" s="46">
        <f t="shared" si="9"/>
        <v>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1803.4482758620691</v>
      </c>
      <c r="AJ14" s="46">
        <f t="shared" si="9"/>
        <v>0</v>
      </c>
      <c r="AK14" s="45">
        <f t="shared" si="9"/>
        <v>0</v>
      </c>
      <c r="AL14" s="44">
        <f t="shared" si="10"/>
        <v>1903.4482758620691</v>
      </c>
    </row>
    <row r="15" spans="1:38" x14ac:dyDescent="0.35">
      <c r="A15" s="58" t="s">
        <v>62</v>
      </c>
      <c r="B15" s="57">
        <v>-3.5</v>
      </c>
      <c r="C15" s="130">
        <v>29.96</v>
      </c>
      <c r="D15" s="55">
        <f t="shared" si="11"/>
        <v>3.3538189430320933</v>
      </c>
      <c r="E15" s="54">
        <f t="shared" si="12"/>
        <v>84.855201441828697</v>
      </c>
      <c r="G15" s="48">
        <f t="shared" si="3"/>
        <v>-3.5</v>
      </c>
      <c r="H15" s="61">
        <v>4.2942666666666671</v>
      </c>
      <c r="I15" s="60">
        <v>1.6977333333333333</v>
      </c>
      <c r="J15" s="59">
        <v>0</v>
      </c>
      <c r="K15" s="60">
        <v>7.8894666666666673</v>
      </c>
      <c r="L15" s="60">
        <v>0</v>
      </c>
      <c r="M15" s="60">
        <v>16.078533333333336</v>
      </c>
      <c r="N15" s="60">
        <v>0</v>
      </c>
      <c r="O15" s="60">
        <v>0</v>
      </c>
      <c r="P15" s="50">
        <f t="shared" si="4"/>
        <v>29.960000000000004</v>
      </c>
      <c r="R15" s="48">
        <f t="shared" si="5"/>
        <v>-3.5</v>
      </c>
      <c r="S15" s="67">
        <f t="shared" si="6"/>
        <v>14.333333333333334</v>
      </c>
      <c r="T15" s="66">
        <f t="shared" si="6"/>
        <v>5.6666666666666661</v>
      </c>
      <c r="U15" s="65">
        <f t="shared" si="6"/>
        <v>0</v>
      </c>
      <c r="V15" s="66">
        <f t="shared" si="6"/>
        <v>26.333333333333332</v>
      </c>
      <c r="W15" s="66">
        <f t="shared" si="6"/>
        <v>0</v>
      </c>
      <c r="X15" s="66">
        <f t="shared" si="6"/>
        <v>53.666666666666671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3">S15*100/(SUM($S15:$W15)+SUM($Y15:$Z15))</f>
        <v>30.935251798561158</v>
      </c>
      <c r="AE15" s="66">
        <f t="shared" si="13"/>
        <v>12.23021582733813</v>
      </c>
      <c r="AF15" s="65">
        <f t="shared" si="13"/>
        <v>0</v>
      </c>
      <c r="AG15" s="67">
        <f t="shared" si="13"/>
        <v>56.834532374100718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21.99</v>
      </c>
      <c r="D16" s="55">
        <f t="shared" si="11"/>
        <v>2.4616314605232215</v>
      </c>
      <c r="E16" s="54">
        <f t="shared" si="12"/>
        <v>87.316832902351919</v>
      </c>
      <c r="G16" s="48">
        <f t="shared" si="3"/>
        <v>-3</v>
      </c>
      <c r="H16" s="61">
        <v>4.8197260273972606</v>
      </c>
      <c r="I16" s="60">
        <v>5.2213698630136989</v>
      </c>
      <c r="J16" s="59">
        <v>0</v>
      </c>
      <c r="K16" s="60">
        <v>0</v>
      </c>
      <c r="L16" s="60">
        <v>0</v>
      </c>
      <c r="M16" s="60">
        <v>11.948904109589041</v>
      </c>
      <c r="N16" s="60">
        <v>0</v>
      </c>
      <c r="O16" s="60">
        <v>0</v>
      </c>
      <c r="P16" s="50">
        <f t="shared" si="4"/>
        <v>21.990000000000002</v>
      </c>
      <c r="R16" s="48">
        <f t="shared" si="5"/>
        <v>-3</v>
      </c>
      <c r="S16" s="67">
        <f t="shared" si="6"/>
        <v>21.917808219178085</v>
      </c>
      <c r="T16" s="66">
        <f t="shared" si="6"/>
        <v>23.744292237442924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54.337899543378988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3"/>
        <v>48.000000000000007</v>
      </c>
      <c r="AE16" s="66">
        <f t="shared" si="13"/>
        <v>52</v>
      </c>
      <c r="AF16" s="65">
        <f t="shared" si="13"/>
        <v>0</v>
      </c>
      <c r="AG16" s="67">
        <f t="shared" si="13"/>
        <v>0</v>
      </c>
      <c r="AH16" s="66">
        <f t="shared" si="13"/>
        <v>0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21.05</v>
      </c>
      <c r="D17" s="55">
        <f t="shared" si="11"/>
        <v>2.3564048314694781</v>
      </c>
      <c r="E17" s="54">
        <f t="shared" si="12"/>
        <v>89.673237733821395</v>
      </c>
      <c r="G17" s="48">
        <f t="shared" si="3"/>
        <v>-2.5</v>
      </c>
      <c r="H17" s="61">
        <v>2.3943127962085313</v>
      </c>
      <c r="I17" s="60">
        <v>1.9952606635071093</v>
      </c>
      <c r="J17" s="59">
        <v>0</v>
      </c>
      <c r="K17" s="60">
        <v>0.29928909952606642</v>
      </c>
      <c r="L17" s="60">
        <v>0</v>
      </c>
      <c r="M17" s="60">
        <v>16.361137440758295</v>
      </c>
      <c r="N17" s="60">
        <v>0</v>
      </c>
      <c r="O17" s="60">
        <v>0</v>
      </c>
      <c r="P17" s="50">
        <f t="shared" si="4"/>
        <v>21.05</v>
      </c>
      <c r="R17" s="48">
        <f t="shared" si="5"/>
        <v>-2.5</v>
      </c>
      <c r="S17" s="67">
        <f t="shared" si="6"/>
        <v>11.374407582938391</v>
      </c>
      <c r="T17" s="66">
        <f t="shared" si="6"/>
        <v>9.4786729857819907</v>
      </c>
      <c r="U17" s="65">
        <f t="shared" si="6"/>
        <v>0</v>
      </c>
      <c r="V17" s="66">
        <f t="shared" si="6"/>
        <v>1.4218009478672988</v>
      </c>
      <c r="W17" s="66">
        <f t="shared" si="6"/>
        <v>0</v>
      </c>
      <c r="X17" s="66">
        <f t="shared" si="6"/>
        <v>77.725118483412331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3"/>
        <v>51.063829787234049</v>
      </c>
      <c r="AE17" s="66">
        <f t="shared" si="13"/>
        <v>42.553191489361701</v>
      </c>
      <c r="AF17" s="65">
        <f t="shared" si="13"/>
        <v>0</v>
      </c>
      <c r="AG17" s="67">
        <f t="shared" si="13"/>
        <v>6.3829787234042561</v>
      </c>
      <c r="AH17" s="66">
        <f t="shared" si="13"/>
        <v>0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0">
        <v>13.8</v>
      </c>
      <c r="D18" s="55">
        <f t="shared" si="11"/>
        <v>1.5448164690868789</v>
      </c>
      <c r="E18" s="54">
        <f t="shared" si="12"/>
        <v>91.218054202908277</v>
      </c>
      <c r="G18" s="48">
        <f t="shared" si="3"/>
        <v>-2</v>
      </c>
      <c r="H18" s="61">
        <v>1.3</v>
      </c>
      <c r="I18" s="60">
        <v>2.1</v>
      </c>
      <c r="J18" s="59">
        <v>0</v>
      </c>
      <c r="K18" s="60">
        <v>0.5</v>
      </c>
      <c r="L18" s="60">
        <v>0.1</v>
      </c>
      <c r="M18" s="60">
        <v>9.8000000000000007</v>
      </c>
      <c r="N18" s="60">
        <v>0</v>
      </c>
      <c r="O18" s="60">
        <v>0</v>
      </c>
      <c r="P18" s="50">
        <f t="shared" si="4"/>
        <v>13.8</v>
      </c>
      <c r="R18" s="48">
        <f t="shared" si="5"/>
        <v>-2</v>
      </c>
      <c r="S18" s="67">
        <f t="shared" si="6"/>
        <v>9.420289855072463</v>
      </c>
      <c r="T18" s="66">
        <f t="shared" si="6"/>
        <v>15.217391304347826</v>
      </c>
      <c r="U18" s="65">
        <f t="shared" si="6"/>
        <v>0</v>
      </c>
      <c r="V18" s="66">
        <f t="shared" si="6"/>
        <v>3.6231884057971011</v>
      </c>
      <c r="W18" s="66">
        <f t="shared" si="6"/>
        <v>0.72463768115942029</v>
      </c>
      <c r="X18" s="66">
        <f t="shared" si="6"/>
        <v>71.014492753623188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3"/>
        <v>32.499999999999993</v>
      </c>
      <c r="AE18" s="66">
        <f t="shared" si="13"/>
        <v>52.499999999999993</v>
      </c>
      <c r="AF18" s="65">
        <f t="shared" si="13"/>
        <v>0</v>
      </c>
      <c r="AG18" s="67">
        <f t="shared" si="13"/>
        <v>12.499999999999998</v>
      </c>
      <c r="AH18" s="66">
        <f t="shared" si="13"/>
        <v>2.5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99.999999999999986</v>
      </c>
    </row>
    <row r="19" spans="1:38" x14ac:dyDescent="0.35">
      <c r="A19" s="58" t="s">
        <v>58</v>
      </c>
      <c r="B19" s="57">
        <v>-1.5</v>
      </c>
      <c r="C19" s="130">
        <v>12.04</v>
      </c>
      <c r="D19" s="55">
        <f t="shared" si="11"/>
        <v>1.3477963976671028</v>
      </c>
      <c r="E19" s="54">
        <f t="shared" si="12"/>
        <v>92.565850600575374</v>
      </c>
      <c r="G19" s="48">
        <f t="shared" si="3"/>
        <v>-1.5</v>
      </c>
      <c r="H19" s="61">
        <v>0.93310000000000004</v>
      </c>
      <c r="I19" s="60">
        <v>4.3644999999999996</v>
      </c>
      <c r="J19" s="59">
        <v>8.0266666666666667E-2</v>
      </c>
      <c r="K19" s="60">
        <v>0.17056666666666667</v>
      </c>
      <c r="L19" s="60">
        <v>8.0266666666666667E-2</v>
      </c>
      <c r="M19" s="60">
        <v>6.4112999999999998</v>
      </c>
      <c r="N19" s="60">
        <v>0</v>
      </c>
      <c r="O19" s="60">
        <v>0</v>
      </c>
      <c r="P19" s="50">
        <f t="shared" si="4"/>
        <v>12.04</v>
      </c>
      <c r="R19" s="48">
        <f t="shared" si="5"/>
        <v>-1.5</v>
      </c>
      <c r="S19" s="67">
        <f t="shared" si="6"/>
        <v>7.7500000000000009</v>
      </c>
      <c r="T19" s="66">
        <f t="shared" si="6"/>
        <v>36.25</v>
      </c>
      <c r="U19" s="65">
        <f t="shared" si="6"/>
        <v>0.66666666666666674</v>
      </c>
      <c r="V19" s="66">
        <f t="shared" si="6"/>
        <v>1.416666666666667</v>
      </c>
      <c r="W19" s="66">
        <f t="shared" si="6"/>
        <v>0.66666666666666674</v>
      </c>
      <c r="X19" s="66">
        <f t="shared" si="6"/>
        <v>53.25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3"/>
        <v>16.577540106951876</v>
      </c>
      <c r="AE19" s="66">
        <f t="shared" si="13"/>
        <v>77.540106951871664</v>
      </c>
      <c r="AF19" s="65">
        <f t="shared" si="13"/>
        <v>1.4260249554367204</v>
      </c>
      <c r="AG19" s="67">
        <f t="shared" si="13"/>
        <v>3.0303030303030312</v>
      </c>
      <c r="AH19" s="66">
        <f t="shared" si="13"/>
        <v>1.4260249554367204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9.32</v>
      </c>
      <c r="D20" s="55">
        <f t="shared" si="11"/>
        <v>1.0433108327456311</v>
      </c>
      <c r="E20" s="54">
        <f t="shared" si="12"/>
        <v>93.609161433321006</v>
      </c>
      <c r="G20" s="48">
        <f t="shared" si="3"/>
        <v>-1</v>
      </c>
      <c r="H20" s="61">
        <v>0.70772192513368981</v>
      </c>
      <c r="I20" s="60">
        <v>2.3225240641711231</v>
      </c>
      <c r="J20" s="59">
        <v>9.9679144385026747E-3</v>
      </c>
      <c r="K20" s="60">
        <v>0.22926203208556153</v>
      </c>
      <c r="L20" s="60">
        <v>0.1594866310160428</v>
      </c>
      <c r="M20" s="60">
        <v>5.8910374331550805</v>
      </c>
      <c r="N20" s="60">
        <v>0</v>
      </c>
      <c r="O20" s="60">
        <v>0</v>
      </c>
      <c r="P20" s="50">
        <f t="shared" si="4"/>
        <v>9.32</v>
      </c>
      <c r="R20" s="48">
        <f t="shared" si="5"/>
        <v>-1</v>
      </c>
      <c r="S20" s="67">
        <f t="shared" si="6"/>
        <v>7.593582887700534</v>
      </c>
      <c r="T20" s="66">
        <f t="shared" si="6"/>
        <v>24.919786096256683</v>
      </c>
      <c r="U20" s="65">
        <f t="shared" si="6"/>
        <v>0.10695187165775402</v>
      </c>
      <c r="V20" s="66">
        <f t="shared" si="6"/>
        <v>2.4598930481283423</v>
      </c>
      <c r="W20" s="66">
        <f t="shared" si="6"/>
        <v>1.7112299465240643</v>
      </c>
      <c r="X20" s="66">
        <f t="shared" si="6"/>
        <v>63.208556149732622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3"/>
        <v>20.63953488372093</v>
      </c>
      <c r="AE20" s="66">
        <f t="shared" si="13"/>
        <v>67.732558139534888</v>
      </c>
      <c r="AF20" s="65">
        <f t="shared" si="13"/>
        <v>0.29069767441860472</v>
      </c>
      <c r="AG20" s="67">
        <f t="shared" si="13"/>
        <v>6.6860465116279073</v>
      </c>
      <c r="AH20" s="66">
        <f t="shared" si="13"/>
        <v>4.6511627906976756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0">
        <v>7.97</v>
      </c>
      <c r="D21" s="55">
        <f t="shared" si="11"/>
        <v>0.89218748250887125</v>
      </c>
      <c r="E21" s="54">
        <f t="shared" si="12"/>
        <v>94.50134891582988</v>
      </c>
      <c r="G21" s="70">
        <f t="shared" si="3"/>
        <v>-0.5</v>
      </c>
      <c r="H21" s="61">
        <v>0.52997442455242971</v>
      </c>
      <c r="I21" s="60">
        <v>1.9160613810741687</v>
      </c>
      <c r="J21" s="59">
        <v>0</v>
      </c>
      <c r="K21" s="60">
        <v>0.28537084398976986</v>
      </c>
      <c r="L21" s="60">
        <v>2.0383631713554985E-2</v>
      </c>
      <c r="M21" s="60">
        <v>5.2182097186700762</v>
      </c>
      <c r="N21" s="60">
        <v>0</v>
      </c>
      <c r="O21" s="60">
        <v>0</v>
      </c>
      <c r="P21" s="69">
        <f t="shared" si="4"/>
        <v>7.97</v>
      </c>
      <c r="Q21" s="68"/>
      <c r="R21" s="48">
        <f t="shared" si="5"/>
        <v>-0.5</v>
      </c>
      <c r="S21" s="67">
        <f t="shared" si="6"/>
        <v>6.6496163682864458</v>
      </c>
      <c r="T21" s="66">
        <f t="shared" si="6"/>
        <v>24.040920716112534</v>
      </c>
      <c r="U21" s="65">
        <f t="shared" si="6"/>
        <v>0</v>
      </c>
      <c r="V21" s="66">
        <f t="shared" si="6"/>
        <v>3.5805626598465481</v>
      </c>
      <c r="W21" s="66">
        <f t="shared" si="6"/>
        <v>0.25575447570332482</v>
      </c>
      <c r="X21" s="66">
        <f t="shared" si="6"/>
        <v>65.473145780051155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3"/>
        <v>19.25925925925926</v>
      </c>
      <c r="AE21" s="66">
        <f t="shared" si="13"/>
        <v>69.629629629629619</v>
      </c>
      <c r="AF21" s="65">
        <f t="shared" si="13"/>
        <v>0</v>
      </c>
      <c r="AG21" s="67">
        <f t="shared" si="13"/>
        <v>10.370370370370372</v>
      </c>
      <c r="AH21" s="66">
        <f t="shared" si="13"/>
        <v>0.7407407407407407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30">
        <v>6.62</v>
      </c>
      <c r="D22" s="55">
        <f t="shared" si="11"/>
        <v>0.74106413227211132</v>
      </c>
      <c r="E22" s="54">
        <f t="shared" si="12"/>
        <v>95.242413048101994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3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5.35</v>
      </c>
      <c r="D23" s="55">
        <f t="shared" si="11"/>
        <v>0.59889623982715945</v>
      </c>
      <c r="E23" s="54">
        <f t="shared" si="12"/>
        <v>95.84130928792915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3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4.97</v>
      </c>
      <c r="D24" s="55">
        <f t="shared" si="11"/>
        <v>0.55635781531607142</v>
      </c>
      <c r="E24" s="54">
        <f t="shared" si="12"/>
        <v>96.397667103245226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3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3.61</v>
      </c>
      <c r="D25" s="55">
        <f t="shared" si="11"/>
        <v>0.40411503285533568</v>
      </c>
      <c r="E25" s="54">
        <f t="shared" si="12"/>
        <v>96.801782136100556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3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3.08</v>
      </c>
      <c r="D26" s="55">
        <f t="shared" si="11"/>
        <v>0.34478512498460773</v>
      </c>
      <c r="E26" s="54">
        <f t="shared" si="12"/>
        <v>97.146567261085167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3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2.7</v>
      </c>
      <c r="D27" s="55">
        <f t="shared" si="11"/>
        <v>0.30224670047351976</v>
      </c>
      <c r="E27" s="54">
        <f t="shared" si="12"/>
        <v>97.448813961558685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3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2.9</v>
      </c>
      <c r="D28" s="55">
        <f t="shared" si="11"/>
        <v>0.3246353449530397</v>
      </c>
      <c r="E28" s="54">
        <f t="shared" si="12"/>
        <v>97.773449306511722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3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3.2</v>
      </c>
      <c r="D29" s="55">
        <f t="shared" si="11"/>
        <v>0.35821831167231971</v>
      </c>
      <c r="E29" s="54">
        <f t="shared" si="12"/>
        <v>98.131667618184039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3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6.61</v>
      </c>
      <c r="D30" s="55">
        <f t="shared" si="11"/>
        <v>0.7399447000481354</v>
      </c>
      <c r="E30" s="54">
        <f t="shared" si="12"/>
        <v>98.871612318232181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3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10.08</v>
      </c>
      <c r="D31" s="55">
        <f t="shared" si="11"/>
        <v>1.1283876817678069</v>
      </c>
      <c r="E31" s="54">
        <f t="shared" si="12"/>
        <v>99.999999999999986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3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2"/>
        <v>99.999999999999986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3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2"/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3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17.873322854451331</v>
      </c>
      <c r="I34">
        <f t="shared" ref="I34:O34" si="16">SUM(I7:I33)</f>
        <v>19.617449305099431</v>
      </c>
      <c r="J34">
        <f t="shared" si="16"/>
        <v>9.023458110516934E-2</v>
      </c>
      <c r="K34">
        <f t="shared" si="16"/>
        <v>9.3739553089347307</v>
      </c>
      <c r="L34">
        <f t="shared" si="16"/>
        <v>0.36013692939626446</v>
      </c>
      <c r="M34">
        <f t="shared" si="16"/>
        <v>796.8749010210131</v>
      </c>
      <c r="N34">
        <f t="shared" si="16"/>
        <v>0</v>
      </c>
      <c r="O34">
        <f t="shared" si="1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-6.4064949338469264</v>
      </c>
      <c r="D69" s="2"/>
    </row>
    <row r="70" spans="1:5" x14ac:dyDescent="0.35">
      <c r="A70" s="24" t="s">
        <v>41</v>
      </c>
      <c r="B70" s="23">
        <v>16</v>
      </c>
      <c r="C70" s="18">
        <f t="shared" si="17"/>
        <v>-6.200783788310166</v>
      </c>
      <c r="D70" s="2"/>
    </row>
    <row r="71" spans="1:5" x14ac:dyDescent="0.35">
      <c r="A71" s="24" t="s">
        <v>41</v>
      </c>
      <c r="B71" s="23">
        <v>25</v>
      </c>
      <c r="C71" s="18">
        <f t="shared" si="17"/>
        <v>-6.0324746692346336</v>
      </c>
      <c r="D71" s="2"/>
    </row>
    <row r="72" spans="1:5" x14ac:dyDescent="0.35">
      <c r="A72" s="24" t="s">
        <v>41</v>
      </c>
      <c r="B72" s="23">
        <v>50</v>
      </c>
      <c r="C72" s="18">
        <f t="shared" si="17"/>
        <v>-5.6725982291962058</v>
      </c>
      <c r="D72" s="2"/>
    </row>
    <row r="73" spans="1:5" x14ac:dyDescent="0.35">
      <c r="A73" s="24" t="s">
        <v>41</v>
      </c>
      <c r="B73" s="23">
        <v>75</v>
      </c>
      <c r="C73" s="18">
        <f t="shared" si="17"/>
        <v>-4.5865942028985485</v>
      </c>
      <c r="D73" s="2"/>
    </row>
    <row r="74" spans="1:5" x14ac:dyDescent="0.35">
      <c r="A74" s="24" t="s">
        <v>41</v>
      </c>
      <c r="B74" s="23">
        <v>84</v>
      </c>
      <c r="C74" s="18">
        <f t="shared" si="17"/>
        <v>-3.6274966622162874</v>
      </c>
      <c r="D74" s="2"/>
    </row>
    <row r="75" spans="1:5" x14ac:dyDescent="0.35">
      <c r="A75" s="24" t="s">
        <v>41</v>
      </c>
      <c r="B75" s="23">
        <v>95</v>
      </c>
      <c r="C75" s="18">
        <f t="shared" si="17"/>
        <v>-0.16355740181268252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s="132">
        <f>SUM(C7:C10)/SUM(C7:C33)</f>
        <v>0.26736519237442763</v>
      </c>
      <c r="D77" s="19" t="s">
        <v>7</v>
      </c>
      <c r="E77" s="18">
        <f>SUM($D$7:$D$20)</f>
        <v>93.609161433321006</v>
      </c>
    </row>
    <row r="78" spans="1:5" x14ac:dyDescent="0.35">
      <c r="A78" s="20" t="s">
        <v>39</v>
      </c>
      <c r="B78" s="132">
        <f>SUM(C11:C20)/SUM(C7:C33)</f>
        <v>0.66872642195878229</v>
      </c>
      <c r="D78" s="19" t="s">
        <v>6</v>
      </c>
      <c r="E78" s="18">
        <f>SUM($D$21:$D$30)</f>
        <v>5.2624508849111713</v>
      </c>
    </row>
    <row r="79" spans="1:5" x14ac:dyDescent="0.35">
      <c r="A79" s="20" t="s">
        <v>38</v>
      </c>
      <c r="B79" s="132">
        <f>SUM(C21:C33)/SUM(C7:C33)</f>
        <v>6.3908385666789774E-2</v>
      </c>
      <c r="D79" s="19" t="s">
        <v>5</v>
      </c>
      <c r="E79" s="18">
        <f>SUM($D$31:$D$33)</f>
        <v>1.1283876817678069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4.4517237518397446</v>
      </c>
      <c r="D81" s="16" t="s">
        <v>4</v>
      </c>
      <c r="E81">
        <f>100*SUM(H7:J33)/SUM(P7:P33)</f>
        <v>4.4517237518397446</v>
      </c>
      <c r="G81" s="17" t="s">
        <v>2</v>
      </c>
      <c r="H81">
        <f>100*SUM(H7:H33)/(SUM(P7:P33)-SUM(M7:N33))</f>
        <v>37.775093448264855</v>
      </c>
    </row>
    <row r="82" spans="1:8" x14ac:dyDescent="0.35">
      <c r="A82" s="16" t="s">
        <v>0</v>
      </c>
      <c r="B82">
        <f>100*SUM(K7:L33)/SUM(P7:P33)</f>
        <v>1.1530688871380843</v>
      </c>
      <c r="D82" s="16" t="s">
        <v>0</v>
      </c>
      <c r="E82">
        <f>100*SUM(K7:L33)/SUM(P7:P33)</f>
        <v>1.1530688871380843</v>
      </c>
      <c r="G82" s="17" t="s">
        <v>1</v>
      </c>
      <c r="H82">
        <f>100*SUM(I7:J33)/(SUM(P7:P33)-SUM(M7:N33))</f>
        <v>41.651997589515673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94.395207361022159</v>
      </c>
      <c r="G83" s="17" t="s">
        <v>0</v>
      </c>
      <c r="H83">
        <f>100*SUM(K7:L33)/(SUM(P7:P33)-SUM(M7:N33))</f>
        <v>20.572908962219415</v>
      </c>
    </row>
    <row r="85" spans="1:8" x14ac:dyDescent="0.35">
      <c r="A85" s="16" t="s">
        <v>36</v>
      </c>
      <c r="B85" s="2"/>
      <c r="C85" s="2"/>
      <c r="D85" s="13">
        <f>(C70+C74+C72)/3</f>
        <v>-5.1669595599075526</v>
      </c>
    </row>
    <row r="86" spans="1:8" x14ac:dyDescent="0.35">
      <c r="A86" s="14" t="s">
        <v>35</v>
      </c>
      <c r="B86" s="14"/>
      <c r="C86" s="14"/>
      <c r="D86" s="7">
        <f>C72</f>
        <v>-5.6725982291962058</v>
      </c>
    </row>
    <row r="87" spans="1:8" x14ac:dyDescent="0.35">
      <c r="A87" s="14" t="s">
        <v>34</v>
      </c>
      <c r="B87" s="14"/>
      <c r="C87" s="14"/>
      <c r="D87" s="7">
        <f>(C74-C70)/2</f>
        <v>1.2866435630469393</v>
      </c>
    </row>
    <row r="88" spans="1:8" x14ac:dyDescent="0.35">
      <c r="A88" s="15" t="s">
        <v>33</v>
      </c>
      <c r="B88" s="14"/>
      <c r="C88" s="14"/>
      <c r="D88" s="13">
        <f>(C74+C70-D86)/D87</f>
        <v>-3.2298628312328019</v>
      </c>
    </row>
    <row r="89" spans="1:8" x14ac:dyDescent="0.35">
      <c r="A89" s="3" t="s">
        <v>32</v>
      </c>
      <c r="B89" s="12"/>
      <c r="C89" s="11"/>
      <c r="D89" s="7">
        <f>((C74-C70)/4)+((C75-C69)/6.6)</f>
        <v>1.5892214075892643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0.67718654797860323</v>
      </c>
    </row>
    <row r="91" spans="1:8" x14ac:dyDescent="0.35">
      <c r="A91" s="3" t="s">
        <v>30</v>
      </c>
      <c r="B91" s="9"/>
      <c r="C91" s="8"/>
      <c r="D91" s="7">
        <f>(C74-C69)/(2.44*(C73-C71))</f>
        <v>0.78770945759265276</v>
      </c>
    </row>
    <row r="92" spans="1:8" x14ac:dyDescent="0.35">
      <c r="A92" s="6" t="s">
        <v>29</v>
      </c>
      <c r="B92" s="6"/>
      <c r="C92" s="5"/>
      <c r="D92" s="7">
        <f>(C70+C72+C74)/3</f>
        <v>-5.1669595599075535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-4.9141402252632265</v>
      </c>
    </row>
    <row r="95" spans="1:8" x14ac:dyDescent="0.35">
      <c r="A95" s="2" t="s">
        <v>9</v>
      </c>
      <c r="B95" s="2"/>
      <c r="C95" s="2"/>
      <c r="D95" s="1">
        <f>100-E23</f>
        <v>4.1586907120708503</v>
      </c>
    </row>
    <row r="96" spans="1:8" x14ac:dyDescent="0.35">
      <c r="A96" s="2" t="s">
        <v>8</v>
      </c>
      <c r="B96" s="2"/>
      <c r="C96" s="2"/>
      <c r="D96" s="1">
        <f>100-E30</f>
        <v>1.1283876817678191</v>
      </c>
    </row>
    <row r="98" spans="1:3" x14ac:dyDescent="0.35">
      <c r="A98" t="s">
        <v>94</v>
      </c>
      <c r="C98" t="str">
        <f>IF(SUM(M7:N33)&gt;0,"Mixed","No Mixed")</f>
        <v>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MAY210717_7_aggr</v>
      </c>
      <c r="E2" s="142"/>
      <c r="G2" s="109" t="s">
        <v>90</v>
      </c>
      <c r="H2" s="108" t="str">
        <f ca="1">D2</f>
        <v>MAY210717_7_aggr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v>893.31000000000029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Q7">
        <f>100*(M7/B$4)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Q8">
        <f t="shared" ref="Q8:Q32" si="12">100*(M8/B$4)</f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3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Q9">
        <f t="shared" si="12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3"/>
        <v>0</v>
      </c>
      <c r="F10" s="132"/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238.84</v>
      </c>
      <c r="N10" s="60">
        <v>0</v>
      </c>
      <c r="O10" s="60">
        <v>0</v>
      </c>
      <c r="P10" s="50">
        <f t="shared" si="4"/>
        <v>238.84</v>
      </c>
      <c r="Q10">
        <f>100*(M10/B$4)</f>
        <v>26.736519237442764</v>
      </c>
      <c r="R10" s="48">
        <f t="shared" si="5"/>
        <v>-6</v>
      </c>
      <c r="S10" s="47">
        <f t="shared" si="6"/>
        <v>0</v>
      </c>
      <c r="T10" s="46">
        <f t="shared" si="6"/>
        <v>0</v>
      </c>
      <c r="U10" s="45">
        <f t="shared" si="6"/>
        <v>0</v>
      </c>
      <c r="V10" s="46">
        <f t="shared" si="6"/>
        <v>0</v>
      </c>
      <c r="W10" s="46">
        <f t="shared" si="6"/>
        <v>0</v>
      </c>
      <c r="X10" s="46">
        <f t="shared" si="6"/>
        <v>100</v>
      </c>
      <c r="Y10" s="46">
        <f t="shared" si="6"/>
        <v>0</v>
      </c>
      <c r="Z10" s="45">
        <f t="shared" si="6"/>
        <v>0</v>
      </c>
      <c r="AA10" s="49">
        <f t="shared" si="7"/>
        <v>100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11"/>
        <v>0</v>
      </c>
      <c r="E11" s="54">
        <f t="shared" si="13"/>
        <v>0</v>
      </c>
      <c r="F11" s="132"/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317.37</v>
      </c>
      <c r="N11" s="60">
        <v>0</v>
      </c>
      <c r="O11" s="60">
        <v>0</v>
      </c>
      <c r="P11" s="50">
        <f t="shared" si="4"/>
        <v>317.37</v>
      </c>
      <c r="Q11">
        <f t="shared" si="12"/>
        <v>35.527420492326286</v>
      </c>
      <c r="R11" s="48">
        <f t="shared" si="5"/>
        <v>-5.5</v>
      </c>
      <c r="S11" s="47">
        <f t="shared" si="6"/>
        <v>0</v>
      </c>
      <c r="T11" s="46">
        <f t="shared" si="6"/>
        <v>0</v>
      </c>
      <c r="U11" s="45">
        <f t="shared" si="6"/>
        <v>0</v>
      </c>
      <c r="V11" s="46">
        <f t="shared" si="6"/>
        <v>0</v>
      </c>
      <c r="W11" s="46">
        <f t="shared" si="6"/>
        <v>0</v>
      </c>
      <c r="X11" s="46">
        <f t="shared" si="6"/>
        <v>100</v>
      </c>
      <c r="Y11" s="46">
        <f t="shared" si="6"/>
        <v>0</v>
      </c>
      <c r="Z11" s="45">
        <f t="shared" si="6"/>
        <v>0</v>
      </c>
      <c r="AA11" s="49">
        <f t="shared" si="7"/>
        <v>100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11"/>
        <v>0</v>
      </c>
      <c r="E12" s="54">
        <f t="shared" si="13"/>
        <v>0</v>
      </c>
      <c r="F12" s="132"/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99.51</v>
      </c>
      <c r="N12" s="60">
        <v>0</v>
      </c>
      <c r="O12" s="60">
        <v>0</v>
      </c>
      <c r="P12" s="50">
        <f t="shared" si="4"/>
        <v>99.51</v>
      </c>
      <c r="Q12">
        <f t="shared" si="12"/>
        <v>11.139470060785166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11"/>
        <v>0</v>
      </c>
      <c r="E13" s="54">
        <f t="shared" si="13"/>
        <v>0</v>
      </c>
      <c r="F13" s="132"/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17.25</v>
      </c>
      <c r="N13" s="60">
        <v>0</v>
      </c>
      <c r="O13" s="60">
        <v>0</v>
      </c>
      <c r="P13" s="50">
        <f t="shared" si="4"/>
        <v>17.25</v>
      </c>
      <c r="Q13">
        <f t="shared" si="12"/>
        <v>1.9310205863585985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100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2.8942210144927571</v>
      </c>
      <c r="D14" s="55">
        <f t="shared" si="11"/>
        <v>3.0012112240621054</v>
      </c>
      <c r="E14" s="54">
        <f t="shared" si="13"/>
        <v>3.0012112240621054</v>
      </c>
      <c r="F14" s="132"/>
      <c r="G14" s="48">
        <f t="shared" si="3"/>
        <v>-4</v>
      </c>
      <c r="H14" s="61">
        <v>2.8942210144927536</v>
      </c>
      <c r="I14" s="60">
        <v>0</v>
      </c>
      <c r="J14" s="59">
        <v>0</v>
      </c>
      <c r="K14" s="60">
        <v>0</v>
      </c>
      <c r="L14" s="60">
        <v>0</v>
      </c>
      <c r="M14" s="60">
        <v>52.195778985507246</v>
      </c>
      <c r="N14" s="60">
        <v>0</v>
      </c>
      <c r="O14" s="60">
        <v>0</v>
      </c>
      <c r="P14" s="50">
        <f t="shared" si="4"/>
        <v>55.09</v>
      </c>
      <c r="Q14">
        <f t="shared" si="12"/>
        <v>5.8429636951906092</v>
      </c>
      <c r="R14" s="48">
        <f t="shared" si="5"/>
        <v>-4</v>
      </c>
      <c r="S14" s="47">
        <f t="shared" si="6"/>
        <v>5.2536231884057969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>100*M14/$P14</f>
        <v>94.746376811594203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100.00000000000001</v>
      </c>
      <c r="AE14" s="46">
        <f t="shared" si="9"/>
        <v>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1803.4482758620691</v>
      </c>
      <c r="AJ14" s="46">
        <f t="shared" si="9"/>
        <v>0</v>
      </c>
      <c r="AK14" s="45">
        <f t="shared" si="9"/>
        <v>0</v>
      </c>
      <c r="AL14" s="44">
        <f t="shared" si="10"/>
        <v>1903.4482758620691</v>
      </c>
    </row>
    <row r="15" spans="1:38" x14ac:dyDescent="0.35">
      <c r="A15" s="58" t="s">
        <v>62</v>
      </c>
      <c r="B15" s="57">
        <v>-3.5</v>
      </c>
      <c r="C15" s="130">
        <v>13.881466666666665</v>
      </c>
      <c r="D15" s="55">
        <f t="shared" si="11"/>
        <v>14.39462064501164</v>
      </c>
      <c r="E15" s="54">
        <f t="shared" si="13"/>
        <v>17.395831869073746</v>
      </c>
      <c r="F15" s="132"/>
      <c r="G15" s="48">
        <f t="shared" si="3"/>
        <v>-3.5</v>
      </c>
      <c r="H15" s="61">
        <v>4.2942666666666671</v>
      </c>
      <c r="I15" s="60">
        <v>1.6977333333333333</v>
      </c>
      <c r="J15" s="59">
        <v>0</v>
      </c>
      <c r="K15" s="60">
        <v>7.8894666666666673</v>
      </c>
      <c r="L15" s="60">
        <v>0</v>
      </c>
      <c r="M15" s="60">
        <v>16.078533333333336</v>
      </c>
      <c r="N15" s="60">
        <v>0</v>
      </c>
      <c r="O15" s="60">
        <v>0</v>
      </c>
      <c r="P15" s="50">
        <f t="shared" si="4"/>
        <v>29.960000000000004</v>
      </c>
      <c r="Q15">
        <f t="shared" si="12"/>
        <v>1.7998828327605569</v>
      </c>
      <c r="R15" s="48">
        <f t="shared" si="5"/>
        <v>-3.5</v>
      </c>
      <c r="S15" s="67">
        <f t="shared" si="6"/>
        <v>14.333333333333334</v>
      </c>
      <c r="T15" s="66">
        <f t="shared" si="6"/>
        <v>5.6666666666666661</v>
      </c>
      <c r="U15" s="65">
        <f t="shared" si="6"/>
        <v>0</v>
      </c>
      <c r="V15" s="66">
        <f t="shared" si="6"/>
        <v>26.333333333333332</v>
      </c>
      <c r="W15" s="66">
        <f t="shared" si="6"/>
        <v>0</v>
      </c>
      <c r="X15" s="66">
        <f t="shared" si="6"/>
        <v>53.666666666666671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4">S15*100/(SUM($S15:$W15)+SUM($Y15:$Z15))</f>
        <v>30.935251798561158</v>
      </c>
      <c r="AE15" s="66">
        <f t="shared" si="14"/>
        <v>12.23021582733813</v>
      </c>
      <c r="AF15" s="65">
        <f t="shared" si="14"/>
        <v>0</v>
      </c>
      <c r="AG15" s="67">
        <f t="shared" si="14"/>
        <v>56.834532374100718</v>
      </c>
      <c r="AH15" s="66">
        <f t="shared" si="14"/>
        <v>0</v>
      </c>
      <c r="AI15" s="66">
        <v>0</v>
      </c>
      <c r="AJ15" s="66">
        <f t="shared" ref="AJ15:AK33" si="15">Y15*100/(SUM($S15:$W15)+SUM($Y15:$Z15))</f>
        <v>0</v>
      </c>
      <c r="AK15" s="65">
        <f t="shared" si="15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10.041095890410958</v>
      </c>
      <c r="D16" s="55">
        <f t="shared" si="11"/>
        <v>10.412283490888413</v>
      </c>
      <c r="E16" s="54">
        <f t="shared" si="13"/>
        <v>27.808115359962159</v>
      </c>
      <c r="F16" s="132"/>
      <c r="G16" s="48">
        <f t="shared" si="3"/>
        <v>-3</v>
      </c>
      <c r="H16" s="61">
        <v>4.8197260273972606</v>
      </c>
      <c r="I16" s="60">
        <v>5.2213698630136989</v>
      </c>
      <c r="J16" s="59">
        <v>0</v>
      </c>
      <c r="K16" s="60">
        <v>0</v>
      </c>
      <c r="L16" s="60">
        <v>0</v>
      </c>
      <c r="M16" s="60">
        <v>11.948904109589041</v>
      </c>
      <c r="N16" s="60">
        <v>0</v>
      </c>
      <c r="O16" s="60">
        <v>0</v>
      </c>
      <c r="P16" s="50">
        <f t="shared" si="4"/>
        <v>21.990000000000002</v>
      </c>
      <c r="Q16">
        <f t="shared" si="12"/>
        <v>1.3375988301473214</v>
      </c>
      <c r="R16" s="48">
        <f t="shared" si="5"/>
        <v>-3</v>
      </c>
      <c r="S16" s="67">
        <f t="shared" si="6"/>
        <v>21.917808219178085</v>
      </c>
      <c r="T16" s="66">
        <f t="shared" si="6"/>
        <v>23.744292237442924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54.337899543378988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4"/>
        <v>48.000000000000007</v>
      </c>
      <c r="AE16" s="66">
        <f t="shared" si="14"/>
        <v>52</v>
      </c>
      <c r="AF16" s="65">
        <f t="shared" si="14"/>
        <v>0</v>
      </c>
      <c r="AG16" s="67">
        <f t="shared" si="14"/>
        <v>0</v>
      </c>
      <c r="AH16" s="66">
        <f t="shared" si="14"/>
        <v>0</v>
      </c>
      <c r="AI16" s="66">
        <v>0</v>
      </c>
      <c r="AJ16" s="66">
        <f t="shared" si="15"/>
        <v>0</v>
      </c>
      <c r="AK16" s="65">
        <f t="shared" si="15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4.6888625592417057</v>
      </c>
      <c r="D17" s="55">
        <f t="shared" si="11"/>
        <v>4.8621949983826962</v>
      </c>
      <c r="E17" s="54">
        <f t="shared" si="13"/>
        <v>32.670310358344857</v>
      </c>
      <c r="F17" s="132"/>
      <c r="G17" s="48">
        <f t="shared" si="3"/>
        <v>-2.5</v>
      </c>
      <c r="H17" s="61">
        <v>2.3943127962085313</v>
      </c>
      <c r="I17" s="60">
        <v>1.9952606635071093</v>
      </c>
      <c r="J17" s="59">
        <v>0</v>
      </c>
      <c r="K17" s="60">
        <v>0.29928909952606642</v>
      </c>
      <c r="L17" s="60">
        <v>0</v>
      </c>
      <c r="M17" s="60">
        <v>16.361137440758295</v>
      </c>
      <c r="N17" s="60">
        <v>0</v>
      </c>
      <c r="O17" s="60">
        <v>0</v>
      </c>
      <c r="P17" s="50">
        <f t="shared" si="4"/>
        <v>21.05</v>
      </c>
      <c r="Q17">
        <f t="shared" si="12"/>
        <v>1.8315184472085042</v>
      </c>
      <c r="R17" s="48">
        <f t="shared" si="5"/>
        <v>-2.5</v>
      </c>
      <c r="S17" s="67">
        <f t="shared" si="6"/>
        <v>11.374407582938391</v>
      </c>
      <c r="T17" s="66">
        <f t="shared" si="6"/>
        <v>9.4786729857819907</v>
      </c>
      <c r="U17" s="65">
        <f t="shared" si="6"/>
        <v>0</v>
      </c>
      <c r="V17" s="66">
        <f t="shared" si="6"/>
        <v>1.4218009478672988</v>
      </c>
      <c r="W17" s="66">
        <f t="shared" si="6"/>
        <v>0</v>
      </c>
      <c r="X17" s="66">
        <f t="shared" si="6"/>
        <v>77.725118483412331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4"/>
        <v>51.063829787234049</v>
      </c>
      <c r="AE17" s="66">
        <f t="shared" si="14"/>
        <v>42.553191489361701</v>
      </c>
      <c r="AF17" s="65">
        <f t="shared" si="14"/>
        <v>0</v>
      </c>
      <c r="AG17" s="67">
        <f t="shared" si="14"/>
        <v>6.3829787234042561</v>
      </c>
      <c r="AH17" s="66">
        <f t="shared" si="14"/>
        <v>0</v>
      </c>
      <c r="AI17" s="66">
        <v>0</v>
      </c>
      <c r="AJ17" s="66">
        <f t="shared" si="15"/>
        <v>0</v>
      </c>
      <c r="AK17" s="65">
        <f t="shared" si="15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0">
        <v>4</v>
      </c>
      <c r="D18" s="55">
        <f t="shared" si="11"/>
        <v>4.1478673660837888</v>
      </c>
      <c r="E18" s="54">
        <f t="shared" si="13"/>
        <v>36.818177724428644</v>
      </c>
      <c r="F18" s="132"/>
      <c r="G18" s="48">
        <f t="shared" si="3"/>
        <v>-2</v>
      </c>
      <c r="H18" s="61">
        <v>1.3</v>
      </c>
      <c r="I18" s="60">
        <v>2.1</v>
      </c>
      <c r="J18" s="59">
        <v>0</v>
      </c>
      <c r="K18" s="60">
        <v>0.5</v>
      </c>
      <c r="L18" s="60">
        <v>0.1</v>
      </c>
      <c r="M18" s="60">
        <v>9.8000000000000007</v>
      </c>
      <c r="N18" s="60">
        <v>0</v>
      </c>
      <c r="O18" s="60">
        <v>0</v>
      </c>
      <c r="P18" s="50">
        <f t="shared" si="4"/>
        <v>13.8</v>
      </c>
      <c r="Q18">
        <f t="shared" si="12"/>
        <v>1.097043579496479</v>
      </c>
      <c r="R18" s="48">
        <f t="shared" si="5"/>
        <v>-2</v>
      </c>
      <c r="S18" s="67">
        <f t="shared" si="6"/>
        <v>9.420289855072463</v>
      </c>
      <c r="T18" s="66">
        <f t="shared" si="6"/>
        <v>15.217391304347826</v>
      </c>
      <c r="U18" s="65">
        <f t="shared" si="6"/>
        <v>0</v>
      </c>
      <c r="V18" s="66">
        <f t="shared" si="6"/>
        <v>3.6231884057971011</v>
      </c>
      <c r="W18" s="66">
        <f t="shared" si="6"/>
        <v>0.72463768115942029</v>
      </c>
      <c r="X18" s="66">
        <f t="shared" si="6"/>
        <v>71.014492753623188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4"/>
        <v>32.499999999999993</v>
      </c>
      <c r="AE18" s="66">
        <f t="shared" si="14"/>
        <v>52.499999999999993</v>
      </c>
      <c r="AF18" s="65">
        <f t="shared" si="14"/>
        <v>0</v>
      </c>
      <c r="AG18" s="67">
        <f t="shared" si="14"/>
        <v>12.499999999999998</v>
      </c>
      <c r="AH18" s="66">
        <f t="shared" si="14"/>
        <v>2.5</v>
      </c>
      <c r="AI18" s="66">
        <v>0</v>
      </c>
      <c r="AJ18" s="66">
        <f t="shared" si="15"/>
        <v>0</v>
      </c>
      <c r="AK18" s="65">
        <f t="shared" si="15"/>
        <v>0</v>
      </c>
      <c r="AL18" s="64">
        <f t="shared" si="10"/>
        <v>99.999999999999986</v>
      </c>
    </row>
    <row r="19" spans="1:38" x14ac:dyDescent="0.35">
      <c r="A19" s="58" t="s">
        <v>58</v>
      </c>
      <c r="B19" s="57">
        <v>-1.5</v>
      </c>
      <c r="C19" s="130">
        <v>5.6286999999999994</v>
      </c>
      <c r="D19" s="55">
        <f t="shared" si="11"/>
        <v>5.8367752608689543</v>
      </c>
      <c r="E19" s="54">
        <f t="shared" si="13"/>
        <v>42.654952985297598</v>
      </c>
      <c r="F19" s="132"/>
      <c r="G19" s="48">
        <f t="shared" si="3"/>
        <v>-1.5</v>
      </c>
      <c r="H19" s="61">
        <v>0.93310000000000004</v>
      </c>
      <c r="I19" s="60">
        <v>4.3644999999999996</v>
      </c>
      <c r="J19" s="59">
        <v>8.0266666666666667E-2</v>
      </c>
      <c r="K19" s="60">
        <v>0.17056666666666667</v>
      </c>
      <c r="L19" s="60">
        <v>8.0266666666666667E-2</v>
      </c>
      <c r="M19" s="60">
        <v>6.4112999999999998</v>
      </c>
      <c r="N19" s="60">
        <v>0</v>
      </c>
      <c r="O19" s="60">
        <v>0</v>
      </c>
      <c r="P19" s="50">
        <f t="shared" si="4"/>
        <v>12.04</v>
      </c>
      <c r="Q19">
        <f t="shared" si="12"/>
        <v>0.71770158175773224</v>
      </c>
      <c r="R19" s="48">
        <f t="shared" si="5"/>
        <v>-1.5</v>
      </c>
      <c r="S19" s="67">
        <f t="shared" si="6"/>
        <v>7.7500000000000009</v>
      </c>
      <c r="T19" s="66">
        <f t="shared" si="6"/>
        <v>36.25</v>
      </c>
      <c r="U19" s="65">
        <f t="shared" si="6"/>
        <v>0.66666666666666674</v>
      </c>
      <c r="V19" s="66">
        <f t="shared" si="6"/>
        <v>1.416666666666667</v>
      </c>
      <c r="W19" s="66">
        <f t="shared" si="6"/>
        <v>0.66666666666666674</v>
      </c>
      <c r="X19" s="66">
        <f t="shared" si="6"/>
        <v>53.25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4"/>
        <v>16.577540106951876</v>
      </c>
      <c r="AE19" s="66">
        <f t="shared" si="14"/>
        <v>77.540106951871664</v>
      </c>
      <c r="AF19" s="65">
        <f t="shared" si="14"/>
        <v>1.4260249554367204</v>
      </c>
      <c r="AG19" s="67">
        <f t="shared" si="14"/>
        <v>3.0303030303030312</v>
      </c>
      <c r="AH19" s="66">
        <f t="shared" si="14"/>
        <v>1.4260249554367204</v>
      </c>
      <c r="AI19" s="66">
        <v>0</v>
      </c>
      <c r="AJ19" s="66">
        <f t="shared" si="15"/>
        <v>0</v>
      </c>
      <c r="AK19" s="65">
        <f t="shared" si="15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3.4289625668449197</v>
      </c>
      <c r="D20" s="55">
        <f t="shared" si="11"/>
        <v>3.5557204826347362</v>
      </c>
      <c r="E20" s="54">
        <f t="shared" si="13"/>
        <v>46.210673467932331</v>
      </c>
      <c r="F20" s="132"/>
      <c r="G20" s="48">
        <f t="shared" si="3"/>
        <v>-1</v>
      </c>
      <c r="H20" s="61">
        <v>0.70772192513368981</v>
      </c>
      <c r="I20" s="60">
        <v>2.3225240641711231</v>
      </c>
      <c r="J20" s="59">
        <v>9.9679144385026747E-3</v>
      </c>
      <c r="K20" s="60">
        <v>0.22926203208556153</v>
      </c>
      <c r="L20" s="60">
        <v>0.1594866310160428</v>
      </c>
      <c r="M20" s="60">
        <v>5.8910374331550805</v>
      </c>
      <c r="N20" s="60">
        <v>0</v>
      </c>
      <c r="O20" s="60">
        <v>0</v>
      </c>
      <c r="P20" s="50">
        <f t="shared" si="4"/>
        <v>9.32</v>
      </c>
      <c r="Q20">
        <f t="shared" si="12"/>
        <v>0.65946171353226524</v>
      </c>
      <c r="R20" s="48">
        <f t="shared" si="5"/>
        <v>-1</v>
      </c>
      <c r="S20" s="67">
        <f t="shared" si="6"/>
        <v>7.593582887700534</v>
      </c>
      <c r="T20" s="66">
        <f t="shared" si="6"/>
        <v>24.919786096256683</v>
      </c>
      <c r="U20" s="65">
        <f t="shared" si="6"/>
        <v>0.10695187165775402</v>
      </c>
      <c r="V20" s="66">
        <f t="shared" si="6"/>
        <v>2.4598930481283423</v>
      </c>
      <c r="W20" s="66">
        <f t="shared" si="6"/>
        <v>1.7112299465240643</v>
      </c>
      <c r="X20" s="66">
        <f t="shared" si="6"/>
        <v>63.208556149732622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4"/>
        <v>20.63953488372093</v>
      </c>
      <c r="AE20" s="66">
        <f t="shared" si="14"/>
        <v>67.732558139534888</v>
      </c>
      <c r="AF20" s="65">
        <f t="shared" si="14"/>
        <v>0.29069767441860472</v>
      </c>
      <c r="AG20" s="67">
        <f t="shared" si="14"/>
        <v>6.6860465116279073</v>
      </c>
      <c r="AH20" s="66">
        <f t="shared" si="14"/>
        <v>4.6511627906976756</v>
      </c>
      <c r="AI20" s="66">
        <v>0</v>
      </c>
      <c r="AJ20" s="66">
        <f t="shared" si="15"/>
        <v>0</v>
      </c>
      <c r="AK20" s="65">
        <f t="shared" si="15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0">
        <v>2.7517902813299235</v>
      </c>
      <c r="D21" s="55">
        <f t="shared" si="11"/>
        <v>2.8535152765587291</v>
      </c>
      <c r="E21" s="54">
        <f t="shared" si="13"/>
        <v>49.064188744491062</v>
      </c>
      <c r="F21" s="132"/>
      <c r="G21" s="70">
        <f t="shared" si="3"/>
        <v>-0.5</v>
      </c>
      <c r="H21" s="61">
        <v>0.52997442455242971</v>
      </c>
      <c r="I21" s="60">
        <v>1.9160613810741687</v>
      </c>
      <c r="J21" s="59">
        <v>0</v>
      </c>
      <c r="K21" s="60">
        <v>0.28537084398976986</v>
      </c>
      <c r="L21" s="60">
        <v>2.0383631713554985E-2</v>
      </c>
      <c r="M21" s="60">
        <v>5.2182097186700762</v>
      </c>
      <c r="N21" s="60">
        <v>0</v>
      </c>
      <c r="O21" s="60">
        <v>0</v>
      </c>
      <c r="P21" s="69">
        <f t="shared" si="4"/>
        <v>7.97</v>
      </c>
      <c r="Q21">
        <f t="shared" si="12"/>
        <v>0.58414321105440159</v>
      </c>
      <c r="R21" s="48">
        <f t="shared" si="5"/>
        <v>-0.5</v>
      </c>
      <c r="S21" s="67">
        <f t="shared" si="6"/>
        <v>6.6496163682864458</v>
      </c>
      <c r="T21" s="66">
        <f t="shared" si="6"/>
        <v>24.040920716112534</v>
      </c>
      <c r="U21" s="65">
        <f t="shared" si="6"/>
        <v>0</v>
      </c>
      <c r="V21" s="66">
        <f t="shared" si="6"/>
        <v>3.5805626598465481</v>
      </c>
      <c r="W21" s="66">
        <f t="shared" si="6"/>
        <v>0.25575447570332482</v>
      </c>
      <c r="X21" s="66">
        <f t="shared" si="6"/>
        <v>65.473145780051155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4"/>
        <v>19.25925925925926</v>
      </c>
      <c r="AE21" s="66">
        <f t="shared" si="14"/>
        <v>69.629629629629619</v>
      </c>
      <c r="AF21" s="65">
        <f t="shared" si="14"/>
        <v>0</v>
      </c>
      <c r="AG21" s="67">
        <f t="shared" si="14"/>
        <v>10.370370370370372</v>
      </c>
      <c r="AH21" s="66">
        <f t="shared" si="14"/>
        <v>0.7407407407407407</v>
      </c>
      <c r="AI21" s="66">
        <v>0</v>
      </c>
      <c r="AJ21" s="66">
        <f t="shared" si="15"/>
        <v>0</v>
      </c>
      <c r="AK21" s="65">
        <f t="shared" si="15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30">
        <v>6.62</v>
      </c>
      <c r="D22" s="55">
        <f t="shared" si="11"/>
        <v>6.8647204908686703</v>
      </c>
      <c r="E22" s="54">
        <f t="shared" si="13"/>
        <v>55.928909235359733</v>
      </c>
      <c r="F22" s="132"/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Q22">
        <f t="shared" si="12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4"/>
        <v>#DIV/0!</v>
      </c>
      <c r="AE22" s="46" t="e">
        <f t="shared" si="14"/>
        <v>#DIV/0!</v>
      </c>
      <c r="AF22" s="45" t="e">
        <f t="shared" si="14"/>
        <v>#DIV/0!</v>
      </c>
      <c r="AG22" s="47" t="e">
        <f t="shared" si="14"/>
        <v>#DIV/0!</v>
      </c>
      <c r="AH22" s="46" t="e">
        <f t="shared" si="14"/>
        <v>#DIV/0!</v>
      </c>
      <c r="AI22" s="46" t="e">
        <f t="shared" ref="AI22:AI33" si="16">X22*100/(SUM($S22:$W22)+SUM($Y22:$Z22))</f>
        <v>#DIV/0!</v>
      </c>
      <c r="AJ22" s="46" t="e">
        <f t="shared" si="15"/>
        <v>#DIV/0!</v>
      </c>
      <c r="AK22" s="45" t="e">
        <f t="shared" si="15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5.35</v>
      </c>
      <c r="D23" s="55">
        <f t="shared" si="11"/>
        <v>5.5477726021370666</v>
      </c>
      <c r="E23" s="54">
        <f t="shared" si="13"/>
        <v>61.476681837496798</v>
      </c>
      <c r="F23" s="132"/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Q23">
        <f t="shared" si="12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4"/>
        <v>#DIV/0!</v>
      </c>
      <c r="AE23" s="46" t="e">
        <f t="shared" si="14"/>
        <v>#DIV/0!</v>
      </c>
      <c r="AF23" s="45" t="e">
        <f t="shared" si="14"/>
        <v>#DIV/0!</v>
      </c>
      <c r="AG23" s="47" t="e">
        <f t="shared" si="14"/>
        <v>#DIV/0!</v>
      </c>
      <c r="AH23" s="46" t="e">
        <f t="shared" si="14"/>
        <v>#DIV/0!</v>
      </c>
      <c r="AI23" s="46" t="e">
        <f t="shared" si="16"/>
        <v>#DIV/0!</v>
      </c>
      <c r="AJ23" s="46" t="e">
        <f t="shared" si="15"/>
        <v>#DIV/0!</v>
      </c>
      <c r="AK23" s="45" t="e">
        <f t="shared" si="15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4.97</v>
      </c>
      <c r="D24" s="55">
        <f t="shared" si="11"/>
        <v>5.1537252023591069</v>
      </c>
      <c r="E24" s="54">
        <f t="shared" si="13"/>
        <v>66.630407039855911</v>
      </c>
      <c r="F24" s="132"/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Q24">
        <f t="shared" si="12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4"/>
        <v>#DIV/0!</v>
      </c>
      <c r="AE24" s="46" t="e">
        <f t="shared" si="14"/>
        <v>#DIV/0!</v>
      </c>
      <c r="AF24" s="45" t="e">
        <f t="shared" si="14"/>
        <v>#DIV/0!</v>
      </c>
      <c r="AG24" s="47" t="e">
        <f t="shared" si="14"/>
        <v>#DIV/0!</v>
      </c>
      <c r="AH24" s="46" t="e">
        <f t="shared" si="14"/>
        <v>#DIV/0!</v>
      </c>
      <c r="AI24" s="46" t="e">
        <f t="shared" si="16"/>
        <v>#DIV/0!</v>
      </c>
      <c r="AJ24" s="46" t="e">
        <f t="shared" si="15"/>
        <v>#DIV/0!</v>
      </c>
      <c r="AK24" s="45" t="e">
        <f t="shared" si="15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3.61</v>
      </c>
      <c r="D25" s="55">
        <f t="shared" si="11"/>
        <v>3.7434502978906186</v>
      </c>
      <c r="E25" s="54">
        <f t="shared" si="13"/>
        <v>70.373857337746529</v>
      </c>
      <c r="F25" s="132"/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Q25">
        <f t="shared" si="12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4"/>
        <v>#DIV/0!</v>
      </c>
      <c r="AE25" s="46" t="e">
        <f t="shared" si="14"/>
        <v>#DIV/0!</v>
      </c>
      <c r="AF25" s="45" t="e">
        <f t="shared" si="14"/>
        <v>#DIV/0!</v>
      </c>
      <c r="AG25" s="47" t="e">
        <f t="shared" si="14"/>
        <v>#DIV/0!</v>
      </c>
      <c r="AH25" s="46" t="e">
        <f t="shared" si="14"/>
        <v>#DIV/0!</v>
      </c>
      <c r="AI25" s="46" t="e">
        <f t="shared" si="16"/>
        <v>#DIV/0!</v>
      </c>
      <c r="AJ25" s="46" t="e">
        <f t="shared" si="15"/>
        <v>#DIV/0!</v>
      </c>
      <c r="AK25" s="45" t="e">
        <f t="shared" si="15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3.08</v>
      </c>
      <c r="D26" s="55">
        <f t="shared" si="11"/>
        <v>3.1938578718845174</v>
      </c>
      <c r="E26" s="54">
        <f t="shared" si="13"/>
        <v>73.567715209631046</v>
      </c>
      <c r="F26" s="132"/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Q26">
        <f t="shared" si="12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4"/>
        <v>#DIV/0!</v>
      </c>
      <c r="AE26" s="46" t="e">
        <f t="shared" si="14"/>
        <v>#DIV/0!</v>
      </c>
      <c r="AF26" s="45" t="e">
        <f t="shared" si="14"/>
        <v>#DIV/0!</v>
      </c>
      <c r="AG26" s="47" t="e">
        <f t="shared" si="14"/>
        <v>#DIV/0!</v>
      </c>
      <c r="AH26" s="46" t="e">
        <f t="shared" si="14"/>
        <v>#DIV/0!</v>
      </c>
      <c r="AI26" s="46" t="e">
        <f t="shared" si="16"/>
        <v>#DIV/0!</v>
      </c>
      <c r="AJ26" s="46" t="e">
        <f t="shared" si="15"/>
        <v>#DIV/0!</v>
      </c>
      <c r="AK26" s="45" t="e">
        <f t="shared" si="15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2.7</v>
      </c>
      <c r="D27" s="55">
        <f t="shared" si="11"/>
        <v>2.7998104721065573</v>
      </c>
      <c r="E27" s="54">
        <f t="shared" si="13"/>
        <v>76.367525681737604</v>
      </c>
      <c r="F27" s="132"/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Q27">
        <f t="shared" si="12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4"/>
        <v>#DIV/0!</v>
      </c>
      <c r="AE27" s="46" t="e">
        <f t="shared" si="14"/>
        <v>#DIV/0!</v>
      </c>
      <c r="AF27" s="45" t="e">
        <f t="shared" si="14"/>
        <v>#DIV/0!</v>
      </c>
      <c r="AG27" s="47" t="e">
        <f t="shared" si="14"/>
        <v>#DIV/0!</v>
      </c>
      <c r="AH27" s="46" t="e">
        <f t="shared" si="14"/>
        <v>#DIV/0!</v>
      </c>
      <c r="AI27" s="46" t="e">
        <f t="shared" si="16"/>
        <v>#DIV/0!</v>
      </c>
      <c r="AJ27" s="46" t="e">
        <f t="shared" si="15"/>
        <v>#DIV/0!</v>
      </c>
      <c r="AK27" s="45" t="e">
        <f t="shared" si="15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2.9</v>
      </c>
      <c r="D28" s="55">
        <f t="shared" si="11"/>
        <v>3.0072038404107464</v>
      </c>
      <c r="E28" s="54">
        <f t="shared" si="13"/>
        <v>79.374729522148357</v>
      </c>
      <c r="F28" s="132"/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Q28">
        <f t="shared" si="12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4"/>
        <v>#DIV/0!</v>
      </c>
      <c r="AE28" s="46" t="e">
        <f t="shared" si="14"/>
        <v>#DIV/0!</v>
      </c>
      <c r="AF28" s="45" t="e">
        <f t="shared" si="14"/>
        <v>#DIV/0!</v>
      </c>
      <c r="AG28" s="47" t="e">
        <f t="shared" si="14"/>
        <v>#DIV/0!</v>
      </c>
      <c r="AH28" s="46" t="e">
        <f t="shared" si="14"/>
        <v>#DIV/0!</v>
      </c>
      <c r="AI28" s="46" t="e">
        <f t="shared" si="16"/>
        <v>#DIV/0!</v>
      </c>
      <c r="AJ28" s="46" t="e">
        <f t="shared" si="15"/>
        <v>#DIV/0!</v>
      </c>
      <c r="AK28" s="45" t="e">
        <f t="shared" si="15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3.2</v>
      </c>
      <c r="D29" s="55">
        <f t="shared" si="11"/>
        <v>3.3182938928670311</v>
      </c>
      <c r="E29" s="54">
        <f t="shared" si="13"/>
        <v>82.693023415015389</v>
      </c>
      <c r="F29" s="132"/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Q29">
        <f t="shared" si="12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4"/>
        <v>#DIV/0!</v>
      </c>
      <c r="AE29" s="46" t="e">
        <f t="shared" si="14"/>
        <v>#DIV/0!</v>
      </c>
      <c r="AF29" s="45" t="e">
        <f t="shared" si="14"/>
        <v>#DIV/0!</v>
      </c>
      <c r="AG29" s="47" t="e">
        <f t="shared" si="14"/>
        <v>#DIV/0!</v>
      </c>
      <c r="AH29" s="46" t="e">
        <f t="shared" si="14"/>
        <v>#DIV/0!</v>
      </c>
      <c r="AI29" s="46" t="e">
        <f t="shared" si="16"/>
        <v>#DIV/0!</v>
      </c>
      <c r="AJ29" s="46" t="e">
        <f t="shared" si="15"/>
        <v>#DIV/0!</v>
      </c>
      <c r="AK29" s="45" t="e">
        <f t="shared" si="15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6.61</v>
      </c>
      <c r="D30" s="55">
        <f t="shared" si="11"/>
        <v>6.8543508224534602</v>
      </c>
      <c r="E30" s="54">
        <f t="shared" si="13"/>
        <v>89.547374237468844</v>
      </c>
      <c r="F30" s="132"/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Q30">
        <f t="shared" si="12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4"/>
        <v>#DIV/0!</v>
      </c>
      <c r="AE30" s="46" t="e">
        <f t="shared" si="14"/>
        <v>#DIV/0!</v>
      </c>
      <c r="AF30" s="45" t="e">
        <f t="shared" si="14"/>
        <v>#DIV/0!</v>
      </c>
      <c r="AG30" s="47" t="e">
        <f t="shared" si="14"/>
        <v>#DIV/0!</v>
      </c>
      <c r="AH30" s="46" t="e">
        <f t="shared" si="14"/>
        <v>#DIV/0!</v>
      </c>
      <c r="AI30" s="46" t="e">
        <f t="shared" si="16"/>
        <v>#DIV/0!</v>
      </c>
      <c r="AJ30" s="46" t="e">
        <f t="shared" si="15"/>
        <v>#DIV/0!</v>
      </c>
      <c r="AK30" s="45" t="e">
        <f t="shared" si="15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10.08</v>
      </c>
      <c r="D31" s="55">
        <f t="shared" si="11"/>
        <v>10.452625762531147</v>
      </c>
      <c r="E31" s="54">
        <f t="shared" si="13"/>
        <v>99.999999999999986</v>
      </c>
      <c r="F31" s="132"/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Q31">
        <f t="shared" si="12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4"/>
        <v>#DIV/0!</v>
      </c>
      <c r="AE31" s="46" t="e">
        <f t="shared" si="14"/>
        <v>#DIV/0!</v>
      </c>
      <c r="AF31" s="45" t="e">
        <f t="shared" si="14"/>
        <v>#DIV/0!</v>
      </c>
      <c r="AG31" s="47" t="e">
        <f t="shared" si="14"/>
        <v>#DIV/0!</v>
      </c>
      <c r="AH31" s="46" t="e">
        <f t="shared" si="14"/>
        <v>#DIV/0!</v>
      </c>
      <c r="AI31" s="46" t="e">
        <f t="shared" si="16"/>
        <v>#DIV/0!</v>
      </c>
      <c r="AJ31" s="46" t="e">
        <f t="shared" si="15"/>
        <v>#DIV/0!</v>
      </c>
      <c r="AK31" s="45" t="e">
        <f t="shared" si="15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3"/>
        <v>99.999999999999986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Q32">
        <f t="shared" si="12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4"/>
        <v>#DIV/0!</v>
      </c>
      <c r="AE32" s="46" t="e">
        <f t="shared" si="14"/>
        <v>#DIV/0!</v>
      </c>
      <c r="AF32" s="45" t="e">
        <f t="shared" si="14"/>
        <v>#DIV/0!</v>
      </c>
      <c r="AG32" s="47" t="e">
        <f t="shared" si="14"/>
        <v>#DIV/0!</v>
      </c>
      <c r="AH32" s="46" t="e">
        <f t="shared" si="14"/>
        <v>#DIV/0!</v>
      </c>
      <c r="AI32" s="46" t="e">
        <f t="shared" si="16"/>
        <v>#DIV/0!</v>
      </c>
      <c r="AJ32" s="46" t="e">
        <f t="shared" si="15"/>
        <v>#DIV/0!</v>
      </c>
      <c r="AK32" s="45" t="e">
        <f t="shared" si="15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3"/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Q33">
        <f>100*(M33/B$4)</f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4"/>
        <v>#DIV/0!</v>
      </c>
      <c r="AE33" s="31" t="e">
        <f t="shared" si="14"/>
        <v>#DIV/0!</v>
      </c>
      <c r="AF33" s="30" t="e">
        <f t="shared" si="14"/>
        <v>#DIV/0!</v>
      </c>
      <c r="AG33" s="32" t="e">
        <f t="shared" si="14"/>
        <v>#DIV/0!</v>
      </c>
      <c r="AH33" s="31" t="e">
        <f t="shared" si="14"/>
        <v>#DIV/0!</v>
      </c>
      <c r="AI33" s="31" t="e">
        <f t="shared" si="16"/>
        <v>#DIV/0!</v>
      </c>
      <c r="AJ33" s="31" t="e">
        <f t="shared" si="15"/>
        <v>#DIV/0!</v>
      </c>
      <c r="AK33" s="30" t="e">
        <f t="shared" si="15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17.873322854451331</v>
      </c>
      <c r="I34">
        <f t="shared" ref="I34:O34" si="17">SUM(I7:I33)</f>
        <v>19.617449305099431</v>
      </c>
      <c r="J34">
        <f t="shared" si="17"/>
        <v>9.023458110516934E-2</v>
      </c>
      <c r="K34">
        <f t="shared" si="17"/>
        <v>9.3739553089347307</v>
      </c>
      <c r="L34">
        <f t="shared" si="17"/>
        <v>0.36013692939626446</v>
      </c>
      <c r="M34">
        <f t="shared" si="17"/>
        <v>796.8749010210131</v>
      </c>
      <c r="N34">
        <f t="shared" si="17"/>
        <v>0</v>
      </c>
      <c r="O34">
        <f t="shared" si="17"/>
        <v>0</v>
      </c>
      <c r="R34" s="28"/>
    </row>
    <row r="35" spans="1:38" x14ac:dyDescent="0.35">
      <c r="P35" s="132"/>
      <c r="Q35" s="132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7" spans="1:10" x14ac:dyDescent="0.35">
      <c r="A67" s="5" t="s">
        <v>27</v>
      </c>
      <c r="B67" s="26"/>
      <c r="C67" s="2"/>
      <c r="D67" s="2"/>
    </row>
    <row r="68" spans="1:10" x14ac:dyDescent="0.35">
      <c r="A68" s="25" t="s">
        <v>42</v>
      </c>
      <c r="B68" s="25"/>
      <c r="C68" s="2"/>
      <c r="D68" s="2"/>
    </row>
    <row r="69" spans="1:10" x14ac:dyDescent="0.35">
      <c r="A69" s="24" t="s">
        <v>41</v>
      </c>
      <c r="B69" s="23">
        <v>5</v>
      </c>
      <c r="C69" s="18">
        <f t="shared" ref="C69:C75" si="18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-3.9305716758631442</v>
      </c>
      <c r="D69" s="2"/>
    </row>
    <row r="70" spans="1:10" x14ac:dyDescent="0.35">
      <c r="A70" s="24" t="s">
        <v>41</v>
      </c>
      <c r="B70" s="23">
        <v>16</v>
      </c>
      <c r="C70" s="18">
        <f t="shared" si="18"/>
        <v>-3.5484844965177134</v>
      </c>
      <c r="D70" s="2"/>
    </row>
    <row r="71" spans="1:10" x14ac:dyDescent="0.35">
      <c r="A71" s="24" t="s">
        <v>41</v>
      </c>
      <c r="B71" s="23">
        <v>25</v>
      </c>
      <c r="C71" s="18">
        <f t="shared" si="18"/>
        <v>-3.1348462785526099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8"/>
        <v>-0.43183908530917336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8"/>
        <v>2.2557824546765328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8"/>
        <v>3.5953391954131688</v>
      </c>
      <c r="D74" s="2"/>
    </row>
    <row r="75" spans="1:10" x14ac:dyDescent="0.35">
      <c r="A75" s="24" t="s">
        <v>41</v>
      </c>
      <c r="B75" s="23">
        <v>95</v>
      </c>
      <c r="C75" s="18">
        <f t="shared" si="18"/>
        <v>4.2608256473735446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46.210673467932331</v>
      </c>
    </row>
    <row r="78" spans="1:10" x14ac:dyDescent="0.35">
      <c r="A78" s="20" t="s">
        <v>39</v>
      </c>
      <c r="B78" s="132">
        <f>SUM(C11:C20)/SUM(C7:C33)</f>
        <v>0.46210673467932334</v>
      </c>
      <c r="D78" s="19" t="s">
        <v>6</v>
      </c>
      <c r="E78" s="18">
        <f>SUM($D$21:$D$30)</f>
        <v>43.336700769536506</v>
      </c>
    </row>
    <row r="79" spans="1:10" x14ac:dyDescent="0.35">
      <c r="A79" s="20" t="s">
        <v>38</v>
      </c>
      <c r="B79" s="132">
        <f>SUM(C21:C33)/SUM(C7:C33)</f>
        <v>0.53789326532067638</v>
      </c>
      <c r="D79" s="19" t="s">
        <v>5</v>
      </c>
      <c r="E79" s="18">
        <f>SUM($D$31:$D$33)</f>
        <v>10.452625762531147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4.4517237518397446</v>
      </c>
      <c r="D81" s="16" t="s">
        <v>4</v>
      </c>
      <c r="E81">
        <f>100*SUM(H7:J33)/SUM(P7:P33)</f>
        <v>4.4517237518397446</v>
      </c>
      <c r="G81" s="17" t="s">
        <v>2</v>
      </c>
      <c r="H81">
        <f>100*SUM(H7:H33)/(SUM(P7:P33)-SUM(M7:N33))</f>
        <v>37.775093448264855</v>
      </c>
    </row>
    <row r="82" spans="1:8" x14ac:dyDescent="0.35">
      <c r="A82" s="16" t="s">
        <v>0</v>
      </c>
      <c r="B82">
        <f>100*SUM(K7:L33)/SUM(P7:P33)</f>
        <v>1.1530688871380843</v>
      </c>
      <c r="D82" s="16" t="s">
        <v>0</v>
      </c>
      <c r="E82">
        <f>100*SUM(K7:L33)/SUM(P7:P33)</f>
        <v>1.1530688871380843</v>
      </c>
      <c r="G82" s="17" t="s">
        <v>1</v>
      </c>
      <c r="H82">
        <f>100*SUM(I7:J33)/(SUM(P7:P33)-SUM(M7:N33))</f>
        <v>41.651997589515673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94.395207361022159</v>
      </c>
      <c r="G83" s="17" t="s">
        <v>0</v>
      </c>
      <c r="H83">
        <f>100*SUM(K7:L33)/(SUM(P7:P33)-SUM(M7:N33))</f>
        <v>20.572908962219415</v>
      </c>
    </row>
    <row r="85" spans="1:8" x14ac:dyDescent="0.35">
      <c r="A85" s="16" t="s">
        <v>36</v>
      </c>
      <c r="B85" s="2"/>
      <c r="C85" s="2"/>
      <c r="D85" s="13">
        <f>(C70+C74+C72)/3</f>
        <v>-0.12832812880457264</v>
      </c>
    </row>
    <row r="86" spans="1:8" x14ac:dyDescent="0.35">
      <c r="A86" s="14" t="s">
        <v>35</v>
      </c>
      <c r="B86" s="14"/>
      <c r="C86" s="14"/>
      <c r="D86" s="7">
        <f>C72</f>
        <v>-0.43183908530917336</v>
      </c>
    </row>
    <row r="87" spans="1:8" x14ac:dyDescent="0.35">
      <c r="A87" s="14" t="s">
        <v>34</v>
      </c>
      <c r="B87" s="14"/>
      <c r="C87" s="14"/>
      <c r="D87" s="7">
        <f>(C74-C70)/2</f>
        <v>3.5719118459654409</v>
      </c>
    </row>
    <row r="88" spans="1:8" x14ac:dyDescent="0.35">
      <c r="A88" s="15" t="s">
        <v>33</v>
      </c>
      <c r="B88" s="14"/>
      <c r="C88" s="14"/>
      <c r="D88" s="13">
        <f>(C74+C70-D86)/D87</f>
        <v>0.13401612493469703</v>
      </c>
    </row>
    <row r="89" spans="1:8" x14ac:dyDescent="0.35">
      <c r="A89" s="3" t="s">
        <v>32</v>
      </c>
      <c r="B89" s="12"/>
      <c r="C89" s="11"/>
      <c r="D89" s="7">
        <f>((C74-C70)/4)+((C75-C69)/6.6)</f>
        <v>3.027076729533734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0.13660587364567528</v>
      </c>
    </row>
    <row r="91" spans="1:8" x14ac:dyDescent="0.35">
      <c r="A91" s="3" t="s">
        <v>30</v>
      </c>
      <c r="B91" s="9"/>
      <c r="C91" s="8"/>
      <c r="D91" s="7">
        <f>(C74-C69)/(2.44*(C73-C71))</f>
        <v>0.57217624399354849</v>
      </c>
    </row>
    <row r="92" spans="1:8" x14ac:dyDescent="0.35">
      <c r="A92" s="6" t="s">
        <v>29</v>
      </c>
      <c r="B92" s="6"/>
      <c r="C92" s="5"/>
      <c r="D92" s="7">
        <f>(C70+C72+C74)/3</f>
        <v>-0.12832812880457256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2.342734944772773E-2</v>
      </c>
    </row>
    <row r="95" spans="1:8" x14ac:dyDescent="0.35">
      <c r="A95" s="2" t="s">
        <v>9</v>
      </c>
      <c r="B95" s="2"/>
      <c r="C95" s="2"/>
      <c r="D95" s="1">
        <f>100-E23</f>
        <v>38.523318162503202</v>
      </c>
    </row>
    <row r="96" spans="1:8" x14ac:dyDescent="0.35">
      <c r="A96" s="2" t="s">
        <v>8</v>
      </c>
      <c r="B96" s="2"/>
      <c r="C96" s="2"/>
      <c r="D96" s="1">
        <f>100-E30</f>
        <v>10.452625762531156</v>
      </c>
    </row>
    <row r="98" spans="1:3" x14ac:dyDescent="0.35">
      <c r="A98" t="s">
        <v>94</v>
      </c>
      <c r="C98" t="str">
        <f>IF(SUM(M7:N33)&gt;0,"Mixed","No Mixed")</f>
        <v>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99"/>
  <sheetViews>
    <sheetView tabSelected="1" zoomScale="63" zoomScaleNormal="100" workbookViewId="0">
      <selection activeCell="L26" sqref="L26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24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MAY210717_7_no_aggr</v>
      </c>
      <c r="E2" s="142"/>
      <c r="G2" s="109" t="s">
        <v>90</v>
      </c>
      <c r="H2" s="108" t="str">
        <f ca="1">D2</f>
        <v>MAY210717_7_no_aggr</v>
      </c>
      <c r="I2" s="108"/>
      <c r="J2" s="107"/>
      <c r="K2" s="143"/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34">
        <f>SUM(C7:C33)</f>
        <v>96.435098978986943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" si="2">(C7/SUM($C$7:$C$33))*100</f>
        <v>0</v>
      </c>
      <c r="E7" s="54">
        <f>SUM(D7)</f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ref="D8:D32" si="11">(C8/SUM($C$7:$C$33))*100</f>
        <v>0</v>
      </c>
      <c r="E8" s="54">
        <f>E7+D8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11"/>
        <v>0</v>
      </c>
      <c r="E9" s="54">
        <f t="shared" ref="E9:E33" si="12"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100</v>
      </c>
      <c r="B10" s="57">
        <v>-6</v>
      </c>
      <c r="C10" s="130">
        <v>0</v>
      </c>
      <c r="D10" s="55">
        <f t="shared" si="11"/>
        <v>0</v>
      </c>
      <c r="E10" s="54">
        <f t="shared" si="12"/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11"/>
        <v>0</v>
      </c>
      <c r="E11" s="54">
        <f t="shared" si="12"/>
        <v>0</v>
      </c>
      <c r="F11" s="132"/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11"/>
        <v>0</v>
      </c>
      <c r="E12" s="54">
        <f t="shared" si="12"/>
        <v>0</v>
      </c>
      <c r="F12" s="132"/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11"/>
        <v>0</v>
      </c>
      <c r="E13" s="54">
        <f t="shared" si="12"/>
        <v>0</v>
      </c>
      <c r="F13" s="132"/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2.8942210144927571</v>
      </c>
      <c r="D14" s="55">
        <f t="shared" si="11"/>
        <v>3.0012112240621054</v>
      </c>
      <c r="E14" s="54">
        <f t="shared" si="12"/>
        <v>3.0012112240621054</v>
      </c>
      <c r="F14" s="132"/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0">
        <v>13.881466666666665</v>
      </c>
      <c r="D15" s="55">
        <f t="shared" si="11"/>
        <v>14.39462064501164</v>
      </c>
      <c r="E15" s="54">
        <f t="shared" si="12"/>
        <v>17.395831869073746</v>
      </c>
      <c r="F15" s="132"/>
      <c r="G15" s="48">
        <f t="shared" si="3"/>
        <v>-3.5</v>
      </c>
      <c r="H15" s="61">
        <v>1.399795321637427</v>
      </c>
      <c r="I15" s="60">
        <v>2.6996052631578955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50">
        <f t="shared" si="4"/>
        <v>4.0994005847953225</v>
      </c>
      <c r="R15" s="48">
        <f t="shared" si="5"/>
        <v>-3.5</v>
      </c>
      <c r="S15" s="67">
        <f t="shared" si="6"/>
        <v>34.146341463414629</v>
      </c>
      <c r="T15" s="66">
        <f t="shared" si="6"/>
        <v>65.853658536585371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3">S15*100/(SUM($S15:$W15)+SUM($Y15:$Z15))</f>
        <v>34.146341463414629</v>
      </c>
      <c r="AE15" s="66">
        <f t="shared" si="13"/>
        <v>65.853658536585371</v>
      </c>
      <c r="AF15" s="65">
        <f t="shared" si="13"/>
        <v>0</v>
      </c>
      <c r="AG15" s="67">
        <f t="shared" si="13"/>
        <v>0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30">
        <v>10.041095890410958</v>
      </c>
      <c r="D16" s="55">
        <f t="shared" si="11"/>
        <v>10.412283490888413</v>
      </c>
      <c r="E16" s="54">
        <f t="shared" si="12"/>
        <v>27.808115359962159</v>
      </c>
      <c r="F16" s="132"/>
      <c r="G16" s="48">
        <f t="shared" si="3"/>
        <v>-3</v>
      </c>
      <c r="H16" s="61">
        <v>5.22508038585209</v>
      </c>
      <c r="I16" s="60">
        <v>5.627009646302251</v>
      </c>
      <c r="J16" s="59">
        <v>0</v>
      </c>
      <c r="K16" s="60">
        <v>0</v>
      </c>
      <c r="L16" s="60">
        <v>4.320739549839228</v>
      </c>
      <c r="M16" s="60">
        <v>0</v>
      </c>
      <c r="N16" s="60">
        <v>0</v>
      </c>
      <c r="O16" s="60">
        <v>0</v>
      </c>
      <c r="P16" s="50">
        <f t="shared" si="4"/>
        <v>15.172829581993568</v>
      </c>
      <c r="R16" s="48">
        <f t="shared" si="5"/>
        <v>-3</v>
      </c>
      <c r="S16" s="67">
        <f t="shared" si="6"/>
        <v>34.437086092715234</v>
      </c>
      <c r="T16" s="66">
        <f t="shared" si="6"/>
        <v>37.086092715231793</v>
      </c>
      <c r="U16" s="65">
        <f t="shared" si="6"/>
        <v>0</v>
      </c>
      <c r="V16" s="66">
        <f t="shared" si="6"/>
        <v>0</v>
      </c>
      <c r="W16" s="66">
        <f t="shared" si="6"/>
        <v>28.476821192052981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3"/>
        <v>34.437086092715234</v>
      </c>
      <c r="AE16" s="66">
        <f t="shared" si="13"/>
        <v>37.086092715231786</v>
      </c>
      <c r="AF16" s="65">
        <f t="shared" si="13"/>
        <v>0</v>
      </c>
      <c r="AG16" s="67">
        <f t="shared" si="13"/>
        <v>0</v>
      </c>
      <c r="AH16" s="66">
        <f t="shared" si="13"/>
        <v>28.476821192052977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0">
        <v>4.6888625592417057</v>
      </c>
      <c r="D17" s="55">
        <f t="shared" si="11"/>
        <v>4.8621949983826962</v>
      </c>
      <c r="E17" s="54">
        <f t="shared" si="12"/>
        <v>32.670310358344857</v>
      </c>
      <c r="F17" s="132"/>
      <c r="G17" s="48">
        <f t="shared" si="3"/>
        <v>-2.5</v>
      </c>
      <c r="H17" s="61">
        <v>8.5975977653631279</v>
      </c>
      <c r="I17" s="60">
        <v>12.096620111731843</v>
      </c>
      <c r="J17" s="59">
        <v>0.79977653631284928</v>
      </c>
      <c r="K17" s="60">
        <v>1.4995810055865924</v>
      </c>
      <c r="L17" s="60">
        <v>3.2990782122905027</v>
      </c>
      <c r="M17" s="60">
        <v>0</v>
      </c>
      <c r="N17" s="60">
        <v>0</v>
      </c>
      <c r="O17" s="60">
        <v>0</v>
      </c>
      <c r="P17" s="50">
        <f t="shared" si="4"/>
        <v>26.292653631284914</v>
      </c>
      <c r="R17" s="48">
        <f t="shared" si="5"/>
        <v>-2.5</v>
      </c>
      <c r="S17" s="67">
        <f t="shared" si="6"/>
        <v>32.699619771863119</v>
      </c>
      <c r="T17" s="66">
        <f t="shared" si="6"/>
        <v>46.007604562737647</v>
      </c>
      <c r="U17" s="65">
        <f t="shared" si="6"/>
        <v>3.0418250950570349</v>
      </c>
      <c r="V17" s="66">
        <f t="shared" si="6"/>
        <v>5.7034220532319404</v>
      </c>
      <c r="W17" s="66">
        <f t="shared" si="6"/>
        <v>12.547528517110267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3"/>
        <v>32.699619771863112</v>
      </c>
      <c r="AE17" s="66">
        <f t="shared" si="13"/>
        <v>46.007604562737647</v>
      </c>
      <c r="AF17" s="65">
        <f t="shared" si="13"/>
        <v>3.0418250950570345</v>
      </c>
      <c r="AG17" s="67">
        <f t="shared" si="13"/>
        <v>5.7034220532319404</v>
      </c>
      <c r="AH17" s="66">
        <f t="shared" si="13"/>
        <v>12.547528517110266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130">
        <v>4</v>
      </c>
      <c r="D18" s="55">
        <f t="shared" si="11"/>
        <v>4.1478673660837888</v>
      </c>
      <c r="E18" s="54">
        <f t="shared" si="12"/>
        <v>36.818177724428644</v>
      </c>
      <c r="F18" s="132"/>
      <c r="G18" s="48">
        <f t="shared" si="3"/>
        <v>-2</v>
      </c>
      <c r="H18" s="61">
        <v>7.2393349168646095</v>
      </c>
      <c r="I18" s="60">
        <v>19.606532066508315</v>
      </c>
      <c r="J18" s="59">
        <v>1.307102137767221</v>
      </c>
      <c r="K18" s="60">
        <v>0.90491686460807619</v>
      </c>
      <c r="L18" s="60">
        <v>1.2065558194774348</v>
      </c>
      <c r="M18" s="60">
        <v>0</v>
      </c>
      <c r="N18" s="60">
        <v>0</v>
      </c>
      <c r="O18" s="60">
        <v>0</v>
      </c>
      <c r="P18" s="50">
        <f t="shared" si="4"/>
        <v>30.264441805225655</v>
      </c>
      <c r="R18" s="48">
        <f t="shared" si="5"/>
        <v>-2</v>
      </c>
      <c r="S18" s="67">
        <f t="shared" si="6"/>
        <v>23.920265780730901</v>
      </c>
      <c r="T18" s="66">
        <f t="shared" si="6"/>
        <v>64.784053156146172</v>
      </c>
      <c r="U18" s="65">
        <f t="shared" si="6"/>
        <v>4.3189368770764123</v>
      </c>
      <c r="V18" s="66">
        <f t="shared" si="6"/>
        <v>2.9900332225913626</v>
      </c>
      <c r="W18" s="66">
        <f t="shared" si="6"/>
        <v>3.9867109634551499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3"/>
        <v>23.920265780730901</v>
      </c>
      <c r="AE18" s="66">
        <f t="shared" si="13"/>
        <v>64.784053156146172</v>
      </c>
      <c r="AF18" s="65">
        <f t="shared" si="13"/>
        <v>4.3189368770764123</v>
      </c>
      <c r="AG18" s="67">
        <f t="shared" si="13"/>
        <v>2.9900332225913626</v>
      </c>
      <c r="AH18" s="66">
        <f t="shared" si="13"/>
        <v>3.9867109634551499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30">
        <v>5.6286999999999994</v>
      </c>
      <c r="D19" s="55">
        <f t="shared" si="11"/>
        <v>5.8367752608689543</v>
      </c>
      <c r="E19" s="54">
        <f t="shared" si="12"/>
        <v>42.654952985297598</v>
      </c>
      <c r="F19" s="132"/>
      <c r="G19" s="48">
        <f t="shared" si="3"/>
        <v>-1.5</v>
      </c>
      <c r="H19" s="61">
        <v>7.9222556390977443</v>
      </c>
      <c r="I19" s="60">
        <v>15.999849624060152</v>
      </c>
      <c r="J19" s="59">
        <v>1.2427067669172933</v>
      </c>
      <c r="K19" s="60">
        <v>2.0193984962406013</v>
      </c>
      <c r="L19" s="60">
        <v>3.5727819548872173</v>
      </c>
      <c r="M19" s="60">
        <v>0</v>
      </c>
      <c r="N19" s="60">
        <v>0</v>
      </c>
      <c r="O19" s="60">
        <v>0</v>
      </c>
      <c r="P19" s="50">
        <f t="shared" si="4"/>
        <v>30.756992481203007</v>
      </c>
      <c r="R19" s="48">
        <f t="shared" si="5"/>
        <v>-1.5</v>
      </c>
      <c r="S19" s="67">
        <f t="shared" si="6"/>
        <v>25.757575757575758</v>
      </c>
      <c r="T19" s="66">
        <f t="shared" si="6"/>
        <v>52.020202020202028</v>
      </c>
      <c r="U19" s="65">
        <f t="shared" si="6"/>
        <v>4.0404040404040407</v>
      </c>
      <c r="V19" s="66">
        <f t="shared" si="6"/>
        <v>6.5656565656565649</v>
      </c>
      <c r="W19" s="66">
        <f t="shared" si="6"/>
        <v>11.616161616161614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3"/>
        <v>25.757575757575758</v>
      </c>
      <c r="AE19" s="66">
        <f t="shared" si="13"/>
        <v>52.020202020202028</v>
      </c>
      <c r="AF19" s="65">
        <f t="shared" si="13"/>
        <v>4.0404040404040398</v>
      </c>
      <c r="AG19" s="67">
        <f t="shared" si="13"/>
        <v>6.565656565656564</v>
      </c>
      <c r="AH19" s="66">
        <f t="shared" si="13"/>
        <v>11.616161616161612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30">
        <v>3.4289625668449197</v>
      </c>
      <c r="D20" s="55">
        <f t="shared" si="11"/>
        <v>3.5557204826347362</v>
      </c>
      <c r="E20" s="54">
        <f t="shared" si="12"/>
        <v>46.210673467932331</v>
      </c>
      <c r="F20" s="132"/>
      <c r="G20" s="48">
        <f t="shared" si="3"/>
        <v>-1</v>
      </c>
      <c r="H20" s="61">
        <v>4.0707762096774198</v>
      </c>
      <c r="I20" s="60">
        <v>28.454314516129031</v>
      </c>
      <c r="J20" s="59">
        <v>1.7681149193548387</v>
      </c>
      <c r="K20" s="60">
        <v>1.809233870967742</v>
      </c>
      <c r="L20" s="60">
        <v>1.6036391129032259</v>
      </c>
      <c r="M20" s="60">
        <v>0</v>
      </c>
      <c r="N20" s="60">
        <v>0</v>
      </c>
      <c r="O20" s="60">
        <v>0</v>
      </c>
      <c r="P20" s="50">
        <f t="shared" si="4"/>
        <v>37.706078629032255</v>
      </c>
      <c r="R20" s="48">
        <f t="shared" si="5"/>
        <v>-1</v>
      </c>
      <c r="S20" s="67">
        <f t="shared" si="6"/>
        <v>10.796074154852784</v>
      </c>
      <c r="T20" s="66">
        <f t="shared" si="6"/>
        <v>75.463467829880045</v>
      </c>
      <c r="U20" s="65">
        <f t="shared" si="6"/>
        <v>4.6892039258451472</v>
      </c>
      <c r="V20" s="66">
        <f t="shared" si="6"/>
        <v>4.7982551799345696</v>
      </c>
      <c r="W20" s="66">
        <f t="shared" si="6"/>
        <v>4.2529989094874594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3"/>
        <v>10.796074154852782</v>
      </c>
      <c r="AE20" s="66">
        <f t="shared" si="13"/>
        <v>75.463467829880031</v>
      </c>
      <c r="AF20" s="65">
        <f t="shared" si="13"/>
        <v>4.6892039258451463</v>
      </c>
      <c r="AG20" s="67">
        <f t="shared" si="13"/>
        <v>4.7982551799345687</v>
      </c>
      <c r="AH20" s="66">
        <f t="shared" si="13"/>
        <v>4.2529989094874585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130">
        <v>2.7517902813299235</v>
      </c>
      <c r="D21" s="55">
        <f t="shared" si="11"/>
        <v>2.8535152765587291</v>
      </c>
      <c r="E21" s="54">
        <f t="shared" si="12"/>
        <v>49.064188744491062</v>
      </c>
      <c r="F21" s="132"/>
      <c r="G21" s="70">
        <f t="shared" si="3"/>
        <v>-0.5</v>
      </c>
      <c r="H21" s="61">
        <v>2.2858651026392964</v>
      </c>
      <c r="I21" s="60">
        <v>23.298240469208213</v>
      </c>
      <c r="J21" s="59">
        <v>1.2308504398826983</v>
      </c>
      <c r="K21" s="60">
        <v>0.61542521994134913</v>
      </c>
      <c r="L21" s="60">
        <v>1.6704398826979474</v>
      </c>
      <c r="M21" s="60">
        <v>0</v>
      </c>
      <c r="N21" s="60">
        <v>0</v>
      </c>
      <c r="O21" s="60">
        <v>8.791788856304987E-2</v>
      </c>
      <c r="P21" s="69">
        <f t="shared" si="4"/>
        <v>29.188739002932557</v>
      </c>
      <c r="R21" s="48">
        <f t="shared" si="5"/>
        <v>-0.5</v>
      </c>
      <c r="S21" s="67">
        <f t="shared" si="6"/>
        <v>7.831325301204819</v>
      </c>
      <c r="T21" s="66">
        <f t="shared" si="6"/>
        <v>79.819277108433724</v>
      </c>
      <c r="U21" s="65">
        <f t="shared" si="6"/>
        <v>4.2168674698795181</v>
      </c>
      <c r="V21" s="66">
        <f t="shared" si="6"/>
        <v>2.1084337349397591</v>
      </c>
      <c r="W21" s="66">
        <f t="shared" si="6"/>
        <v>5.7228915662650595</v>
      </c>
      <c r="X21" s="66">
        <f t="shared" si="6"/>
        <v>0</v>
      </c>
      <c r="Y21" s="66">
        <f t="shared" si="6"/>
        <v>0</v>
      </c>
      <c r="Z21" s="65">
        <f t="shared" si="6"/>
        <v>0.3012048192771084</v>
      </c>
      <c r="AA21" s="50">
        <f t="shared" si="7"/>
        <v>99.999999999999986</v>
      </c>
      <c r="AC21" s="48">
        <f t="shared" si="8"/>
        <v>-0.5</v>
      </c>
      <c r="AD21" s="67">
        <f t="shared" si="13"/>
        <v>7.8313253012048198</v>
      </c>
      <c r="AE21" s="66">
        <f t="shared" si="13"/>
        <v>79.819277108433738</v>
      </c>
      <c r="AF21" s="65">
        <f t="shared" si="13"/>
        <v>4.216867469879519</v>
      </c>
      <c r="AG21" s="67">
        <f t="shared" si="13"/>
        <v>2.1084337349397595</v>
      </c>
      <c r="AH21" s="66">
        <f t="shared" si="13"/>
        <v>5.7228915662650603</v>
      </c>
      <c r="AI21" s="66">
        <v>0</v>
      </c>
      <c r="AJ21" s="66">
        <f t="shared" si="14"/>
        <v>0</v>
      </c>
      <c r="AK21" s="65">
        <f t="shared" si="14"/>
        <v>0.30120481927710846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30">
        <v>6.62</v>
      </c>
      <c r="D22" s="55">
        <f t="shared" si="11"/>
        <v>6.8647204908686703</v>
      </c>
      <c r="E22" s="54">
        <f t="shared" si="12"/>
        <v>55.928909235359733</v>
      </c>
      <c r="F22" s="132"/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3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0">
        <v>5.35</v>
      </c>
      <c r="D23" s="55">
        <f t="shared" si="11"/>
        <v>5.5477726021370666</v>
      </c>
      <c r="E23" s="54">
        <f t="shared" si="12"/>
        <v>61.476681837496798</v>
      </c>
      <c r="F23" s="132"/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3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0">
        <v>4.97</v>
      </c>
      <c r="D24" s="55">
        <f t="shared" si="11"/>
        <v>5.1537252023591069</v>
      </c>
      <c r="E24" s="54">
        <f t="shared" si="12"/>
        <v>66.630407039855911</v>
      </c>
      <c r="F24" s="132"/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3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3.61</v>
      </c>
      <c r="D25" s="55">
        <f t="shared" si="11"/>
        <v>3.7434502978906186</v>
      </c>
      <c r="E25" s="54">
        <f t="shared" si="12"/>
        <v>70.373857337746529</v>
      </c>
      <c r="F25" s="132"/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3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3.08</v>
      </c>
      <c r="D26" s="55">
        <f t="shared" si="11"/>
        <v>3.1938578718845174</v>
      </c>
      <c r="E26" s="54">
        <f t="shared" si="12"/>
        <v>73.567715209631046</v>
      </c>
      <c r="F26" s="132"/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3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2.7</v>
      </c>
      <c r="D27" s="55">
        <f t="shared" si="11"/>
        <v>2.7998104721065573</v>
      </c>
      <c r="E27" s="54">
        <f t="shared" si="12"/>
        <v>76.367525681737604</v>
      </c>
      <c r="F27" s="132"/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3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0">
        <v>2.9</v>
      </c>
      <c r="D28" s="55">
        <f t="shared" si="11"/>
        <v>3.0072038404107464</v>
      </c>
      <c r="E28" s="54">
        <f t="shared" si="12"/>
        <v>79.374729522148357</v>
      </c>
      <c r="F28" s="132"/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3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0">
        <v>3.2</v>
      </c>
      <c r="D29" s="55">
        <f t="shared" si="11"/>
        <v>3.3182938928670311</v>
      </c>
      <c r="E29" s="54">
        <f t="shared" si="12"/>
        <v>82.693023415015389</v>
      </c>
      <c r="F29" s="132"/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3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0">
        <v>6.61</v>
      </c>
      <c r="D30" s="55">
        <f t="shared" si="11"/>
        <v>6.8543508224534602</v>
      </c>
      <c r="E30" s="54">
        <f t="shared" si="12"/>
        <v>89.547374237468844</v>
      </c>
      <c r="F30" s="132"/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3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0">
        <v>10.08</v>
      </c>
      <c r="D31" s="55">
        <f t="shared" si="11"/>
        <v>10.452625762531147</v>
      </c>
      <c r="E31" s="54">
        <f t="shared" si="12"/>
        <v>99.999999999999986</v>
      </c>
      <c r="F31" s="132"/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3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0">
        <v>0</v>
      </c>
      <c r="D32" s="55">
        <f t="shared" si="11"/>
        <v>0</v>
      </c>
      <c r="E32" s="54">
        <f t="shared" si="12"/>
        <v>99.999999999999986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3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1">
        <v>0</v>
      </c>
      <c r="D33" s="40">
        <f>(C33/SUM($C$7:$C$33))*100</f>
        <v>0</v>
      </c>
      <c r="E33" s="39">
        <f t="shared" si="12"/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3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101</v>
      </c>
      <c r="H34">
        <f>SUM(H7:H33)</f>
        <v>36.740705341131722</v>
      </c>
      <c r="I34">
        <f t="shared" ref="I34:O34" si="16">SUM(I7:I33)</f>
        <v>107.7821716970977</v>
      </c>
      <c r="J34">
        <f t="shared" si="16"/>
        <v>6.3485508002349009</v>
      </c>
      <c r="K34">
        <f t="shared" si="16"/>
        <v>6.8485554573443608</v>
      </c>
      <c r="L34">
        <f t="shared" si="16"/>
        <v>15.673234532095556</v>
      </c>
      <c r="M34">
        <f t="shared" si="16"/>
        <v>0</v>
      </c>
      <c r="N34">
        <f t="shared" si="16"/>
        <v>0</v>
      </c>
      <c r="O34">
        <f t="shared" si="16"/>
        <v>8.791788856304987E-2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67" spans="1:10" x14ac:dyDescent="0.35">
      <c r="A67" s="5" t="s">
        <v>27</v>
      </c>
      <c r="B67" s="26"/>
      <c r="C67" s="2"/>
      <c r="D67" s="2"/>
    </row>
    <row r="68" spans="1:10" x14ac:dyDescent="0.35">
      <c r="A68" s="25" t="s">
        <v>42</v>
      </c>
      <c r="B68" s="25"/>
      <c r="C68" s="2"/>
      <c r="D68" s="2"/>
    </row>
    <row r="69" spans="1:10" x14ac:dyDescent="0.35">
      <c r="A69" s="24" t="s">
        <v>41</v>
      </c>
      <c r="B69" s="23">
        <v>5</v>
      </c>
      <c r="C69" s="18">
        <f t="shared" ref="C69:C75" si="1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-3.9305716758631442</v>
      </c>
      <c r="D69" s="2"/>
    </row>
    <row r="70" spans="1:10" x14ac:dyDescent="0.35">
      <c r="A70" s="24" t="s">
        <v>41</v>
      </c>
      <c r="B70" s="23">
        <v>16</v>
      </c>
      <c r="C70" s="18">
        <f t="shared" si="17"/>
        <v>-3.5484844965177134</v>
      </c>
      <c r="D70" s="2"/>
    </row>
    <row r="71" spans="1:10" x14ac:dyDescent="0.35">
      <c r="A71" s="24" t="s">
        <v>41</v>
      </c>
      <c r="B71" s="23">
        <v>25</v>
      </c>
      <c r="C71" s="18">
        <f t="shared" si="17"/>
        <v>-3.1348462785526099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7"/>
        <v>-0.43183908530917336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7"/>
        <v>2.2557824546765328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7"/>
        <v>3.5953391954131688</v>
      </c>
      <c r="D74" s="2"/>
    </row>
    <row r="75" spans="1:10" x14ac:dyDescent="0.35">
      <c r="A75" s="24" t="s">
        <v>41</v>
      </c>
      <c r="B75" s="23">
        <v>95</v>
      </c>
      <c r="C75" s="18">
        <f t="shared" si="17"/>
        <v>4.2608256473735446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 s="132">
        <f>SUM(C7:C10)/SUM(C7:C33)</f>
        <v>0</v>
      </c>
      <c r="D77" s="19" t="s">
        <v>7</v>
      </c>
      <c r="E77" s="18">
        <f>SUM($D$7:$D$20)</f>
        <v>46.210673467932331</v>
      </c>
    </row>
    <row r="78" spans="1:10" x14ac:dyDescent="0.35">
      <c r="A78" s="20" t="s">
        <v>39</v>
      </c>
      <c r="B78" s="132">
        <f>SUM(C11:C20)/SUM(C7:C33)</f>
        <v>0.46210673467932334</v>
      </c>
      <c r="D78" s="19" t="s">
        <v>6</v>
      </c>
      <c r="E78" s="18">
        <f>SUM($D$21:$D$30)</f>
        <v>43.336700769536506</v>
      </c>
    </row>
    <row r="79" spans="1:10" x14ac:dyDescent="0.35">
      <c r="A79" s="20" t="s">
        <v>38</v>
      </c>
      <c r="B79" s="132">
        <f>SUM(C21:C33)/SUM(C7:C33)</f>
        <v>0.53789326532067638</v>
      </c>
      <c r="D79" s="19" t="s">
        <v>5</v>
      </c>
      <c r="E79" s="18">
        <f>SUM($D$31:$D$33)</f>
        <v>10.452625762531147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86.967051037205763</v>
      </c>
      <c r="D81" s="16" t="s">
        <v>4</v>
      </c>
      <c r="E81">
        <f>100*SUM(H7:J33)/SUM(P7:P33)</f>
        <v>86.967051037205763</v>
      </c>
      <c r="G81" s="17" t="s">
        <v>2</v>
      </c>
      <c r="H81">
        <f>100*SUM(H7:H33)/(SUM(P7:P33)-SUM(M7:N33))</f>
        <v>21.178501737030189</v>
      </c>
    </row>
    <row r="82" spans="1:8" x14ac:dyDescent="0.35">
      <c r="A82" s="16" t="s">
        <v>0</v>
      </c>
      <c r="B82">
        <f>100*SUM(K7:L33)/SUM(P7:P33)</f>
        <v>12.982270317995212</v>
      </c>
      <c r="D82" s="16" t="s">
        <v>0</v>
      </c>
      <c r="E82">
        <f>100*SUM(K7:L33)/SUM(P7:P33)</f>
        <v>12.982270317995212</v>
      </c>
      <c r="G82" s="17" t="s">
        <v>1</v>
      </c>
      <c r="H82">
        <f>100*SUM(I7:J33)/(SUM(P7:P33)-SUM(M7:N33))</f>
        <v>65.788549300175603</v>
      </c>
    </row>
    <row r="83" spans="1:8" x14ac:dyDescent="0.35">
      <c r="A83" s="16" t="s">
        <v>3</v>
      </c>
      <c r="B83">
        <f>100*SUM(O7:O33)/SUM(P7:P33)</f>
        <v>5.0678644799017465E-2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12.982270317995212</v>
      </c>
    </row>
    <row r="85" spans="1:8" x14ac:dyDescent="0.35">
      <c r="A85" s="16" t="s">
        <v>36</v>
      </c>
      <c r="B85" s="2"/>
      <c r="C85" s="2"/>
      <c r="D85" s="13">
        <f>(C70+C74+C72)/3</f>
        <v>-0.12832812880457264</v>
      </c>
    </row>
    <row r="86" spans="1:8" x14ac:dyDescent="0.35">
      <c r="A86" s="14" t="s">
        <v>35</v>
      </c>
      <c r="B86" s="14"/>
      <c r="C86" s="14"/>
      <c r="D86" s="7">
        <f>C72</f>
        <v>-0.43183908530917336</v>
      </c>
    </row>
    <row r="87" spans="1:8" x14ac:dyDescent="0.35">
      <c r="A87" s="14" t="s">
        <v>34</v>
      </c>
      <c r="B87" s="14"/>
      <c r="C87" s="14"/>
      <c r="D87" s="7">
        <f>(C74-C70)/2</f>
        <v>3.5719118459654409</v>
      </c>
    </row>
    <row r="88" spans="1:8" x14ac:dyDescent="0.35">
      <c r="A88" s="15" t="s">
        <v>33</v>
      </c>
      <c r="B88" s="14"/>
      <c r="C88" s="14"/>
      <c r="D88" s="13">
        <f>(C74+C70-D86)/D87</f>
        <v>0.13401612493469703</v>
      </c>
    </row>
    <row r="89" spans="1:8" x14ac:dyDescent="0.35">
      <c r="A89" s="3" t="s">
        <v>32</v>
      </c>
      <c r="B89" s="12"/>
      <c r="C89" s="11"/>
      <c r="D89" s="7">
        <f>((C74-C70)/4)+((C75-C69)/6.6)</f>
        <v>3.027076729533734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0.13660587364567528</v>
      </c>
    </row>
    <row r="91" spans="1:8" x14ac:dyDescent="0.35">
      <c r="A91" s="3" t="s">
        <v>30</v>
      </c>
      <c r="B91" s="9"/>
      <c r="C91" s="8"/>
      <c r="D91" s="7">
        <f>(C74-C69)/(2.44*(C73-C71))</f>
        <v>0.57217624399354849</v>
      </c>
    </row>
    <row r="92" spans="1:8" x14ac:dyDescent="0.35">
      <c r="A92" s="6" t="s">
        <v>29</v>
      </c>
      <c r="B92" s="6"/>
      <c r="C92" s="5"/>
      <c r="D92" s="7">
        <f>(C70+C72+C74)/3</f>
        <v>-0.12832812880457256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2.342734944772773E-2</v>
      </c>
    </row>
    <row r="95" spans="1:8" x14ac:dyDescent="0.35">
      <c r="A95" s="2" t="s">
        <v>9</v>
      </c>
      <c r="B95" s="2"/>
      <c r="C95" s="2"/>
      <c r="D95" s="1">
        <f>100-E23</f>
        <v>38.523318162503202</v>
      </c>
    </row>
    <row r="96" spans="1:8" x14ac:dyDescent="0.35">
      <c r="A96" s="2" t="s">
        <v>8</v>
      </c>
      <c r="B96" s="2"/>
      <c r="C96" s="2"/>
      <c r="D96" s="1">
        <f>100-E30</f>
        <v>10.452625762531156</v>
      </c>
    </row>
    <row r="98" spans="1:3" x14ac:dyDescent="0.35">
      <c r="A98" t="s">
        <v>94</v>
      </c>
      <c r="C98" t="str">
        <f>IF(SUM(M7:N33)&gt;0,"Mixed","No Mixed")</f>
        <v>No Mixed</v>
      </c>
    </row>
    <row r="99" spans="1:3" x14ac:dyDescent="0.35">
      <c r="A99" t="s">
        <v>95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66"/>
  </sheetPr>
  <dimension ref="A1:AL96"/>
  <sheetViews>
    <sheetView topLeftCell="A23" zoomScale="63" zoomScaleNormal="100" workbookViewId="0">
      <selection activeCell="P71" sqref="P71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39" t="s">
        <v>91</v>
      </c>
      <c r="B2" s="140"/>
      <c r="C2" s="140"/>
      <c r="D2" s="141" t="str">
        <f ca="1">RIGHT(CELL("nomfichier",A1),LEN(CELL("nomfichier",A1))-FIND("]",CELL("nomfichier",A1)))</f>
        <v>MAY190403_2</v>
      </c>
      <c r="E2" s="142"/>
      <c r="G2" s="109" t="s">
        <v>90</v>
      </c>
      <c r="H2" s="108" t="str">
        <f ca="1">D2</f>
        <v>MAY190403_2</v>
      </c>
      <c r="I2" s="108"/>
      <c r="J2" s="107"/>
      <c r="K2" s="143" t="s">
        <v>89</v>
      </c>
      <c r="L2" s="144"/>
      <c r="M2" s="144"/>
      <c r="N2" s="144"/>
      <c r="O2" s="145"/>
    </row>
    <row r="3" spans="1:38" ht="15" thickBot="1" x14ac:dyDescent="0.4">
      <c r="A3" s="106"/>
      <c r="B3" s="105"/>
      <c r="C3" s="105"/>
      <c r="D3" s="105"/>
      <c r="E3" s="104"/>
      <c r="G3" s="103"/>
      <c r="H3" s="136" t="s">
        <v>88</v>
      </c>
      <c r="I3" s="137"/>
      <c r="J3" s="138"/>
      <c r="K3" s="136" t="s">
        <v>87</v>
      </c>
      <c r="L3" s="137"/>
      <c r="M3" s="137"/>
      <c r="N3" s="137"/>
      <c r="O3" s="138"/>
      <c r="S3" s="136" t="s">
        <v>88</v>
      </c>
      <c r="T3" s="137"/>
      <c r="U3" s="138"/>
      <c r="V3" s="136" t="s">
        <v>87</v>
      </c>
      <c r="W3" s="137"/>
      <c r="X3" s="137"/>
      <c r="Y3" s="137"/>
      <c r="Z3" s="138"/>
      <c r="AD3" s="136" t="s">
        <v>88</v>
      </c>
      <c r="AE3" s="137"/>
      <c r="AF3" s="138"/>
      <c r="AG3" s="136" t="s">
        <v>87</v>
      </c>
      <c r="AH3" s="137"/>
      <c r="AI3" s="137"/>
      <c r="AJ3" s="137"/>
      <c r="AK3" s="138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6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6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6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6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6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12</vt:i4>
      </vt:variant>
      <vt:variant>
        <vt:lpstr>Plages nommées</vt:lpstr>
      </vt:variant>
      <vt:variant>
        <vt:i4>22</vt:i4>
      </vt:variant>
    </vt:vector>
  </HeadingPairs>
  <TitlesOfParts>
    <vt:vector size="34" baseType="lpstr">
      <vt:lpstr>Resume</vt:lpstr>
      <vt:lpstr>Blank</vt:lpstr>
      <vt:lpstr>MAY210717_5</vt:lpstr>
      <vt:lpstr>MAY210717_5_aggr</vt:lpstr>
      <vt:lpstr>MAY210717_5_no_aggr</vt:lpstr>
      <vt:lpstr>MAY210717_6</vt:lpstr>
      <vt:lpstr>MAY210717_6_aggr</vt:lpstr>
      <vt:lpstr>MAY210717_6_no_aggr</vt:lpstr>
      <vt:lpstr>MAY210717_7</vt:lpstr>
      <vt:lpstr>MAY210717_7_aggr</vt:lpstr>
      <vt:lpstr>MAY210717_7_no_aggr</vt:lpstr>
      <vt:lpstr>MAY190403_2</vt:lpstr>
      <vt:lpstr>MAY190403_2!cum_tot_2</vt:lpstr>
      <vt:lpstr>MAY210717_5!cum_tot_2</vt:lpstr>
      <vt:lpstr>MAY210717_5_aggr!cum_tot_2</vt:lpstr>
      <vt:lpstr>MAY210717_5_no_aggr!cum_tot_2</vt:lpstr>
      <vt:lpstr>MAY210717_6!cum_tot_2</vt:lpstr>
      <vt:lpstr>MAY210717_6_aggr!cum_tot_2</vt:lpstr>
      <vt:lpstr>MAY210717_6_no_aggr!cum_tot_2</vt:lpstr>
      <vt:lpstr>MAY210717_7!cum_tot_2</vt:lpstr>
      <vt:lpstr>MAY210717_7_aggr!cum_tot_2</vt:lpstr>
      <vt:lpstr>MAY210717_7_no_aggr!cum_tot_2</vt:lpstr>
      <vt:lpstr>cum_tot_2</vt:lpstr>
      <vt:lpstr>MAY190403_2!phi</vt:lpstr>
      <vt:lpstr>MAY210717_5!phi</vt:lpstr>
      <vt:lpstr>MAY210717_5_aggr!phi</vt:lpstr>
      <vt:lpstr>MAY210717_5_no_aggr!phi</vt:lpstr>
      <vt:lpstr>MAY210717_6!phi</vt:lpstr>
      <vt:lpstr>MAY210717_6_aggr!phi</vt:lpstr>
      <vt:lpstr>MAY210717_6_no_aggr!phi</vt:lpstr>
      <vt:lpstr>MAY210717_7!phi</vt:lpstr>
      <vt:lpstr>MAY210717_7_aggr!phi</vt:lpstr>
      <vt:lpstr>MAY210717_7_no_aggr!phi</vt:lpstr>
      <vt:lpstr>phi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Tristan LACOMBE</dc:creator>
  <cp:lastModifiedBy>Tristan LACOMBE</cp:lastModifiedBy>
  <dcterms:created xsi:type="dcterms:W3CDTF">2021-04-28T17:26:32Z</dcterms:created>
  <dcterms:modified xsi:type="dcterms:W3CDTF">2022-12-10T14:47:07Z</dcterms:modified>
</cp:coreProperties>
</file>