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2.xml" ContentType="application/vnd.openxmlformats-officedocument.drawing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drawings/drawing3.xml" ContentType="application/vnd.openxmlformats-officedocument.drawing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19.xml" ContentType="application/vnd.openxmlformats-officedocument.drawingml.chart+xml"/>
  <Override PartName="/xl/drawings/drawing4.xml" ContentType="application/vnd.openxmlformats-officedocument.drawing+xml"/>
  <Override PartName="/xl/charts/chart20.xml" ContentType="application/vnd.openxmlformats-officedocument.drawingml.chart+xml"/>
  <Override PartName="/xl/charts/chart21.xml" ContentType="application/vnd.openxmlformats-officedocument.drawingml.chart+xml"/>
  <Override PartName="/xl/charts/chart22.xml" ContentType="application/vnd.openxmlformats-officedocument.drawingml.chart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charts/chart25.xml" ContentType="application/vnd.openxmlformats-officedocument.drawingml.chart+xml"/>
  <Override PartName="/xl/drawings/drawing5.xml" ContentType="application/vnd.openxmlformats-officedocument.drawing+xml"/>
  <Override PartName="/xl/charts/chart26.xml" ContentType="application/vnd.openxmlformats-officedocument.drawingml.chart+xml"/>
  <Override PartName="/xl/charts/chart27.xml" ContentType="application/vnd.openxmlformats-officedocument.drawingml.chart+xml"/>
  <Override PartName="/xl/charts/chart28.xml" ContentType="application/vnd.openxmlformats-officedocument.drawingml.chart+xml"/>
  <Override PartName="/xl/charts/chart29.xml" ContentType="application/vnd.openxmlformats-officedocument.drawingml.chart+xml"/>
  <Override PartName="/xl/charts/chart30.xml" ContentType="application/vnd.openxmlformats-officedocument.drawingml.chart+xml"/>
  <Override PartName="/xl/charts/chart31.xml" ContentType="application/vnd.openxmlformats-officedocument.drawingml.chart+xml"/>
  <Override PartName="/xl/drawings/drawing6.xml" ContentType="application/vnd.openxmlformats-officedocument.drawing+xml"/>
  <Override PartName="/xl/charts/chart32.xml" ContentType="application/vnd.openxmlformats-officedocument.drawingml.chart+xml"/>
  <Override PartName="/xl/charts/chart33.xml" ContentType="application/vnd.openxmlformats-officedocument.drawingml.chart+xml"/>
  <Override PartName="/xl/charts/chart34.xml" ContentType="application/vnd.openxmlformats-officedocument.drawingml.chart+xml"/>
  <Override PartName="/xl/charts/chart35.xml" ContentType="application/vnd.openxmlformats-officedocument.drawingml.chart+xml"/>
  <Override PartName="/xl/charts/chart36.xml" ContentType="application/vnd.openxmlformats-officedocument.drawingml.chart+xml"/>
  <Override PartName="/xl/charts/chart37.xml" ContentType="application/vnd.openxmlformats-officedocument.drawingml.chart+xml"/>
  <Override PartName="/xl/charts/chart38.xml" ContentType="application/vnd.openxmlformats-officedocument.drawingml.chart+xml"/>
  <Override PartName="/xl/drawings/drawing7.xml" ContentType="application/vnd.openxmlformats-officedocument.drawing+xml"/>
  <Override PartName="/xl/charts/chart39.xml" ContentType="application/vnd.openxmlformats-officedocument.drawingml.chart+xml"/>
  <Override PartName="/xl/charts/chart40.xml" ContentType="application/vnd.openxmlformats-officedocument.drawingml.chart+xml"/>
  <Override PartName="/xl/charts/chart41.xml" ContentType="application/vnd.openxmlformats-officedocument.drawingml.chart+xml"/>
  <Override PartName="/xl/charts/chart42.xml" ContentType="application/vnd.openxmlformats-officedocument.drawingml.chart+xml"/>
  <Override PartName="/xl/charts/chart43.xml" ContentType="application/vnd.openxmlformats-officedocument.drawingml.chart+xml"/>
  <Override PartName="/xl/charts/chart44.xml" ContentType="application/vnd.openxmlformats-officedocument.drawingml.chart+xml"/>
  <Override PartName="/xl/charts/chart45.xml" ContentType="application/vnd.openxmlformats-officedocument.drawingml.chart+xml"/>
  <Override PartName="/xl/drawings/drawing8.xml" ContentType="application/vnd.openxmlformats-officedocument.drawing+xml"/>
  <Override PartName="/xl/charts/chart46.xml" ContentType="application/vnd.openxmlformats-officedocument.drawingml.chart+xml"/>
  <Override PartName="/xl/charts/chart47.xml" ContentType="application/vnd.openxmlformats-officedocument.drawingml.chart+xml"/>
  <Override PartName="/xl/charts/chart48.xml" ContentType="application/vnd.openxmlformats-officedocument.drawingml.chart+xml"/>
  <Override PartName="/xl/charts/chart49.xml" ContentType="application/vnd.openxmlformats-officedocument.drawingml.chart+xml"/>
  <Override PartName="/xl/charts/chart50.xml" ContentType="application/vnd.openxmlformats-officedocument.drawingml.chart+xml"/>
  <Override PartName="/xl/charts/chart51.xml" ContentType="application/vnd.openxmlformats-officedocument.drawingml.chart+xml"/>
  <Override PartName="/xl/charts/chart52.xml" ContentType="application/vnd.openxmlformats-officedocument.drawingml.chart+xml"/>
  <Override PartName="/xl/drawings/drawing9.xml" ContentType="application/vnd.openxmlformats-officedocument.drawing+xml"/>
  <Override PartName="/xl/charts/chart53.xml" ContentType="application/vnd.openxmlformats-officedocument.drawingml.chart+xml"/>
  <Override PartName="/xl/charts/chart54.xml" ContentType="application/vnd.openxmlformats-officedocument.drawingml.chart+xml"/>
  <Override PartName="/xl/charts/chart55.xml" ContentType="application/vnd.openxmlformats-officedocument.drawingml.chart+xml"/>
  <Override PartName="/xl/charts/chart56.xml" ContentType="application/vnd.openxmlformats-officedocument.drawingml.chart+xml"/>
  <Override PartName="/xl/charts/chart57.xml" ContentType="application/vnd.openxmlformats-officedocument.drawingml.chart+xml"/>
  <Override PartName="/xl/charts/chart58.xml" ContentType="application/vnd.openxmlformats-officedocument.drawingml.chart+xml"/>
  <Override PartName="/xl/drawings/drawing10.xml" ContentType="application/vnd.openxmlformats-officedocument.drawing+xml"/>
  <Override PartName="/xl/charts/chart59.xml" ContentType="application/vnd.openxmlformats-officedocument.drawingml.chart+xml"/>
  <Override PartName="/xl/charts/chart60.xml" ContentType="application/vnd.openxmlformats-officedocument.drawingml.chart+xml"/>
  <Override PartName="/xl/charts/chart61.xml" ContentType="application/vnd.openxmlformats-officedocument.drawingml.chart+xml"/>
  <Override PartName="/xl/charts/chart62.xml" ContentType="application/vnd.openxmlformats-officedocument.drawingml.chart+xml"/>
  <Override PartName="/xl/charts/chart63.xml" ContentType="application/vnd.openxmlformats-officedocument.drawingml.chart+xml"/>
  <Override PartName="/xl/charts/chart64.xml" ContentType="application/vnd.openxmlformats-officedocument.drawingml.chart+xml"/>
  <Override PartName="/xl/drawings/drawing11.xml" ContentType="application/vnd.openxmlformats-officedocument.drawing+xml"/>
  <Override PartName="/xl/charts/chart65.xml" ContentType="application/vnd.openxmlformats-officedocument.drawingml.chart+xml"/>
  <Override PartName="/xl/charts/chart66.xml" ContentType="application/vnd.openxmlformats-officedocument.drawingml.chart+xml"/>
  <Override PartName="/xl/charts/chart67.xml" ContentType="application/vnd.openxmlformats-officedocument.drawingml.chart+xml"/>
  <Override PartName="/xl/charts/chart68.xml" ContentType="application/vnd.openxmlformats-officedocument.drawingml.chart+xml"/>
  <Override PartName="/xl/charts/chart69.xml" ContentType="application/vnd.openxmlformats-officedocument.drawingml.chart+xml"/>
  <Override PartName="/xl/charts/chart70.xml" ContentType="application/vnd.openxmlformats-officedocument.drawingml.chart+xml"/>
  <Override PartName="/xl/drawings/drawing12.xml" ContentType="application/vnd.openxmlformats-officedocument.drawing+xml"/>
  <Override PartName="/xl/charts/chart71.xml" ContentType="application/vnd.openxmlformats-officedocument.drawingml.chart+xml"/>
  <Override PartName="/xl/charts/chart72.xml" ContentType="application/vnd.openxmlformats-officedocument.drawingml.chart+xml"/>
  <Override PartName="/xl/charts/chart73.xml" ContentType="application/vnd.openxmlformats-officedocument.drawingml.chart+xml"/>
  <Override PartName="/xl/charts/chart74.xml" ContentType="application/vnd.openxmlformats-officedocument.drawingml.chart+xml"/>
  <Override PartName="/xl/charts/chart75.xml" ContentType="application/vnd.openxmlformats-officedocument.drawingml.chart+xml"/>
  <Override PartName="/xl/charts/chart76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/>
  <mc:AlternateContent xmlns:mc="http://schemas.openxmlformats.org/markup-compatibility/2006">
    <mc:Choice Requires="x15">
      <x15ac:absPath xmlns:x15ac="http://schemas.microsoft.com/office/spreadsheetml/2010/11/ac" url="C:\Users\Lacombe\Desktop\Grain size and componentry\"/>
    </mc:Choice>
  </mc:AlternateContent>
  <xr:revisionPtr revIDLastSave="0" documentId="13_ncr:1_{B8E95A76-3213-40DD-ADD1-F010BE6A6CCC}" xr6:coauthVersionLast="47" xr6:coauthVersionMax="47" xr10:uidLastSave="{00000000-0000-0000-0000-000000000000}"/>
  <bookViews>
    <workbookView xWindow="-110" yWindow="-110" windowWidth="19420" windowHeight="10420" firstSheet="6" activeTab="10" xr2:uid="{00000000-000D-0000-FFFF-FFFF00000000}"/>
  </bookViews>
  <sheets>
    <sheet name="Resume" sheetId="2" r:id="rId1"/>
    <sheet name="Blank" sheetId="3" r:id="rId2"/>
    <sheet name="MAY190405_2" sheetId="45" r:id="rId3"/>
    <sheet name="MAY190405_2 aggr" sheetId="52" r:id="rId4"/>
    <sheet name="MAY190405_2_no_aggr" sheetId="49" r:id="rId5"/>
    <sheet name="MAY190407_2" sheetId="44" r:id="rId6"/>
    <sheet name="MAY190407_2 aggr" sheetId="51" r:id="rId7"/>
    <sheet name="MAY190407_2_no_aggr" sheetId="53" r:id="rId8"/>
    <sheet name="MAY190407_3" sheetId="46" r:id="rId9"/>
    <sheet name="MAY190407_4" sheetId="47" r:id="rId10"/>
    <sheet name="MAY190407_5" sheetId="48" r:id="rId11"/>
    <sheet name="MAY190403_2" sheetId="4" state="hidden" r:id="rId12"/>
  </sheets>
  <definedNames>
    <definedName name="cum_tot_2" localSheetId="11">MAY190403_2!$E$7:$E$33</definedName>
    <definedName name="cum_tot_2" localSheetId="2">MAY190405_2!$E$7:$E$33</definedName>
    <definedName name="cum_tot_2" localSheetId="3">'MAY190405_2 aggr'!$E$7:$E$33</definedName>
    <definedName name="cum_tot_2" localSheetId="4">MAY190405_2_no_aggr!$E$7:$E$33</definedName>
    <definedName name="cum_tot_2" localSheetId="5">MAY190407_2!$E$7:$E$33</definedName>
    <definedName name="cum_tot_2" localSheetId="6">'MAY190407_2 aggr'!$E$7:$E$33</definedName>
    <definedName name="cum_tot_2" localSheetId="7">MAY190407_2_no_aggr!$E$7:$E$33</definedName>
    <definedName name="cum_tot_2" localSheetId="8">MAY190407_3!$E$7:$E$33</definedName>
    <definedName name="cum_tot_2" localSheetId="9">MAY190407_4!$E$7:$E$33</definedName>
    <definedName name="cum_tot_2" localSheetId="10">MAY190407_5!$E$7:$E$33</definedName>
    <definedName name="cum_tot_2">Blank!$E$7:$E$33</definedName>
    <definedName name="phi" localSheetId="11">MAY190403_2!$B$7:$B$33</definedName>
    <definedName name="phi" localSheetId="2">MAY190405_2!$B$7:$B$33</definedName>
    <definedName name="phi" localSheetId="3">'MAY190405_2 aggr'!$B$7:$B$33</definedName>
    <definedName name="phi" localSheetId="4">MAY190405_2_no_aggr!$B$7:$B$33</definedName>
    <definedName name="phi" localSheetId="5">MAY190407_2!$B$7:$B$33</definedName>
    <definedName name="phi" localSheetId="6">'MAY190407_2 aggr'!$B$7:$B$33</definedName>
    <definedName name="phi" localSheetId="7">MAY190407_2_no_aggr!$B$7:$B$33</definedName>
    <definedName name="phi" localSheetId="8">MAY190407_3!$B$7:$B$33</definedName>
    <definedName name="phi" localSheetId="9">MAY190407_4!$B$7:$B$33</definedName>
    <definedName name="phi" localSheetId="10">MAY190407_5!$B$7:$B$33</definedName>
    <definedName name="phi">Blank!$B$7:$B$33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39" i="45" l="1"/>
  <c r="I39" i="45"/>
  <c r="J39" i="45"/>
  <c r="K39" i="45"/>
  <c r="L39" i="45"/>
  <c r="H40" i="45"/>
  <c r="I40" i="45"/>
  <c r="J40" i="45"/>
  <c r="K40" i="45"/>
  <c r="L40" i="45"/>
  <c r="H41" i="45"/>
  <c r="I41" i="45"/>
  <c r="J41" i="45"/>
  <c r="K41" i="45"/>
  <c r="L41" i="45"/>
  <c r="H42" i="45"/>
  <c r="I42" i="45"/>
  <c r="J42" i="45"/>
  <c r="K42" i="45"/>
  <c r="L42" i="45"/>
  <c r="H43" i="45"/>
  <c r="I43" i="45"/>
  <c r="J43" i="45"/>
  <c r="K43" i="45"/>
  <c r="L43" i="45"/>
  <c r="H44" i="45"/>
  <c r="I44" i="45"/>
  <c r="J44" i="45"/>
  <c r="K44" i="45"/>
  <c r="L44" i="45"/>
  <c r="H45" i="45"/>
  <c r="I45" i="45"/>
  <c r="J45" i="45"/>
  <c r="K45" i="45"/>
  <c r="L45" i="45"/>
  <c r="H46" i="45"/>
  <c r="I46" i="45"/>
  <c r="J46" i="45"/>
  <c r="K46" i="45"/>
  <c r="L46" i="45"/>
  <c r="H47" i="45"/>
  <c r="I47" i="45"/>
  <c r="J47" i="45"/>
  <c r="K47" i="45"/>
  <c r="L47" i="45"/>
  <c r="H48" i="45"/>
  <c r="I48" i="45"/>
  <c r="J48" i="45"/>
  <c r="K48" i="45"/>
  <c r="L48" i="45"/>
  <c r="H49" i="45"/>
  <c r="I49" i="45"/>
  <c r="J49" i="45"/>
  <c r="K49" i="45"/>
  <c r="L49" i="45"/>
  <c r="H50" i="45"/>
  <c r="I50" i="45"/>
  <c r="J50" i="45"/>
  <c r="K50" i="45"/>
  <c r="L50" i="45"/>
  <c r="H51" i="45"/>
  <c r="I51" i="45"/>
  <c r="J51" i="45"/>
  <c r="K51" i="45"/>
  <c r="L51" i="45"/>
  <c r="H52" i="45"/>
  <c r="I52" i="45"/>
  <c r="J52" i="45"/>
  <c r="K52" i="45"/>
  <c r="L52" i="45"/>
  <c r="L38" i="45"/>
  <c r="K38" i="45"/>
  <c r="I38" i="45"/>
  <c r="J38" i="45"/>
  <c r="H38" i="45"/>
  <c r="B4" i="53" l="1"/>
  <c r="R32" i="53" s="1"/>
  <c r="B4" i="51"/>
  <c r="D15" i="51" s="1"/>
  <c r="C99" i="53"/>
  <c r="C98" i="53"/>
  <c r="B79" i="53"/>
  <c r="B78" i="53"/>
  <c r="B77" i="53"/>
  <c r="O34" i="53"/>
  <c r="N34" i="53"/>
  <c r="M34" i="53"/>
  <c r="L34" i="53"/>
  <c r="K34" i="53"/>
  <c r="J34" i="53"/>
  <c r="I34" i="53"/>
  <c r="H34" i="53"/>
  <c r="AB33" i="53"/>
  <c r="AA33" i="53"/>
  <c r="Y33" i="53"/>
  <c r="V33" i="53"/>
  <c r="U33" i="53"/>
  <c r="AC33" i="53" s="1"/>
  <c r="T33" i="53"/>
  <c r="AE33" i="53" s="1"/>
  <c r="R33" i="53"/>
  <c r="P33" i="53"/>
  <c r="Z33" i="53" s="1"/>
  <c r="G33" i="53"/>
  <c r="D33" i="53"/>
  <c r="W32" i="53"/>
  <c r="P32" i="53"/>
  <c r="AA32" i="53" s="1"/>
  <c r="G32" i="53"/>
  <c r="T32" i="53" s="1"/>
  <c r="AE32" i="53" s="1"/>
  <c r="D32" i="53"/>
  <c r="R31" i="53"/>
  <c r="P31" i="53"/>
  <c r="G31" i="53"/>
  <c r="T31" i="53" s="1"/>
  <c r="AE31" i="53" s="1"/>
  <c r="D31" i="53"/>
  <c r="Y30" i="53"/>
  <c r="W30" i="53"/>
  <c r="T30" i="53"/>
  <c r="AE30" i="53" s="1"/>
  <c r="R30" i="53"/>
  <c r="P30" i="53"/>
  <c r="X30" i="53" s="1"/>
  <c r="G30" i="53"/>
  <c r="D30" i="53"/>
  <c r="X29" i="53"/>
  <c r="R29" i="53"/>
  <c r="P29" i="53"/>
  <c r="V29" i="53" s="1"/>
  <c r="G29" i="53"/>
  <c r="T29" i="53" s="1"/>
  <c r="AE29" i="53" s="1"/>
  <c r="D29" i="53"/>
  <c r="AA28" i="53"/>
  <c r="Y28" i="53"/>
  <c r="X28" i="53"/>
  <c r="V28" i="53"/>
  <c r="R28" i="53"/>
  <c r="P28" i="53"/>
  <c r="W28" i="53" s="1"/>
  <c r="G28" i="53"/>
  <c r="T28" i="53" s="1"/>
  <c r="AE28" i="53" s="1"/>
  <c r="D28" i="53"/>
  <c r="AA27" i="53"/>
  <c r="R27" i="53"/>
  <c r="P27" i="53"/>
  <c r="Z27" i="53" s="1"/>
  <c r="G27" i="53"/>
  <c r="T27" i="53" s="1"/>
  <c r="AE27" i="53" s="1"/>
  <c r="D27" i="53"/>
  <c r="AA26" i="53"/>
  <c r="R26" i="53"/>
  <c r="P26" i="53"/>
  <c r="Y26" i="53" s="1"/>
  <c r="G26" i="53"/>
  <c r="T26" i="53" s="1"/>
  <c r="AE26" i="53" s="1"/>
  <c r="D26" i="53"/>
  <c r="Y25" i="53"/>
  <c r="X25" i="53"/>
  <c r="W25" i="53"/>
  <c r="R25" i="53"/>
  <c r="P25" i="53"/>
  <c r="AB25" i="53" s="1"/>
  <c r="G25" i="53"/>
  <c r="T25" i="53" s="1"/>
  <c r="AE25" i="53" s="1"/>
  <c r="D25" i="53"/>
  <c r="R24" i="53"/>
  <c r="P24" i="53"/>
  <c r="G24" i="53"/>
  <c r="T24" i="53" s="1"/>
  <c r="AE24" i="53" s="1"/>
  <c r="D24" i="53"/>
  <c r="R23" i="53"/>
  <c r="P23" i="53"/>
  <c r="AA23" i="53" s="1"/>
  <c r="G23" i="53"/>
  <c r="T23" i="53" s="1"/>
  <c r="AE23" i="53" s="1"/>
  <c r="D23" i="53"/>
  <c r="R22" i="53"/>
  <c r="P22" i="53"/>
  <c r="Z22" i="53" s="1"/>
  <c r="G22" i="53"/>
  <c r="T22" i="53" s="1"/>
  <c r="AE22" i="53" s="1"/>
  <c r="D22" i="53"/>
  <c r="Z21" i="53"/>
  <c r="U21" i="53"/>
  <c r="T21" i="53"/>
  <c r="AE21" i="53" s="1"/>
  <c r="R21" i="53"/>
  <c r="P21" i="53"/>
  <c r="AB21" i="53" s="1"/>
  <c r="G21" i="53"/>
  <c r="D21" i="53"/>
  <c r="R20" i="53"/>
  <c r="P20" i="53"/>
  <c r="G20" i="53"/>
  <c r="T20" i="53" s="1"/>
  <c r="AE20" i="53" s="1"/>
  <c r="D20" i="53"/>
  <c r="AA19" i="53"/>
  <c r="Z19" i="53"/>
  <c r="R19" i="53"/>
  <c r="P19" i="53"/>
  <c r="U19" i="53" s="1"/>
  <c r="G19" i="53"/>
  <c r="T19" i="53" s="1"/>
  <c r="AE19" i="53" s="1"/>
  <c r="D19" i="53"/>
  <c r="R18" i="53"/>
  <c r="P18" i="53"/>
  <c r="AA18" i="53" s="1"/>
  <c r="G18" i="53"/>
  <c r="T18" i="53" s="1"/>
  <c r="AE18" i="53" s="1"/>
  <c r="D18" i="53"/>
  <c r="T17" i="53"/>
  <c r="AE17" i="53" s="1"/>
  <c r="R17" i="53"/>
  <c r="P17" i="53"/>
  <c r="G17" i="53"/>
  <c r="D17" i="53"/>
  <c r="AA16" i="53"/>
  <c r="Z16" i="53"/>
  <c r="U16" i="53"/>
  <c r="R16" i="53"/>
  <c r="P16" i="53"/>
  <c r="AB16" i="53" s="1"/>
  <c r="G16" i="53"/>
  <c r="T16" i="53" s="1"/>
  <c r="AE16" i="53" s="1"/>
  <c r="D16" i="53"/>
  <c r="R15" i="53"/>
  <c r="P15" i="53"/>
  <c r="AA15" i="53" s="1"/>
  <c r="G15" i="53"/>
  <c r="T15" i="53" s="1"/>
  <c r="AE15" i="53" s="1"/>
  <c r="D15" i="53"/>
  <c r="R14" i="53"/>
  <c r="P14" i="53"/>
  <c r="Z14" i="53" s="1"/>
  <c r="G14" i="53"/>
  <c r="T14" i="53" s="1"/>
  <c r="AE14" i="53" s="1"/>
  <c r="D14" i="53"/>
  <c r="T13" i="53"/>
  <c r="AE13" i="53" s="1"/>
  <c r="R13" i="53"/>
  <c r="P13" i="53"/>
  <c r="Z13" i="53" s="1"/>
  <c r="G13" i="53"/>
  <c r="D13" i="53"/>
  <c r="R12" i="53"/>
  <c r="P12" i="53"/>
  <c r="AA12" i="53" s="1"/>
  <c r="G12" i="53"/>
  <c r="T12" i="53" s="1"/>
  <c r="AE12" i="53" s="1"/>
  <c r="D12" i="53"/>
  <c r="Y11" i="53"/>
  <c r="R11" i="53"/>
  <c r="P11" i="53"/>
  <c r="X11" i="53" s="1"/>
  <c r="G11" i="53"/>
  <c r="T11" i="53" s="1"/>
  <c r="AE11" i="53" s="1"/>
  <c r="E11" i="53"/>
  <c r="D11" i="53"/>
  <c r="Z10" i="53"/>
  <c r="Y10" i="53"/>
  <c r="R10" i="53"/>
  <c r="P10" i="53"/>
  <c r="AB10" i="53" s="1"/>
  <c r="G10" i="53"/>
  <c r="T10" i="53" s="1"/>
  <c r="AE10" i="53" s="1"/>
  <c r="D10" i="53"/>
  <c r="AB9" i="53"/>
  <c r="V9" i="53"/>
  <c r="R9" i="53"/>
  <c r="P9" i="53"/>
  <c r="G9" i="53"/>
  <c r="T9" i="53" s="1"/>
  <c r="AE9" i="53" s="1"/>
  <c r="D9" i="53"/>
  <c r="AB8" i="53"/>
  <c r="AA8" i="53"/>
  <c r="Z8" i="53"/>
  <c r="X8" i="53"/>
  <c r="W8" i="53"/>
  <c r="V8" i="53"/>
  <c r="R8" i="53"/>
  <c r="P8" i="53"/>
  <c r="U8" i="53" s="1"/>
  <c r="G8" i="53"/>
  <c r="T8" i="53" s="1"/>
  <c r="AE8" i="53" s="1"/>
  <c r="D8" i="53"/>
  <c r="AA7" i="53"/>
  <c r="Z7" i="53"/>
  <c r="X7" i="53"/>
  <c r="V7" i="53"/>
  <c r="T7" i="53"/>
  <c r="AE7" i="53" s="1"/>
  <c r="R7" i="53"/>
  <c r="P7" i="53"/>
  <c r="W7" i="53" s="1"/>
  <c r="G7" i="53"/>
  <c r="D7" i="53"/>
  <c r="AI4" i="53"/>
  <c r="AH4" i="53"/>
  <c r="AF4" i="53"/>
  <c r="AB4" i="53"/>
  <c r="AM4" i="53" s="1"/>
  <c r="AA4" i="53"/>
  <c r="AL4" i="53" s="1"/>
  <c r="Z4" i="53"/>
  <c r="AK4" i="53" s="1"/>
  <c r="Y4" i="53"/>
  <c r="AJ4" i="53" s="1"/>
  <c r="X4" i="53"/>
  <c r="W4" i="53"/>
  <c r="V4" i="53"/>
  <c r="AG4" i="53" s="1"/>
  <c r="U4" i="53"/>
  <c r="T4" i="53"/>
  <c r="AE4" i="53" s="1"/>
  <c r="D2" i="53"/>
  <c r="H2" i="53" s="1"/>
  <c r="O34" i="48"/>
  <c r="N34" i="48"/>
  <c r="M34" i="48"/>
  <c r="L34" i="48"/>
  <c r="K34" i="48"/>
  <c r="J34" i="48"/>
  <c r="I34" i="48"/>
  <c r="H34" i="48"/>
  <c r="O34" i="47"/>
  <c r="N34" i="47"/>
  <c r="M34" i="47"/>
  <c r="L34" i="47"/>
  <c r="K34" i="47"/>
  <c r="J34" i="47"/>
  <c r="I34" i="47"/>
  <c r="H34" i="47"/>
  <c r="O34" i="46"/>
  <c r="N34" i="46"/>
  <c r="M34" i="46"/>
  <c r="L34" i="46"/>
  <c r="K34" i="46"/>
  <c r="J34" i="46"/>
  <c r="I34" i="46"/>
  <c r="H34" i="46"/>
  <c r="O34" i="51"/>
  <c r="N34" i="51"/>
  <c r="M34" i="51"/>
  <c r="L34" i="51"/>
  <c r="K34" i="51"/>
  <c r="J34" i="51"/>
  <c r="I34" i="51"/>
  <c r="H34" i="51"/>
  <c r="O34" i="44"/>
  <c r="N34" i="44"/>
  <c r="M34" i="44"/>
  <c r="L34" i="44"/>
  <c r="K34" i="44"/>
  <c r="J34" i="44"/>
  <c r="I34" i="44"/>
  <c r="H34" i="44"/>
  <c r="O34" i="49"/>
  <c r="N34" i="49"/>
  <c r="M34" i="49"/>
  <c r="L34" i="49"/>
  <c r="K34" i="49"/>
  <c r="J34" i="49"/>
  <c r="I34" i="49"/>
  <c r="H34" i="49"/>
  <c r="O34" i="52"/>
  <c r="N34" i="52"/>
  <c r="M34" i="52"/>
  <c r="L34" i="52"/>
  <c r="K34" i="52"/>
  <c r="J34" i="52"/>
  <c r="I34" i="52"/>
  <c r="H34" i="52"/>
  <c r="O34" i="45"/>
  <c r="N34" i="45"/>
  <c r="M34" i="45"/>
  <c r="L34" i="45"/>
  <c r="K34" i="45"/>
  <c r="J34" i="45"/>
  <c r="I34" i="45"/>
  <c r="H34" i="45"/>
  <c r="O34" i="3"/>
  <c r="N34" i="3"/>
  <c r="M34" i="3"/>
  <c r="L34" i="3"/>
  <c r="K34" i="3"/>
  <c r="J34" i="3"/>
  <c r="I34" i="3"/>
  <c r="H34" i="3"/>
  <c r="AH8" i="53" l="1"/>
  <c r="Z11" i="53"/>
  <c r="AB26" i="53"/>
  <c r="AB27" i="53"/>
  <c r="AI28" i="53"/>
  <c r="Y29" i="53"/>
  <c r="AL32" i="53"/>
  <c r="AI29" i="53"/>
  <c r="AA10" i="53"/>
  <c r="AL10" i="53" s="1"/>
  <c r="AB19" i="53"/>
  <c r="Z29" i="53"/>
  <c r="U32" i="53"/>
  <c r="AC32" i="53" s="1"/>
  <c r="Y8" i="53"/>
  <c r="AJ8" i="53" s="1"/>
  <c r="Z28" i="53"/>
  <c r="AK28" i="53" s="1"/>
  <c r="AA29" i="53"/>
  <c r="V32" i="53"/>
  <c r="AG32" i="53" s="1"/>
  <c r="W33" i="53"/>
  <c r="AK8" i="53"/>
  <c r="AL28" i="53"/>
  <c r="AL8" i="53"/>
  <c r="E15" i="53"/>
  <c r="X16" i="53"/>
  <c r="AB32" i="53"/>
  <c r="V12" i="53"/>
  <c r="U27" i="53"/>
  <c r="AL27" i="53" s="1"/>
  <c r="W12" i="53"/>
  <c r="V27" i="53"/>
  <c r="U10" i="53"/>
  <c r="AM10" i="53" s="1"/>
  <c r="V26" i="53"/>
  <c r="W27" i="53"/>
  <c r="AH27" i="53" s="1"/>
  <c r="AH28" i="53"/>
  <c r="E31" i="53"/>
  <c r="V10" i="53"/>
  <c r="V11" i="53"/>
  <c r="AB22" i="53"/>
  <c r="W26" i="53"/>
  <c r="X27" i="53"/>
  <c r="AI27" i="53" s="1"/>
  <c r="AG28" i="53"/>
  <c r="W10" i="53"/>
  <c r="AH10" i="53" s="1"/>
  <c r="W11" i="53"/>
  <c r="X26" i="53"/>
  <c r="Y27" i="53"/>
  <c r="AJ27" i="53" s="1"/>
  <c r="U29" i="53"/>
  <c r="AF29" i="53" s="1"/>
  <c r="AN29" i="53" s="1"/>
  <c r="X10" i="53"/>
  <c r="AI10" i="53" s="1"/>
  <c r="Z26" i="53"/>
  <c r="U28" i="53"/>
  <c r="AJ28" i="53" s="1"/>
  <c r="W29" i="53"/>
  <c r="E21" i="53"/>
  <c r="E78" i="53"/>
  <c r="E29" i="53"/>
  <c r="E30" i="53"/>
  <c r="E32" i="53"/>
  <c r="V14" i="53"/>
  <c r="V15" i="53"/>
  <c r="AB18" i="53"/>
  <c r="U14" i="53"/>
  <c r="W14" i="53"/>
  <c r="AB15" i="53"/>
  <c r="Y23" i="53"/>
  <c r="U15" i="53"/>
  <c r="Y14" i="53"/>
  <c r="Z23" i="53"/>
  <c r="AA14" i="53"/>
  <c r="AB14" i="53"/>
  <c r="AA22" i="53"/>
  <c r="B83" i="53"/>
  <c r="AL12" i="53"/>
  <c r="AM9" i="53"/>
  <c r="AA24" i="53"/>
  <c r="W24" i="53"/>
  <c r="V24" i="53"/>
  <c r="U24" i="53"/>
  <c r="AB24" i="53"/>
  <c r="Z24" i="53"/>
  <c r="Y24" i="53"/>
  <c r="X24" i="53"/>
  <c r="AH30" i="53"/>
  <c r="AM8" i="53"/>
  <c r="U13" i="53"/>
  <c r="AK13" i="53" s="1"/>
  <c r="Y20" i="53"/>
  <c r="X20" i="53"/>
  <c r="W20" i="53"/>
  <c r="V20" i="53"/>
  <c r="AA20" i="53"/>
  <c r="Z20" i="53"/>
  <c r="U20" i="53"/>
  <c r="E27" i="53"/>
  <c r="E14" i="53"/>
  <c r="E8" i="53"/>
  <c r="E25" i="53"/>
  <c r="AI8" i="53"/>
  <c r="AC10" i="53"/>
  <c r="AA13" i="53"/>
  <c r="Y13" i="53"/>
  <c r="AB13" i="53"/>
  <c r="X13" i="53"/>
  <c r="W13" i="53"/>
  <c r="V13" i="53"/>
  <c r="AB20" i="53"/>
  <c r="E9" i="53"/>
  <c r="AJ33" i="53"/>
  <c r="Y17" i="53"/>
  <c r="W17" i="53"/>
  <c r="V17" i="53"/>
  <c r="X17" i="53"/>
  <c r="U17" i="53"/>
  <c r="AB17" i="53"/>
  <c r="AA17" i="53"/>
  <c r="Z17" i="53"/>
  <c r="E24" i="53"/>
  <c r="AF8" i="53"/>
  <c r="AN8" i="53" s="1"/>
  <c r="W9" i="53"/>
  <c r="U9" i="53"/>
  <c r="AG9" i="53" s="1"/>
  <c r="H83" i="53"/>
  <c r="E83" i="53"/>
  <c r="AA9" i="53"/>
  <c r="AL9" i="53" s="1"/>
  <c r="Z9" i="53"/>
  <c r="Y9" i="53"/>
  <c r="X9" i="53"/>
  <c r="AI9" i="53" s="1"/>
  <c r="Y18" i="53"/>
  <c r="X18" i="53"/>
  <c r="W18" i="53"/>
  <c r="V18" i="53"/>
  <c r="Z18" i="53"/>
  <c r="U18" i="53"/>
  <c r="AB31" i="53"/>
  <c r="AA31" i="53"/>
  <c r="AL31" i="53" s="1"/>
  <c r="Z31" i="53"/>
  <c r="AK31" i="53" s="1"/>
  <c r="Y31" i="53"/>
  <c r="AJ31" i="53" s="1"/>
  <c r="X31" i="53"/>
  <c r="W31" i="53"/>
  <c r="V31" i="53"/>
  <c r="U31" i="53"/>
  <c r="AL33" i="53"/>
  <c r="AG33" i="53"/>
  <c r="AF33" i="53"/>
  <c r="AN33" i="53" s="1"/>
  <c r="E17" i="53"/>
  <c r="B82" i="53"/>
  <c r="E23" i="53"/>
  <c r="D95" i="53" s="1"/>
  <c r="E12" i="53"/>
  <c r="D96" i="53"/>
  <c r="E10" i="53"/>
  <c r="E28" i="53"/>
  <c r="E16" i="53"/>
  <c r="E19" i="53"/>
  <c r="U30" i="53"/>
  <c r="AJ30" i="53" s="1"/>
  <c r="AB30" i="53"/>
  <c r="AA30" i="53"/>
  <c r="AL30" i="53" s="1"/>
  <c r="Z30" i="53"/>
  <c r="AG8" i="53"/>
  <c r="U11" i="53"/>
  <c r="AA11" i="53"/>
  <c r="AL11" i="53" s="1"/>
  <c r="X12" i="53"/>
  <c r="X15" i="53"/>
  <c r="AA21" i="53"/>
  <c r="AK27" i="53"/>
  <c r="AM32" i="53"/>
  <c r="H82" i="53"/>
  <c r="Y7" i="53"/>
  <c r="E82" i="53"/>
  <c r="E81" i="53"/>
  <c r="U7" i="53"/>
  <c r="AG7" i="53" s="1"/>
  <c r="B81" i="53"/>
  <c r="Y12" i="53"/>
  <c r="AJ12" i="53" s="1"/>
  <c r="E13" i="53"/>
  <c r="Z15" i="53"/>
  <c r="Y16" i="53"/>
  <c r="W16" i="53"/>
  <c r="V16" i="53"/>
  <c r="Y19" i="53"/>
  <c r="X19" i="53"/>
  <c r="W19" i="53"/>
  <c r="V19" i="53"/>
  <c r="U22" i="53"/>
  <c r="AM22" i="53" s="1"/>
  <c r="AB23" i="53"/>
  <c r="X23" i="53"/>
  <c r="W23" i="53"/>
  <c r="V23" i="53"/>
  <c r="U23" i="53"/>
  <c r="AL23" i="53" s="1"/>
  <c r="AA25" i="53"/>
  <c r="E79" i="53"/>
  <c r="E20" i="53"/>
  <c r="AF28" i="53"/>
  <c r="AN28" i="53" s="1"/>
  <c r="AC28" i="53"/>
  <c r="V30" i="53"/>
  <c r="AG30" i="53" s="1"/>
  <c r="H81" i="53"/>
  <c r="AM33" i="53"/>
  <c r="AC8" i="53"/>
  <c r="AB12" i="53"/>
  <c r="Z12" i="53"/>
  <c r="Y15" i="53"/>
  <c r="W15" i="53"/>
  <c r="Y21" i="53"/>
  <c r="X21" i="53"/>
  <c r="W21" i="53"/>
  <c r="V21" i="53"/>
  <c r="AM21" i="53" s="1"/>
  <c r="AF27" i="53"/>
  <c r="AN27" i="53" s="1"/>
  <c r="AC27" i="53"/>
  <c r="AM27" i="53"/>
  <c r="E33" i="53"/>
  <c r="AB11" i="53"/>
  <c r="E18" i="53"/>
  <c r="E22" i="53"/>
  <c r="Z25" i="53"/>
  <c r="V25" i="53"/>
  <c r="U25" i="53"/>
  <c r="AM25" i="53" s="1"/>
  <c r="AG27" i="53"/>
  <c r="AH33" i="53"/>
  <c r="AB7" i="53"/>
  <c r="U12" i="53"/>
  <c r="AF32" i="53"/>
  <c r="AN32" i="53" s="1"/>
  <c r="AK33" i="53"/>
  <c r="Y22" i="53"/>
  <c r="X22" i="53"/>
  <c r="W22" i="53"/>
  <c r="V22" i="53"/>
  <c r="E26" i="53"/>
  <c r="E77" i="53"/>
  <c r="AB28" i="53"/>
  <c r="AM28" i="53" s="1"/>
  <c r="X32" i="53"/>
  <c r="AI32" i="53" s="1"/>
  <c r="X14" i="53"/>
  <c r="AB29" i="53"/>
  <c r="Y32" i="53"/>
  <c r="AJ32" i="53" s="1"/>
  <c r="X33" i="53"/>
  <c r="AI33" i="53" s="1"/>
  <c r="Z32" i="53"/>
  <c r="AK32" i="53" s="1"/>
  <c r="U26" i="53"/>
  <c r="AG26" i="53" s="1"/>
  <c r="AK22" i="53" l="1"/>
  <c r="AJ29" i="53"/>
  <c r="AG13" i="53"/>
  <c r="C73" i="53"/>
  <c r="AL29" i="53"/>
  <c r="AI7" i="53"/>
  <c r="AM15" i="53"/>
  <c r="AM24" i="53"/>
  <c r="AH22" i="53"/>
  <c r="AJ14" i="53"/>
  <c r="AF10" i="53"/>
  <c r="AN10" i="53" s="1"/>
  <c r="AK10" i="53"/>
  <c r="AC29" i="53"/>
  <c r="AG29" i="53"/>
  <c r="AH7" i="53"/>
  <c r="AG10" i="53"/>
  <c r="AH29" i="53"/>
  <c r="AK29" i="53"/>
  <c r="AH11" i="53"/>
  <c r="AI22" i="53"/>
  <c r="AJ22" i="53"/>
  <c r="AJ10" i="53"/>
  <c r="AH32" i="53"/>
  <c r="AM29" i="53"/>
  <c r="AL26" i="53"/>
  <c r="AI12" i="53"/>
  <c r="AH14" i="53"/>
  <c r="AF14" i="53"/>
  <c r="AN14" i="53" s="1"/>
  <c r="AC14" i="53"/>
  <c r="AI24" i="53"/>
  <c r="AJ16" i="53"/>
  <c r="AL21" i="53"/>
  <c r="AK14" i="53"/>
  <c r="AH17" i="53"/>
  <c r="AJ24" i="53"/>
  <c r="AG14" i="53"/>
  <c r="AI15" i="53"/>
  <c r="AM14" i="53"/>
  <c r="AI14" i="53"/>
  <c r="AH18" i="53"/>
  <c r="AL14" i="53"/>
  <c r="AG22" i="53"/>
  <c r="AH19" i="53"/>
  <c r="AH21" i="53"/>
  <c r="AM31" i="53"/>
  <c r="AM13" i="53"/>
  <c r="AM23" i="53"/>
  <c r="AH26" i="53"/>
  <c r="AJ13" i="53"/>
  <c r="AJ21" i="53"/>
  <c r="AC22" i="53"/>
  <c r="AF22" i="53"/>
  <c r="AN22" i="53" s="1"/>
  <c r="AF7" i="53"/>
  <c r="AN7" i="53" s="1"/>
  <c r="AK7" i="53"/>
  <c r="AC7" i="53"/>
  <c r="AJ9" i="53"/>
  <c r="AM18" i="53"/>
  <c r="AL16" i="53"/>
  <c r="AL13" i="53"/>
  <c r="AI20" i="53"/>
  <c r="AC21" i="53"/>
  <c r="AM16" i="53"/>
  <c r="AM19" i="53"/>
  <c r="AG19" i="53"/>
  <c r="AK30" i="53"/>
  <c r="AJ23" i="53"/>
  <c r="AK9" i="53"/>
  <c r="AJ20" i="53"/>
  <c r="AK24" i="53"/>
  <c r="AF13" i="53"/>
  <c r="AN13" i="53" s="1"/>
  <c r="AC13" i="53"/>
  <c r="AF25" i="53"/>
  <c r="AN25" i="53" s="1"/>
  <c r="AJ25" i="53"/>
  <c r="AC25" i="53"/>
  <c r="AJ18" i="53"/>
  <c r="AK25" i="53"/>
  <c r="AM26" i="53"/>
  <c r="AI21" i="53"/>
  <c r="AH15" i="53"/>
  <c r="AF15" i="53"/>
  <c r="AL17" i="53"/>
  <c r="AI19" i="53"/>
  <c r="AK26" i="53"/>
  <c r="AH12" i="53"/>
  <c r="AF12" i="53"/>
  <c r="AN12" i="53" s="1"/>
  <c r="AC12" i="53"/>
  <c r="AL7" i="53"/>
  <c r="C75" i="53"/>
  <c r="C74" i="53"/>
  <c r="C71" i="53"/>
  <c r="C70" i="53"/>
  <c r="C69" i="53"/>
  <c r="C72" i="53"/>
  <c r="D86" i="53" s="1"/>
  <c r="AJ19" i="53"/>
  <c r="AC30" i="53"/>
  <c r="AF30" i="53"/>
  <c r="AN30" i="53" s="1"/>
  <c r="AL19" i="53"/>
  <c r="AG31" i="53"/>
  <c r="AC18" i="53"/>
  <c r="AF18" i="53"/>
  <c r="AC17" i="53"/>
  <c r="AF17" i="53"/>
  <c r="AI30" i="53"/>
  <c r="AG24" i="53"/>
  <c r="AG25" i="53"/>
  <c r="AG15" i="53"/>
  <c r="AC11" i="53"/>
  <c r="AF11" i="53"/>
  <c r="AN11" i="53" s="1"/>
  <c r="AH20" i="53"/>
  <c r="AM30" i="53"/>
  <c r="AF31" i="53"/>
  <c r="AN31" i="53" s="1"/>
  <c r="AC31" i="53"/>
  <c r="AM17" i="53"/>
  <c r="AC24" i="53"/>
  <c r="AF24" i="53"/>
  <c r="AN24" i="53" s="1"/>
  <c r="AI25" i="53"/>
  <c r="AM7" i="53"/>
  <c r="AK12" i="53"/>
  <c r="AG16" i="53"/>
  <c r="AH31" i="53"/>
  <c r="AF9" i="53"/>
  <c r="AN9" i="53" s="1"/>
  <c r="AC9" i="53"/>
  <c r="AI17" i="53"/>
  <c r="AM20" i="53"/>
  <c r="AG12" i="53"/>
  <c r="AF16" i="53"/>
  <c r="AH24" i="53"/>
  <c r="AF26" i="53"/>
  <c r="AN26" i="53" s="1"/>
  <c r="AJ26" i="53"/>
  <c r="AC26" i="53"/>
  <c r="AH23" i="53"/>
  <c r="AI23" i="53"/>
  <c r="AK11" i="53"/>
  <c r="AG20" i="53"/>
  <c r="AM11" i="53"/>
  <c r="AF19" i="53"/>
  <c r="AJ11" i="53"/>
  <c r="AL18" i="53"/>
  <c r="AL15" i="53"/>
  <c r="AJ15" i="53"/>
  <c r="AJ7" i="53"/>
  <c r="AL22" i="53"/>
  <c r="AC19" i="53"/>
  <c r="AM12" i="53"/>
  <c r="AL25" i="53"/>
  <c r="AH16" i="53"/>
  <c r="AI26" i="53"/>
  <c r="AI31" i="53"/>
  <c r="AG18" i="53"/>
  <c r="AH9" i="53"/>
  <c r="AG17" i="53"/>
  <c r="AI11" i="53"/>
  <c r="AC16" i="53"/>
  <c r="AL24" i="53"/>
  <c r="AF23" i="53"/>
  <c r="AN23" i="53" s="1"/>
  <c r="AC23" i="53"/>
  <c r="AI18" i="53"/>
  <c r="AJ17" i="53"/>
  <c r="AH13" i="53"/>
  <c r="AI16" i="53"/>
  <c r="AG11" i="53"/>
  <c r="AK23" i="53"/>
  <c r="AG21" i="53"/>
  <c r="AF21" i="53"/>
  <c r="AI13" i="53"/>
  <c r="AC15" i="53"/>
  <c r="AL20" i="53"/>
  <c r="AG23" i="53"/>
  <c r="AC20" i="53"/>
  <c r="AF20" i="53"/>
  <c r="AH25" i="53"/>
  <c r="AN21" i="53" l="1"/>
  <c r="AN17" i="53"/>
  <c r="D89" i="53"/>
  <c r="D87" i="53"/>
  <c r="D88" i="53" s="1"/>
  <c r="D91" i="53"/>
  <c r="D94" i="53"/>
  <c r="D92" i="53"/>
  <c r="D90" i="53"/>
  <c r="D85" i="53"/>
  <c r="AN15" i="53"/>
  <c r="AN16" i="53"/>
  <c r="AN19" i="53"/>
  <c r="AN18" i="53"/>
  <c r="AN20" i="53"/>
  <c r="R8" i="52" l="1"/>
  <c r="R9" i="52"/>
  <c r="R10" i="52"/>
  <c r="R11" i="52"/>
  <c r="R12" i="52"/>
  <c r="R13" i="52"/>
  <c r="R14" i="52"/>
  <c r="R15" i="52"/>
  <c r="R16" i="52"/>
  <c r="R17" i="52"/>
  <c r="R18" i="52"/>
  <c r="R19" i="52"/>
  <c r="R20" i="52"/>
  <c r="R21" i="52"/>
  <c r="R22" i="52"/>
  <c r="R23" i="52"/>
  <c r="R24" i="52"/>
  <c r="R25" i="52"/>
  <c r="R26" i="52"/>
  <c r="R27" i="52"/>
  <c r="R28" i="52"/>
  <c r="R29" i="52"/>
  <c r="R30" i="52"/>
  <c r="R31" i="52"/>
  <c r="R32" i="52"/>
  <c r="R33" i="52"/>
  <c r="R7" i="52"/>
  <c r="C99" i="52"/>
  <c r="C98" i="52"/>
  <c r="B79" i="52"/>
  <c r="B78" i="52"/>
  <c r="B77" i="52"/>
  <c r="AB33" i="52"/>
  <c r="Z33" i="52"/>
  <c r="Y33" i="52"/>
  <c r="U33" i="52"/>
  <c r="AC33" i="52" s="1"/>
  <c r="P33" i="52"/>
  <c r="X33" i="52" s="1"/>
  <c r="G33" i="52"/>
  <c r="T33" i="52" s="1"/>
  <c r="AE33" i="52" s="1"/>
  <c r="D33" i="52"/>
  <c r="AB32" i="52"/>
  <c r="P32" i="52"/>
  <c r="X32" i="52" s="1"/>
  <c r="G32" i="52"/>
  <c r="T32" i="52" s="1"/>
  <c r="AE32" i="52" s="1"/>
  <c r="D32" i="52"/>
  <c r="Z31" i="52"/>
  <c r="Y31" i="52"/>
  <c r="P31" i="52"/>
  <c r="X31" i="52" s="1"/>
  <c r="G31" i="52"/>
  <c r="T31" i="52" s="1"/>
  <c r="AE31" i="52" s="1"/>
  <c r="D31" i="52"/>
  <c r="P30" i="52"/>
  <c r="X30" i="52" s="1"/>
  <c r="G30" i="52"/>
  <c r="T30" i="52" s="1"/>
  <c r="AE30" i="52" s="1"/>
  <c r="D30" i="52"/>
  <c r="Z29" i="52"/>
  <c r="P29" i="52"/>
  <c r="X29" i="52" s="1"/>
  <c r="G29" i="52"/>
  <c r="T29" i="52" s="1"/>
  <c r="AE29" i="52" s="1"/>
  <c r="D29" i="52"/>
  <c r="AB28" i="52"/>
  <c r="Y28" i="52"/>
  <c r="U28" i="52"/>
  <c r="AC28" i="52" s="1"/>
  <c r="P28" i="52"/>
  <c r="X28" i="52" s="1"/>
  <c r="G28" i="52"/>
  <c r="T28" i="52" s="1"/>
  <c r="AE28" i="52" s="1"/>
  <c r="D28" i="52"/>
  <c r="U27" i="52"/>
  <c r="AC27" i="52" s="1"/>
  <c r="P27" i="52"/>
  <c r="Z27" i="52" s="1"/>
  <c r="G27" i="52"/>
  <c r="T27" i="52" s="1"/>
  <c r="AE27" i="52" s="1"/>
  <c r="D27" i="52"/>
  <c r="Z26" i="52"/>
  <c r="Y26" i="52"/>
  <c r="P26" i="52"/>
  <c r="X26" i="52" s="1"/>
  <c r="G26" i="52"/>
  <c r="T26" i="52" s="1"/>
  <c r="AE26" i="52" s="1"/>
  <c r="D26" i="52"/>
  <c r="AB25" i="52"/>
  <c r="Z25" i="52"/>
  <c r="Y25" i="52"/>
  <c r="U25" i="52"/>
  <c r="AC25" i="52" s="1"/>
  <c r="P25" i="52"/>
  <c r="X25" i="52" s="1"/>
  <c r="G25" i="52"/>
  <c r="T25" i="52" s="1"/>
  <c r="AE25" i="52" s="1"/>
  <c r="D25" i="52"/>
  <c r="AB24" i="52"/>
  <c r="P24" i="52"/>
  <c r="X24" i="52" s="1"/>
  <c r="G24" i="52"/>
  <c r="T24" i="52" s="1"/>
  <c r="AE24" i="52" s="1"/>
  <c r="D24" i="52"/>
  <c r="AB23" i="52"/>
  <c r="Y23" i="52"/>
  <c r="U23" i="52"/>
  <c r="AC23" i="52" s="1"/>
  <c r="P23" i="52"/>
  <c r="X23" i="52" s="1"/>
  <c r="G23" i="52"/>
  <c r="T23" i="52" s="1"/>
  <c r="AE23" i="52" s="1"/>
  <c r="D23" i="52"/>
  <c r="P22" i="52"/>
  <c r="X22" i="52" s="1"/>
  <c r="G22" i="52"/>
  <c r="T22" i="52" s="1"/>
  <c r="AE22" i="52" s="1"/>
  <c r="D22" i="52"/>
  <c r="AB21" i="52"/>
  <c r="Y21" i="52"/>
  <c r="P21" i="52"/>
  <c r="Z21" i="52" s="1"/>
  <c r="G21" i="52"/>
  <c r="T21" i="52" s="1"/>
  <c r="AE21" i="52" s="1"/>
  <c r="D21" i="52"/>
  <c r="AB20" i="52"/>
  <c r="AA20" i="52"/>
  <c r="W20" i="52"/>
  <c r="P20" i="52"/>
  <c r="X20" i="52" s="1"/>
  <c r="G20" i="52"/>
  <c r="T20" i="52" s="1"/>
  <c r="AE20" i="52" s="1"/>
  <c r="D20" i="52"/>
  <c r="Z19" i="52"/>
  <c r="W19" i="52"/>
  <c r="V19" i="52"/>
  <c r="P19" i="52"/>
  <c r="X19" i="52" s="1"/>
  <c r="G19" i="52"/>
  <c r="T19" i="52" s="1"/>
  <c r="AE19" i="52" s="1"/>
  <c r="D19" i="52"/>
  <c r="T18" i="52"/>
  <c r="AE18" i="52" s="1"/>
  <c r="P18" i="52"/>
  <c r="AB18" i="52" s="1"/>
  <c r="G18" i="52"/>
  <c r="D18" i="52"/>
  <c r="P17" i="52"/>
  <c r="U17" i="52" s="1"/>
  <c r="G17" i="52"/>
  <c r="T17" i="52" s="1"/>
  <c r="AE17" i="52" s="1"/>
  <c r="D17" i="52"/>
  <c r="P16" i="52"/>
  <c r="AB16" i="52" s="1"/>
  <c r="G16" i="52"/>
  <c r="T16" i="52" s="1"/>
  <c r="AE16" i="52" s="1"/>
  <c r="D16" i="52"/>
  <c r="U15" i="52"/>
  <c r="P15" i="52"/>
  <c r="AB15" i="52" s="1"/>
  <c r="G15" i="52"/>
  <c r="T15" i="52" s="1"/>
  <c r="AE15" i="52" s="1"/>
  <c r="D15" i="52"/>
  <c r="W14" i="52"/>
  <c r="V14" i="52"/>
  <c r="P14" i="52"/>
  <c r="AB14" i="52" s="1"/>
  <c r="G14" i="52"/>
  <c r="T14" i="52" s="1"/>
  <c r="AE14" i="52" s="1"/>
  <c r="D14" i="52"/>
  <c r="P13" i="52"/>
  <c r="AB13" i="52" s="1"/>
  <c r="G13" i="52"/>
  <c r="T13" i="52" s="1"/>
  <c r="AE13" i="52" s="1"/>
  <c r="D13" i="52"/>
  <c r="Z12" i="52"/>
  <c r="V12" i="52"/>
  <c r="P12" i="52"/>
  <c r="AB12" i="52" s="1"/>
  <c r="G12" i="52"/>
  <c r="T12" i="52" s="1"/>
  <c r="AE12" i="52" s="1"/>
  <c r="D12" i="52"/>
  <c r="P11" i="52"/>
  <c r="AA11" i="52" s="1"/>
  <c r="G11" i="52"/>
  <c r="T11" i="52" s="1"/>
  <c r="AE11" i="52" s="1"/>
  <c r="D11" i="52"/>
  <c r="P10" i="52"/>
  <c r="AA10" i="52" s="1"/>
  <c r="G10" i="52"/>
  <c r="T10" i="52" s="1"/>
  <c r="AE10" i="52" s="1"/>
  <c r="D10" i="52"/>
  <c r="Z9" i="52"/>
  <c r="P9" i="52"/>
  <c r="AA9" i="52" s="1"/>
  <c r="G9" i="52"/>
  <c r="T9" i="52" s="1"/>
  <c r="AE9" i="52" s="1"/>
  <c r="D9" i="52"/>
  <c r="P8" i="52"/>
  <c r="AA8" i="52" s="1"/>
  <c r="G8" i="52"/>
  <c r="T8" i="52" s="1"/>
  <c r="AE8" i="52" s="1"/>
  <c r="D8" i="52"/>
  <c r="P7" i="52"/>
  <c r="G7" i="52"/>
  <c r="T7" i="52" s="1"/>
  <c r="AE7" i="52" s="1"/>
  <c r="D7" i="52"/>
  <c r="AM4" i="52"/>
  <c r="AG4" i="52"/>
  <c r="AB4" i="52"/>
  <c r="AA4" i="52"/>
  <c r="AL4" i="52" s="1"/>
  <c r="Z4" i="52"/>
  <c r="AK4" i="52" s="1"/>
  <c r="Y4" i="52"/>
  <c r="AJ4" i="52" s="1"/>
  <c r="X4" i="52"/>
  <c r="AI4" i="52" s="1"/>
  <c r="W4" i="52"/>
  <c r="AH4" i="52" s="1"/>
  <c r="V4" i="52"/>
  <c r="U4" i="52"/>
  <c r="AF4" i="52" s="1"/>
  <c r="T4" i="52"/>
  <c r="AE4" i="52" s="1"/>
  <c r="D2" i="52"/>
  <c r="H2" i="52" s="1"/>
  <c r="D8" i="51"/>
  <c r="D9" i="51"/>
  <c r="D10" i="51"/>
  <c r="D11" i="51"/>
  <c r="D12" i="51"/>
  <c r="D13" i="51"/>
  <c r="D14" i="51"/>
  <c r="D16" i="51"/>
  <c r="D17" i="51"/>
  <c r="D18" i="51"/>
  <c r="D19" i="51"/>
  <c r="D20" i="51"/>
  <c r="D21" i="51"/>
  <c r="D22" i="51"/>
  <c r="D23" i="51"/>
  <c r="D24" i="51"/>
  <c r="D25" i="51"/>
  <c r="D26" i="51"/>
  <c r="D27" i="51"/>
  <c r="D28" i="51"/>
  <c r="D29" i="51"/>
  <c r="D30" i="51"/>
  <c r="D31" i="51"/>
  <c r="D32" i="51"/>
  <c r="D33" i="51"/>
  <c r="D7" i="51"/>
  <c r="R17" i="51"/>
  <c r="R18" i="51"/>
  <c r="R19" i="51"/>
  <c r="R20" i="51"/>
  <c r="R21" i="51"/>
  <c r="R22" i="51"/>
  <c r="R23" i="51"/>
  <c r="R24" i="51"/>
  <c r="R25" i="51"/>
  <c r="R26" i="51"/>
  <c r="R27" i="51"/>
  <c r="R28" i="51"/>
  <c r="R29" i="51"/>
  <c r="R30" i="51"/>
  <c r="R31" i="51"/>
  <c r="R32" i="51"/>
  <c r="R33" i="51"/>
  <c r="R7" i="51"/>
  <c r="R8" i="51"/>
  <c r="R9" i="51"/>
  <c r="R10" i="51"/>
  <c r="R11" i="51"/>
  <c r="R12" i="51"/>
  <c r="R13" i="51"/>
  <c r="R14" i="51"/>
  <c r="R15" i="51"/>
  <c r="V18" i="52" l="1"/>
  <c r="H83" i="52"/>
  <c r="Z8" i="52"/>
  <c r="Z11" i="52"/>
  <c r="U13" i="52"/>
  <c r="X18" i="52"/>
  <c r="AA19" i="52"/>
  <c r="U22" i="52"/>
  <c r="AC22" i="52" s="1"/>
  <c r="U30" i="52"/>
  <c r="AC30" i="52" s="1"/>
  <c r="U7" i="52"/>
  <c r="AC7" i="52" s="1"/>
  <c r="AB8" i="52"/>
  <c r="AM8" i="52" s="1"/>
  <c r="U10" i="52"/>
  <c r="AL10" i="52" s="1"/>
  <c r="AB11" i="52"/>
  <c r="V13" i="52"/>
  <c r="Y18" i="52"/>
  <c r="AB19" i="52"/>
  <c r="AL19" i="52" s="1"/>
  <c r="Y22" i="52"/>
  <c r="Y30" i="52"/>
  <c r="Z30" i="52"/>
  <c r="V7" i="52"/>
  <c r="V10" i="52"/>
  <c r="AG10" i="52" s="1"/>
  <c r="U21" i="52"/>
  <c r="Z22" i="52"/>
  <c r="W7" i="52"/>
  <c r="W10" i="52"/>
  <c r="Z13" i="52"/>
  <c r="V15" i="52"/>
  <c r="X17" i="52"/>
  <c r="AA18" i="52"/>
  <c r="V21" i="52"/>
  <c r="AB22" i="52"/>
  <c r="U24" i="52"/>
  <c r="AC24" i="52" s="1"/>
  <c r="Y27" i="52"/>
  <c r="AB30" i="52"/>
  <c r="U32" i="52"/>
  <c r="AC32" i="52" s="1"/>
  <c r="Z10" i="52"/>
  <c r="W15" i="52"/>
  <c r="Y17" i="52"/>
  <c r="W21" i="52"/>
  <c r="AH21" i="52" s="1"/>
  <c r="Y24" i="52"/>
  <c r="AB27" i="52"/>
  <c r="U29" i="52"/>
  <c r="AC29" i="52" s="1"/>
  <c r="Y32" i="52"/>
  <c r="W8" i="52"/>
  <c r="W11" i="52"/>
  <c r="W13" i="52"/>
  <c r="W17" i="52"/>
  <c r="Z18" i="52"/>
  <c r="Z7" i="52"/>
  <c r="AB7" i="52"/>
  <c r="U9" i="52"/>
  <c r="AK9" i="52" s="1"/>
  <c r="AB10" i="52"/>
  <c r="AM10" i="52" s="1"/>
  <c r="U12" i="52"/>
  <c r="Z15" i="52"/>
  <c r="AB17" i="52"/>
  <c r="X21" i="52"/>
  <c r="Z24" i="52"/>
  <c r="Y29" i="52"/>
  <c r="Z32" i="52"/>
  <c r="V9" i="52"/>
  <c r="W9" i="52"/>
  <c r="AH9" i="52" s="1"/>
  <c r="W12" i="52"/>
  <c r="U14" i="52"/>
  <c r="AG14" i="52" s="1"/>
  <c r="U19" i="52"/>
  <c r="AF19" i="52" s="1"/>
  <c r="Z20" i="52"/>
  <c r="AA21" i="52"/>
  <c r="U26" i="52"/>
  <c r="AF26" i="52" s="1"/>
  <c r="AN26" i="52" s="1"/>
  <c r="AB29" i="52"/>
  <c r="U31" i="52"/>
  <c r="AC31" i="52" s="1"/>
  <c r="U8" i="52"/>
  <c r="AH8" i="52" s="1"/>
  <c r="AB9" i="52"/>
  <c r="U11" i="52"/>
  <c r="AC11" i="52" s="1"/>
  <c r="V16" i="52"/>
  <c r="E31" i="52"/>
  <c r="V8" i="52"/>
  <c r="V11" i="52"/>
  <c r="Z14" i="52"/>
  <c r="U18" i="52"/>
  <c r="AM18" i="52" s="1"/>
  <c r="Y19" i="52"/>
  <c r="Z23" i="52"/>
  <c r="AB26" i="52"/>
  <c r="Z28" i="52"/>
  <c r="AB31" i="52"/>
  <c r="E31" i="51"/>
  <c r="E79" i="52"/>
  <c r="E14" i="52"/>
  <c r="E77" i="52"/>
  <c r="E78" i="52"/>
  <c r="AJ19" i="52"/>
  <c r="AK11" i="52"/>
  <c r="AI21" i="52"/>
  <c r="AL21" i="52"/>
  <c r="AI30" i="52"/>
  <c r="AK27" i="52"/>
  <c r="AF27" i="52"/>
  <c r="AN27" i="52" s="1"/>
  <c r="AG12" i="52"/>
  <c r="AM19" i="52"/>
  <c r="AH11" i="52"/>
  <c r="AG18" i="52"/>
  <c r="U16" i="52"/>
  <c r="V17" i="52"/>
  <c r="AJ17" i="52" s="1"/>
  <c r="W18" i="52"/>
  <c r="Y20" i="52"/>
  <c r="AA22" i="52"/>
  <c r="AA23" i="52"/>
  <c r="AL23" i="52" s="1"/>
  <c r="AA24" i="52"/>
  <c r="AL24" i="52" s="1"/>
  <c r="AA25" i="52"/>
  <c r="AL25" i="52" s="1"/>
  <c r="AA26" i="52"/>
  <c r="AL26" i="52" s="1"/>
  <c r="AA27" i="52"/>
  <c r="AL27" i="52" s="1"/>
  <c r="AA28" i="52"/>
  <c r="AL28" i="52" s="1"/>
  <c r="AA29" i="52"/>
  <c r="AL29" i="52" s="1"/>
  <c r="AA30" i="52"/>
  <c r="AL30" i="52" s="1"/>
  <c r="AA31" i="52"/>
  <c r="AL31" i="52" s="1"/>
  <c r="AA32" i="52"/>
  <c r="AA33" i="52"/>
  <c r="AL33" i="52" s="1"/>
  <c r="W16" i="52"/>
  <c r="E22" i="52"/>
  <c r="E23" i="52"/>
  <c r="D95" i="52" s="1"/>
  <c r="E24" i="52"/>
  <c r="E25" i="52"/>
  <c r="E26" i="52"/>
  <c r="AC26" i="52"/>
  <c r="E27" i="52"/>
  <c r="E28" i="52"/>
  <c r="E29" i="52"/>
  <c r="E30" i="52"/>
  <c r="D96" i="52" s="1"/>
  <c r="E32" i="52"/>
  <c r="E33" i="52"/>
  <c r="B81" i="52"/>
  <c r="X16" i="52"/>
  <c r="E21" i="52"/>
  <c r="E81" i="52"/>
  <c r="X9" i="52"/>
  <c r="X10" i="52"/>
  <c r="X11" i="52"/>
  <c r="X12" i="52"/>
  <c r="Z17" i="52"/>
  <c r="H81" i="52"/>
  <c r="X7" i="52"/>
  <c r="X8" i="52"/>
  <c r="X13" i="52"/>
  <c r="X14" i="52"/>
  <c r="X15" i="52"/>
  <c r="Y16" i="52"/>
  <c r="E20" i="52"/>
  <c r="Y7" i="52"/>
  <c r="Y8" i="52"/>
  <c r="Y9" i="52"/>
  <c r="AJ9" i="52" s="1"/>
  <c r="Y10" i="52"/>
  <c r="Y11" i="52"/>
  <c r="AJ11" i="52" s="1"/>
  <c r="Y12" i="52"/>
  <c r="Y13" i="52"/>
  <c r="AJ13" i="52" s="1"/>
  <c r="Y14" i="52"/>
  <c r="Y15" i="52"/>
  <c r="Z16" i="52"/>
  <c r="AA17" i="52"/>
  <c r="E19" i="52"/>
  <c r="AC19" i="52"/>
  <c r="B82" i="52"/>
  <c r="AM9" i="52"/>
  <c r="AM11" i="52"/>
  <c r="AA16" i="52"/>
  <c r="E18" i="52"/>
  <c r="E82" i="52"/>
  <c r="AA7" i="52"/>
  <c r="AA12" i="52"/>
  <c r="AK12" i="52" s="1"/>
  <c r="AA13" i="52"/>
  <c r="AA14" i="52"/>
  <c r="AA15" i="52"/>
  <c r="AL15" i="52" s="1"/>
  <c r="E17" i="52"/>
  <c r="V22" i="52"/>
  <c r="V23" i="52"/>
  <c r="V24" i="52"/>
  <c r="V25" i="52"/>
  <c r="V26" i="52"/>
  <c r="AG26" i="52" s="1"/>
  <c r="V27" i="52"/>
  <c r="AG27" i="52" s="1"/>
  <c r="V28" i="52"/>
  <c r="V29" i="52"/>
  <c r="V30" i="52"/>
  <c r="V31" i="52"/>
  <c r="V32" i="52"/>
  <c r="AG32" i="52" s="1"/>
  <c r="V33" i="52"/>
  <c r="H82" i="52"/>
  <c r="E16" i="52"/>
  <c r="U20" i="52"/>
  <c r="W22" i="52"/>
  <c r="W23" i="52"/>
  <c r="W24" i="52"/>
  <c r="W25" i="52"/>
  <c r="W26" i="52"/>
  <c r="AH26" i="52" s="1"/>
  <c r="W27" i="52"/>
  <c r="AH27" i="52" s="1"/>
  <c r="W28" i="52"/>
  <c r="W29" i="52"/>
  <c r="W30" i="52"/>
  <c r="AH30" i="52" s="1"/>
  <c r="W31" i="52"/>
  <c r="W32" i="52"/>
  <c r="W33" i="52"/>
  <c r="B83" i="52"/>
  <c r="E8" i="52"/>
  <c r="E9" i="52"/>
  <c r="AC9" i="52"/>
  <c r="E10" i="52"/>
  <c r="E11" i="52"/>
  <c r="E12" i="52"/>
  <c r="AC12" i="52"/>
  <c r="E13" i="52"/>
  <c r="AC13" i="52"/>
  <c r="E15" i="52"/>
  <c r="V20" i="52"/>
  <c r="X27" i="52"/>
  <c r="AI27" i="52" s="1"/>
  <c r="E83" i="52"/>
  <c r="R16" i="51"/>
  <c r="C99" i="51"/>
  <c r="C98" i="51"/>
  <c r="B79" i="51"/>
  <c r="B78" i="51"/>
  <c r="B77" i="51"/>
  <c r="P33" i="51"/>
  <c r="Z33" i="51" s="1"/>
  <c r="G33" i="51"/>
  <c r="T33" i="51" s="1"/>
  <c r="AE33" i="51" s="1"/>
  <c r="AB32" i="51"/>
  <c r="AA32" i="51"/>
  <c r="X32" i="51"/>
  <c r="P32" i="51"/>
  <c r="Z32" i="51" s="1"/>
  <c r="G32" i="51"/>
  <c r="T32" i="51" s="1"/>
  <c r="AE32" i="51" s="1"/>
  <c r="AA31" i="51"/>
  <c r="X31" i="51"/>
  <c r="P31" i="51"/>
  <c r="Z31" i="51" s="1"/>
  <c r="G31" i="51"/>
  <c r="T31" i="51" s="1"/>
  <c r="AE31" i="51" s="1"/>
  <c r="X30" i="51"/>
  <c r="P30" i="51"/>
  <c r="Z30" i="51" s="1"/>
  <c r="G30" i="51"/>
  <c r="T30" i="51" s="1"/>
  <c r="AE30" i="51" s="1"/>
  <c r="AA29" i="51"/>
  <c r="P29" i="51"/>
  <c r="Z29" i="51" s="1"/>
  <c r="G29" i="51"/>
  <c r="T29" i="51" s="1"/>
  <c r="AE29" i="51" s="1"/>
  <c r="X28" i="51"/>
  <c r="P28" i="51"/>
  <c r="Z28" i="51" s="1"/>
  <c r="G28" i="51"/>
  <c r="T28" i="51" s="1"/>
  <c r="AE28" i="51" s="1"/>
  <c r="AA27" i="51"/>
  <c r="P27" i="51"/>
  <c r="Z27" i="51" s="1"/>
  <c r="G27" i="51"/>
  <c r="T27" i="51" s="1"/>
  <c r="AE27" i="51" s="1"/>
  <c r="AB26" i="51"/>
  <c r="AA26" i="51"/>
  <c r="P26" i="51"/>
  <c r="Z26" i="51" s="1"/>
  <c r="G26" i="51"/>
  <c r="T26" i="51" s="1"/>
  <c r="AE26" i="51" s="1"/>
  <c r="P25" i="51"/>
  <c r="Z25" i="51" s="1"/>
  <c r="G25" i="51"/>
  <c r="T25" i="51" s="1"/>
  <c r="AE25" i="51" s="1"/>
  <c r="AB24" i="51"/>
  <c r="X24" i="51"/>
  <c r="P24" i="51"/>
  <c r="Z24" i="51" s="1"/>
  <c r="G24" i="51"/>
  <c r="T24" i="51" s="1"/>
  <c r="AE24" i="51" s="1"/>
  <c r="P23" i="51"/>
  <c r="Z23" i="51" s="1"/>
  <c r="G23" i="51"/>
  <c r="T23" i="51" s="1"/>
  <c r="AE23" i="51" s="1"/>
  <c r="AB22" i="51"/>
  <c r="X22" i="51"/>
  <c r="P22" i="51"/>
  <c r="Z22" i="51" s="1"/>
  <c r="G22" i="51"/>
  <c r="T22" i="51" s="1"/>
  <c r="AE22" i="51" s="1"/>
  <c r="P21" i="51"/>
  <c r="Y21" i="51" s="1"/>
  <c r="G21" i="51"/>
  <c r="T21" i="51" s="1"/>
  <c r="AE21" i="51" s="1"/>
  <c r="AA20" i="51"/>
  <c r="Y20" i="51"/>
  <c r="V20" i="51"/>
  <c r="P20" i="51"/>
  <c r="X20" i="51" s="1"/>
  <c r="G20" i="51"/>
  <c r="T20" i="51" s="1"/>
  <c r="AE20" i="51" s="1"/>
  <c r="AB19" i="51"/>
  <c r="AA19" i="51"/>
  <c r="Z19" i="51"/>
  <c r="Y19" i="51"/>
  <c r="U19" i="51"/>
  <c r="P19" i="51"/>
  <c r="W19" i="51" s="1"/>
  <c r="G19" i="51"/>
  <c r="T19" i="51" s="1"/>
  <c r="AE19" i="51" s="1"/>
  <c r="U18" i="51"/>
  <c r="P18" i="51"/>
  <c r="AB18" i="51" s="1"/>
  <c r="G18" i="51"/>
  <c r="T18" i="51" s="1"/>
  <c r="AE18" i="51" s="1"/>
  <c r="Z17" i="51"/>
  <c r="P17" i="51"/>
  <c r="U17" i="51" s="1"/>
  <c r="G17" i="51"/>
  <c r="T17" i="51" s="1"/>
  <c r="AE17" i="51" s="1"/>
  <c r="AB16" i="51"/>
  <c r="Z16" i="51"/>
  <c r="X16" i="51"/>
  <c r="P16" i="51"/>
  <c r="AA16" i="51" s="1"/>
  <c r="G16" i="51"/>
  <c r="T16" i="51" s="1"/>
  <c r="AE16" i="51" s="1"/>
  <c r="AA15" i="51"/>
  <c r="Z15" i="51"/>
  <c r="Y15" i="51"/>
  <c r="W15" i="51"/>
  <c r="V15" i="51"/>
  <c r="U15" i="51"/>
  <c r="T15" i="51"/>
  <c r="AE15" i="51" s="1"/>
  <c r="P15" i="51"/>
  <c r="AB15" i="51" s="1"/>
  <c r="G15" i="51"/>
  <c r="Z14" i="51"/>
  <c r="Y14" i="51"/>
  <c r="X14" i="51"/>
  <c r="V14" i="51"/>
  <c r="T14" i="51"/>
  <c r="AE14" i="51" s="1"/>
  <c r="P14" i="51"/>
  <c r="AB14" i="51" s="1"/>
  <c r="G14" i="51"/>
  <c r="W13" i="51"/>
  <c r="U13" i="51"/>
  <c r="P13" i="51"/>
  <c r="AB13" i="51" s="1"/>
  <c r="G13" i="51"/>
  <c r="T13" i="51" s="1"/>
  <c r="AE13" i="51" s="1"/>
  <c r="AA12" i="51"/>
  <c r="Z12" i="51"/>
  <c r="Y12" i="51"/>
  <c r="X12" i="51"/>
  <c r="W12" i="51"/>
  <c r="V12" i="51"/>
  <c r="T12" i="51"/>
  <c r="AE12" i="51" s="1"/>
  <c r="P12" i="51"/>
  <c r="AB12" i="51" s="1"/>
  <c r="G12" i="51"/>
  <c r="U11" i="51"/>
  <c r="P11" i="51"/>
  <c r="AB11" i="51" s="1"/>
  <c r="G11" i="51"/>
  <c r="T11" i="51" s="1"/>
  <c r="AE11" i="51" s="1"/>
  <c r="AG10" i="51"/>
  <c r="AA10" i="51"/>
  <c r="Z10" i="51"/>
  <c r="Y10" i="51"/>
  <c r="X10" i="51"/>
  <c r="W10" i="51"/>
  <c r="V10" i="51"/>
  <c r="U10" i="51"/>
  <c r="AF10" i="51" s="1"/>
  <c r="AN10" i="51" s="1"/>
  <c r="T10" i="51"/>
  <c r="AE10" i="51" s="1"/>
  <c r="P10" i="51"/>
  <c r="AB10" i="51" s="1"/>
  <c r="G10" i="51"/>
  <c r="T9" i="51"/>
  <c r="AE9" i="51" s="1"/>
  <c r="P9" i="51"/>
  <c r="AB9" i="51" s="1"/>
  <c r="G9" i="51"/>
  <c r="AA8" i="51"/>
  <c r="Y8" i="51"/>
  <c r="P8" i="51"/>
  <c r="AB8" i="51" s="1"/>
  <c r="G8" i="51"/>
  <c r="T8" i="51" s="1"/>
  <c r="AE8" i="51" s="1"/>
  <c r="E8" i="51"/>
  <c r="E14" i="51"/>
  <c r="AA7" i="51"/>
  <c r="Y7" i="51"/>
  <c r="P7" i="51"/>
  <c r="G7" i="51"/>
  <c r="T7" i="51" s="1"/>
  <c r="AE7" i="51" s="1"/>
  <c r="AE4" i="51"/>
  <c r="AB4" i="51"/>
  <c r="AM4" i="51" s="1"/>
  <c r="AA4" i="51"/>
  <c r="AL4" i="51" s="1"/>
  <c r="Z4" i="51"/>
  <c r="AK4" i="51" s="1"/>
  <c r="Y4" i="51"/>
  <c r="AJ4" i="51" s="1"/>
  <c r="X4" i="51"/>
  <c r="AI4" i="51" s="1"/>
  <c r="W4" i="51"/>
  <c r="AH4" i="51" s="1"/>
  <c r="V4" i="51"/>
  <c r="AG4" i="51" s="1"/>
  <c r="U4" i="51"/>
  <c r="AF4" i="51" s="1"/>
  <c r="T4" i="51"/>
  <c r="D2" i="51"/>
  <c r="H2" i="51" s="1"/>
  <c r="V18" i="51" l="1"/>
  <c r="X25" i="51"/>
  <c r="AB27" i="51"/>
  <c r="AG31" i="52"/>
  <c r="AJ8" i="52"/>
  <c r="AI11" i="52"/>
  <c r="AI19" i="52"/>
  <c r="AK8" i="52"/>
  <c r="AL8" i="52"/>
  <c r="AF21" i="52"/>
  <c r="AF11" i="51"/>
  <c r="AN11" i="51" s="1"/>
  <c r="W11" i="51"/>
  <c r="Y13" i="51"/>
  <c r="W18" i="51"/>
  <c r="U21" i="51"/>
  <c r="V9" i="51"/>
  <c r="X11" i="51"/>
  <c r="AI11" i="51" s="1"/>
  <c r="Z13" i="51"/>
  <c r="AA14" i="51"/>
  <c r="X18" i="51"/>
  <c r="AM18" i="51" s="1"/>
  <c r="W21" i="51"/>
  <c r="X23" i="51"/>
  <c r="AB25" i="51"/>
  <c r="AA30" i="51"/>
  <c r="AG20" i="52"/>
  <c r="AC8" i="52"/>
  <c r="AI9" i="52"/>
  <c r="AI32" i="52"/>
  <c r="AJ18" i="52"/>
  <c r="AG11" i="52"/>
  <c r="H83" i="51"/>
  <c r="AA25" i="51"/>
  <c r="U8" i="51"/>
  <c r="AF8" i="51" s="1"/>
  <c r="AN8" i="51" s="1"/>
  <c r="Y11" i="51"/>
  <c r="AJ11" i="51" s="1"/>
  <c r="Y18" i="51"/>
  <c r="AJ18" i="51" s="1"/>
  <c r="AA23" i="51"/>
  <c r="AB30" i="51"/>
  <c r="AL7" i="52"/>
  <c r="AL17" i="52"/>
  <c r="AG19" i="52"/>
  <c r="AF9" i="52"/>
  <c r="AN9" i="52" s="1"/>
  <c r="AF10" i="52"/>
  <c r="AN10" i="52" s="1"/>
  <c r="AG8" i="52"/>
  <c r="AM21" i="52"/>
  <c r="X13" i="51"/>
  <c r="U7" i="51"/>
  <c r="AF7" i="51" s="1"/>
  <c r="AN7" i="51" s="1"/>
  <c r="AA13" i="51"/>
  <c r="AF13" i="51" s="1"/>
  <c r="AN13" i="51" s="1"/>
  <c r="V17" i="51"/>
  <c r="X21" i="51"/>
  <c r="V7" i="51"/>
  <c r="X9" i="51"/>
  <c r="Z11" i="51"/>
  <c r="U16" i="51"/>
  <c r="AC16" i="51" s="1"/>
  <c r="W17" i="51"/>
  <c r="Z18" i="51"/>
  <c r="Z21" i="51"/>
  <c r="AB23" i="51"/>
  <c r="AA28" i="51"/>
  <c r="X33" i="51"/>
  <c r="AC21" i="52"/>
  <c r="AL9" i="52"/>
  <c r="AF11" i="52"/>
  <c r="AN11" i="52" s="1"/>
  <c r="AI10" i="52"/>
  <c r="W9" i="51"/>
  <c r="AH9" i="51" s="1"/>
  <c r="V8" i="51"/>
  <c r="AG8" i="51" s="1"/>
  <c r="W7" i="51"/>
  <c r="W8" i="51"/>
  <c r="Y9" i="51"/>
  <c r="AJ9" i="51" s="1"/>
  <c r="AA11" i="51"/>
  <c r="V16" i="51"/>
  <c r="AJ16" i="51" s="1"/>
  <c r="X17" i="51"/>
  <c r="AA18" i="51"/>
  <c r="AA21" i="51"/>
  <c r="X26" i="51"/>
  <c r="AB28" i="51"/>
  <c r="AA33" i="51"/>
  <c r="AH19" i="52"/>
  <c r="V11" i="51"/>
  <c r="AG11" i="51" s="1"/>
  <c r="U9" i="51"/>
  <c r="X7" i="51"/>
  <c r="X8" i="51"/>
  <c r="Z9" i="51"/>
  <c r="AM14" i="51"/>
  <c r="W16" i="51"/>
  <c r="Y17" i="51"/>
  <c r="AB21" i="51"/>
  <c r="AG21" i="52"/>
  <c r="AJ14" i="52"/>
  <c r="AL11" i="52"/>
  <c r="AK10" i="52"/>
  <c r="AF8" i="52"/>
  <c r="AN8" i="52" s="1"/>
  <c r="AI8" i="52"/>
  <c r="AA9" i="51"/>
  <c r="AM13" i="51"/>
  <c r="AH32" i="52"/>
  <c r="Z7" i="51"/>
  <c r="Z8" i="51"/>
  <c r="U14" i="51"/>
  <c r="AF14" i="51" s="1"/>
  <c r="AN14" i="51" s="1"/>
  <c r="Y16" i="51"/>
  <c r="Z20" i="51"/>
  <c r="AA24" i="51"/>
  <c r="X29" i="51"/>
  <c r="AB31" i="51"/>
  <c r="AH31" i="52"/>
  <c r="AG23" i="52"/>
  <c r="AJ12" i="52"/>
  <c r="AI7" i="52"/>
  <c r="AL22" i="52"/>
  <c r="AJ21" i="52"/>
  <c r="AM11" i="51"/>
  <c r="AJ32" i="52"/>
  <c r="AH10" i="52"/>
  <c r="AM10" i="51"/>
  <c r="U12" i="51"/>
  <c r="AF12" i="51" s="1"/>
  <c r="AN12" i="51" s="1"/>
  <c r="V13" i="51"/>
  <c r="W14" i="51"/>
  <c r="AH14" i="51" s="1"/>
  <c r="X15" i="51"/>
  <c r="AJ15" i="51" s="1"/>
  <c r="X19" i="51"/>
  <c r="AB20" i="51"/>
  <c r="AA22" i="51"/>
  <c r="X27" i="51"/>
  <c r="AB29" i="51"/>
  <c r="AC10" i="52"/>
  <c r="AJ10" i="52"/>
  <c r="AC17" i="52"/>
  <c r="AL32" i="52"/>
  <c r="AI18" i="52"/>
  <c r="AG9" i="52"/>
  <c r="AF7" i="52"/>
  <c r="AN7" i="52" s="1"/>
  <c r="AG30" i="52"/>
  <c r="AH17" i="52"/>
  <c r="AM27" i="52"/>
  <c r="AH16" i="52"/>
  <c r="AJ31" i="52"/>
  <c r="AH22" i="52"/>
  <c r="AM15" i="52"/>
  <c r="AI23" i="52"/>
  <c r="AK23" i="52"/>
  <c r="AH24" i="52"/>
  <c r="AH7" i="52"/>
  <c r="AH33" i="52"/>
  <c r="AH20" i="52"/>
  <c r="AK14" i="52"/>
  <c r="AK26" i="52"/>
  <c r="AJ27" i="52"/>
  <c r="AG7" i="52"/>
  <c r="AF30" i="52"/>
  <c r="AN30" i="52" s="1"/>
  <c r="AI13" i="52"/>
  <c r="AJ26" i="52"/>
  <c r="AF32" i="52"/>
  <c r="AN32" i="52" s="1"/>
  <c r="AF24" i="52"/>
  <c r="AN24" i="52" s="1"/>
  <c r="AF28" i="52"/>
  <c r="AN28" i="52" s="1"/>
  <c r="AI24" i="52"/>
  <c r="AM7" i="52"/>
  <c r="AM30" i="52"/>
  <c r="AI16" i="52"/>
  <c r="AI25" i="52"/>
  <c r="AM25" i="52"/>
  <c r="AI28" i="52"/>
  <c r="AH29" i="52"/>
  <c r="AG22" i="52"/>
  <c r="AL16" i="52"/>
  <c r="AM23" i="52"/>
  <c r="AN19" i="52"/>
  <c r="AM33" i="52"/>
  <c r="AM22" i="52"/>
  <c r="AK7" i="52"/>
  <c r="AI17" i="52"/>
  <c r="AM28" i="52"/>
  <c r="C75" i="52"/>
  <c r="C74" i="52"/>
  <c r="C73" i="52"/>
  <c r="C72" i="52"/>
  <c r="D86" i="52" s="1"/>
  <c r="C71" i="52"/>
  <c r="C69" i="52"/>
  <c r="C70" i="52"/>
  <c r="AH28" i="52"/>
  <c r="AG33" i="52"/>
  <c r="AI22" i="52"/>
  <c r="AM16" i="52"/>
  <c r="AF14" i="52"/>
  <c r="AG15" i="52"/>
  <c r="AJ33" i="52"/>
  <c r="AF15" i="52"/>
  <c r="AJ25" i="52"/>
  <c r="AC15" i="52"/>
  <c r="AJ20" i="52"/>
  <c r="AF29" i="52"/>
  <c r="AN29" i="52" s="1"/>
  <c r="AH25" i="52"/>
  <c r="AH13" i="52"/>
  <c r="AL13" i="52"/>
  <c r="AI12" i="52"/>
  <c r="AH18" i="52"/>
  <c r="AL18" i="52"/>
  <c r="AK24" i="52"/>
  <c r="AI31" i="52"/>
  <c r="AK13" i="52"/>
  <c r="AM13" i="52"/>
  <c r="AK31" i="52"/>
  <c r="AJ22" i="52"/>
  <c r="AL14" i="52"/>
  <c r="AC14" i="52"/>
  <c r="AG29" i="52"/>
  <c r="AL12" i="52"/>
  <c r="AH12" i="52"/>
  <c r="AG17" i="52"/>
  <c r="AM32" i="52"/>
  <c r="AJ24" i="52"/>
  <c r="AK33" i="52"/>
  <c r="AK28" i="52"/>
  <c r="AF25" i="52"/>
  <c r="AN25" i="52" s="1"/>
  <c r="AG13" i="52"/>
  <c r="AF22" i="52"/>
  <c r="AN22" i="52" s="1"/>
  <c r="AI29" i="52"/>
  <c r="AH23" i="52"/>
  <c r="AG28" i="52"/>
  <c r="AJ7" i="52"/>
  <c r="AF16" i="52"/>
  <c r="AC16" i="52"/>
  <c r="AK32" i="52"/>
  <c r="AF12" i="52"/>
  <c r="AN12" i="52" s="1"/>
  <c r="AK30" i="52"/>
  <c r="AM17" i="52"/>
  <c r="AF33" i="52"/>
  <c r="AN33" i="52" s="1"/>
  <c r="AF13" i="52"/>
  <c r="AN13" i="52" s="1"/>
  <c r="AF20" i="52"/>
  <c r="AC20" i="52"/>
  <c r="AK29" i="52"/>
  <c r="AJ16" i="52"/>
  <c r="AJ29" i="52"/>
  <c r="AG25" i="52"/>
  <c r="AI15" i="52"/>
  <c r="AJ28" i="52"/>
  <c r="AF23" i="52"/>
  <c r="AN23" i="52" s="1"/>
  <c r="AI26" i="52"/>
  <c r="AM20" i="52"/>
  <c r="AI20" i="52"/>
  <c r="AF17" i="52"/>
  <c r="AK25" i="52"/>
  <c r="AI33" i="52"/>
  <c r="AF31" i="52"/>
  <c r="AN31" i="52" s="1"/>
  <c r="AM14" i="52"/>
  <c r="AM29" i="52"/>
  <c r="AH15" i="52"/>
  <c r="AG24" i="52"/>
  <c r="AC18" i="52"/>
  <c r="AJ15" i="52"/>
  <c r="AH14" i="52"/>
  <c r="AI14" i="52"/>
  <c r="AM26" i="52"/>
  <c r="AL20" i="52"/>
  <c r="AM24" i="52"/>
  <c r="AG16" i="52"/>
  <c r="AJ30" i="52"/>
  <c r="AM12" i="52"/>
  <c r="AF18" i="52"/>
  <c r="AK22" i="52"/>
  <c r="AM31" i="52"/>
  <c r="AJ23" i="52"/>
  <c r="AF15" i="51"/>
  <c r="AG16" i="51"/>
  <c r="AM8" i="51"/>
  <c r="AM9" i="51"/>
  <c r="E79" i="51"/>
  <c r="E15" i="51"/>
  <c r="E78" i="51"/>
  <c r="AM15" i="51"/>
  <c r="AM30" i="51"/>
  <c r="AH8" i="51"/>
  <c r="AH10" i="51"/>
  <c r="AH11" i="51"/>
  <c r="AH15" i="51"/>
  <c r="AL18" i="51"/>
  <c r="AB33" i="51"/>
  <c r="AI8" i="51"/>
  <c r="AI10" i="51"/>
  <c r="AI14" i="51"/>
  <c r="E22" i="51"/>
  <c r="E23" i="51"/>
  <c r="D95" i="51" s="1"/>
  <c r="E24" i="51"/>
  <c r="E25" i="51"/>
  <c r="E26" i="51"/>
  <c r="E27" i="51"/>
  <c r="E28" i="51"/>
  <c r="E29" i="51"/>
  <c r="E30" i="51"/>
  <c r="D96" i="51" s="1"/>
  <c r="E32" i="51"/>
  <c r="E33" i="51"/>
  <c r="B81" i="51"/>
  <c r="AJ13" i="51"/>
  <c r="AJ14" i="51"/>
  <c r="E21" i="51"/>
  <c r="E81" i="51"/>
  <c r="AK8" i="51"/>
  <c r="AK14" i="51"/>
  <c r="AM16" i="51"/>
  <c r="E20" i="51"/>
  <c r="H81" i="51"/>
  <c r="AJ8" i="51"/>
  <c r="AL8" i="51"/>
  <c r="AL9" i="51"/>
  <c r="AL10" i="51"/>
  <c r="AL11" i="51"/>
  <c r="AL13" i="51"/>
  <c r="AL14" i="51"/>
  <c r="AA17" i="51"/>
  <c r="E19" i="51"/>
  <c r="B82" i="51"/>
  <c r="AB17" i="51"/>
  <c r="E18" i="51"/>
  <c r="U22" i="51"/>
  <c r="AL22" i="51" s="1"/>
  <c r="U23" i="51"/>
  <c r="AL23" i="51" s="1"/>
  <c r="U24" i="51"/>
  <c r="AM24" i="51" s="1"/>
  <c r="U25" i="51"/>
  <c r="AI25" i="51" s="1"/>
  <c r="U26" i="51"/>
  <c r="AM26" i="51" s="1"/>
  <c r="U27" i="51"/>
  <c r="AL27" i="51" s="1"/>
  <c r="U28" i="51"/>
  <c r="U29" i="51"/>
  <c r="AM29" i="51" s="1"/>
  <c r="U30" i="51"/>
  <c r="AI30" i="51" s="1"/>
  <c r="U31" i="51"/>
  <c r="U32" i="51"/>
  <c r="AM32" i="51" s="1"/>
  <c r="U33" i="51"/>
  <c r="AK33" i="51" s="1"/>
  <c r="E82" i="51"/>
  <c r="E17" i="51"/>
  <c r="V22" i="51"/>
  <c r="V23" i="51"/>
  <c r="AG23" i="51" s="1"/>
  <c r="V24" i="51"/>
  <c r="V25" i="51"/>
  <c r="AG25" i="51" s="1"/>
  <c r="V26" i="51"/>
  <c r="V27" i="51"/>
  <c r="V28" i="51"/>
  <c r="V29" i="51"/>
  <c r="V30" i="51"/>
  <c r="V31" i="51"/>
  <c r="V32" i="51"/>
  <c r="AG32" i="51" s="1"/>
  <c r="V33" i="51"/>
  <c r="H82" i="51"/>
  <c r="AI7" i="51"/>
  <c r="AK9" i="51"/>
  <c r="AB7" i="51"/>
  <c r="E16" i="51"/>
  <c r="U20" i="51"/>
  <c r="V21" i="51"/>
  <c r="AH21" i="51" s="1"/>
  <c r="W22" i="51"/>
  <c r="AH22" i="51" s="1"/>
  <c r="W23" i="51"/>
  <c r="AH23" i="51" s="1"/>
  <c r="W24" i="51"/>
  <c r="AH24" i="51" s="1"/>
  <c r="W25" i="51"/>
  <c r="AH25" i="51" s="1"/>
  <c r="W26" i="51"/>
  <c r="AH26" i="51" s="1"/>
  <c r="W27" i="51"/>
  <c r="AH27" i="51" s="1"/>
  <c r="W28" i="51"/>
  <c r="AH28" i="51" s="1"/>
  <c r="W29" i="51"/>
  <c r="AH29" i="51" s="1"/>
  <c r="W30" i="51"/>
  <c r="AH30" i="51" s="1"/>
  <c r="W31" i="51"/>
  <c r="AH31" i="51" s="1"/>
  <c r="W32" i="51"/>
  <c r="AH32" i="51" s="1"/>
  <c r="W33" i="51"/>
  <c r="AH33" i="51" s="1"/>
  <c r="B83" i="51"/>
  <c r="AC9" i="51"/>
  <c r="AC11" i="51"/>
  <c r="E13" i="51"/>
  <c r="AC14" i="51"/>
  <c r="E77" i="51"/>
  <c r="E83" i="51"/>
  <c r="AJ10" i="51"/>
  <c r="AK11" i="51"/>
  <c r="E9" i="51"/>
  <c r="AC10" i="51"/>
  <c r="E12" i="51"/>
  <c r="AH18" i="51"/>
  <c r="V19" i="51"/>
  <c r="AF19" i="51" s="1"/>
  <c r="W20" i="51"/>
  <c r="AH20" i="51" s="1"/>
  <c r="Y22" i="51"/>
  <c r="AJ22" i="51" s="1"/>
  <c r="Y23" i="51"/>
  <c r="Y24" i="51"/>
  <c r="Y25" i="51"/>
  <c r="Y26" i="51"/>
  <c r="Y27" i="51"/>
  <c r="Y28" i="51"/>
  <c r="Y29" i="51"/>
  <c r="Y30" i="51"/>
  <c r="Y31" i="51"/>
  <c r="Y32" i="51"/>
  <c r="AJ32" i="51" s="1"/>
  <c r="Y33" i="51"/>
  <c r="AJ33" i="51" s="1"/>
  <c r="AI9" i="51"/>
  <c r="AK10" i="51"/>
  <c r="AC8" i="51"/>
  <c r="E10" i="51"/>
  <c r="E11" i="51"/>
  <c r="AC13" i="51"/>
  <c r="C99" i="49"/>
  <c r="C98" i="49"/>
  <c r="B79" i="49"/>
  <c r="B78" i="49"/>
  <c r="B77" i="49"/>
  <c r="P33" i="49"/>
  <c r="Z33" i="49" s="1"/>
  <c r="G33" i="49"/>
  <c r="R33" i="49" s="1"/>
  <c r="AC33" i="49" s="1"/>
  <c r="D33" i="49"/>
  <c r="R32" i="49"/>
  <c r="AC32" i="49" s="1"/>
  <c r="P32" i="49"/>
  <c r="Z32" i="49" s="1"/>
  <c r="G32" i="49"/>
  <c r="D32" i="49"/>
  <c r="P31" i="49"/>
  <c r="Z31" i="49" s="1"/>
  <c r="G31" i="49"/>
  <c r="R31" i="49" s="1"/>
  <c r="AC31" i="49" s="1"/>
  <c r="D31" i="49"/>
  <c r="P30" i="49"/>
  <c r="Z30" i="49" s="1"/>
  <c r="G30" i="49"/>
  <c r="R30" i="49" s="1"/>
  <c r="AC30" i="49" s="1"/>
  <c r="D30" i="49"/>
  <c r="R29" i="49"/>
  <c r="AC29" i="49" s="1"/>
  <c r="P29" i="49"/>
  <c r="G29" i="49"/>
  <c r="D29" i="49"/>
  <c r="P28" i="49"/>
  <c r="G28" i="49"/>
  <c r="R28" i="49" s="1"/>
  <c r="AC28" i="49" s="1"/>
  <c r="D28" i="49"/>
  <c r="P27" i="49"/>
  <c r="G27" i="49"/>
  <c r="R27" i="49" s="1"/>
  <c r="AC27" i="49" s="1"/>
  <c r="D27" i="49"/>
  <c r="R26" i="49"/>
  <c r="AC26" i="49" s="1"/>
  <c r="P26" i="49"/>
  <c r="G26" i="49"/>
  <c r="D26" i="49"/>
  <c r="P25" i="49"/>
  <c r="G25" i="49"/>
  <c r="R25" i="49" s="1"/>
  <c r="AC25" i="49" s="1"/>
  <c r="D25" i="49"/>
  <c r="P24" i="49"/>
  <c r="G24" i="49"/>
  <c r="R24" i="49" s="1"/>
  <c r="AC24" i="49" s="1"/>
  <c r="D24" i="49"/>
  <c r="R23" i="49"/>
  <c r="AC23" i="49" s="1"/>
  <c r="P23" i="49"/>
  <c r="G23" i="49"/>
  <c r="D23" i="49"/>
  <c r="P22" i="49"/>
  <c r="G22" i="49"/>
  <c r="R22" i="49" s="1"/>
  <c r="AC22" i="49" s="1"/>
  <c r="D22" i="49"/>
  <c r="P21" i="49"/>
  <c r="Z21" i="49" s="1"/>
  <c r="G21" i="49"/>
  <c r="R21" i="49" s="1"/>
  <c r="AC21" i="49" s="1"/>
  <c r="D21" i="49"/>
  <c r="P20" i="49"/>
  <c r="Z20" i="49" s="1"/>
  <c r="G20" i="49"/>
  <c r="R20" i="49" s="1"/>
  <c r="AC20" i="49" s="1"/>
  <c r="D20" i="49"/>
  <c r="Y19" i="49"/>
  <c r="X19" i="49"/>
  <c r="W19" i="49"/>
  <c r="V19" i="49"/>
  <c r="T19" i="49"/>
  <c r="P19" i="49"/>
  <c r="U19" i="49" s="1"/>
  <c r="G19" i="49"/>
  <c r="R19" i="49" s="1"/>
  <c r="AC19" i="49" s="1"/>
  <c r="D19" i="49"/>
  <c r="W18" i="49"/>
  <c r="P18" i="49"/>
  <c r="T18" i="49" s="1"/>
  <c r="G18" i="49"/>
  <c r="R18" i="49" s="1"/>
  <c r="AC18" i="49" s="1"/>
  <c r="D18" i="49"/>
  <c r="P17" i="49"/>
  <c r="S17" i="49" s="1"/>
  <c r="G17" i="49"/>
  <c r="R17" i="49" s="1"/>
  <c r="AC17" i="49" s="1"/>
  <c r="D17" i="49"/>
  <c r="P16" i="49"/>
  <c r="Y16" i="49" s="1"/>
  <c r="G16" i="49"/>
  <c r="R16" i="49" s="1"/>
  <c r="AC16" i="49" s="1"/>
  <c r="D16" i="49"/>
  <c r="P15" i="49"/>
  <c r="Y15" i="49" s="1"/>
  <c r="G15" i="49"/>
  <c r="R15" i="49" s="1"/>
  <c r="AC15" i="49" s="1"/>
  <c r="D15" i="49"/>
  <c r="U14" i="49"/>
  <c r="P14" i="49"/>
  <c r="Y14" i="49" s="1"/>
  <c r="G14" i="49"/>
  <c r="R14" i="49" s="1"/>
  <c r="AC14" i="49" s="1"/>
  <c r="D14" i="49"/>
  <c r="R13" i="49"/>
  <c r="AC13" i="49" s="1"/>
  <c r="P13" i="49"/>
  <c r="Y13" i="49" s="1"/>
  <c r="G13" i="49"/>
  <c r="D13" i="49"/>
  <c r="R12" i="49"/>
  <c r="AC12" i="49" s="1"/>
  <c r="P12" i="49"/>
  <c r="Y12" i="49" s="1"/>
  <c r="G12" i="49"/>
  <c r="D12" i="49"/>
  <c r="Z11" i="49"/>
  <c r="X11" i="49"/>
  <c r="W11" i="49"/>
  <c r="V11" i="49"/>
  <c r="AG11" i="49" s="1"/>
  <c r="U11" i="49"/>
  <c r="AF11" i="49" s="1"/>
  <c r="T11" i="49"/>
  <c r="AE11" i="49" s="1"/>
  <c r="S11" i="49"/>
  <c r="P11" i="49"/>
  <c r="Y11" i="49" s="1"/>
  <c r="G11" i="49"/>
  <c r="R11" i="49" s="1"/>
  <c r="AC11" i="49" s="1"/>
  <c r="D11" i="49"/>
  <c r="Z10" i="49"/>
  <c r="AK10" i="49" s="1"/>
  <c r="X10" i="49"/>
  <c r="W10" i="49"/>
  <c r="V10" i="49"/>
  <c r="U10" i="49"/>
  <c r="T10" i="49"/>
  <c r="S10" i="49"/>
  <c r="P10" i="49"/>
  <c r="Y10" i="49" s="1"/>
  <c r="G10" i="49"/>
  <c r="R10" i="49" s="1"/>
  <c r="AC10" i="49" s="1"/>
  <c r="D10" i="49"/>
  <c r="Z9" i="49"/>
  <c r="X9" i="49"/>
  <c r="W9" i="49"/>
  <c r="V9" i="49"/>
  <c r="AG9" i="49" s="1"/>
  <c r="U9" i="49"/>
  <c r="AF9" i="49" s="1"/>
  <c r="S9" i="49"/>
  <c r="P9" i="49"/>
  <c r="Y9" i="49" s="1"/>
  <c r="G9" i="49"/>
  <c r="R9" i="49" s="1"/>
  <c r="AC9" i="49" s="1"/>
  <c r="D9" i="49"/>
  <c r="AK8" i="49"/>
  <c r="Z8" i="49"/>
  <c r="X8" i="49"/>
  <c r="AI8" i="49" s="1"/>
  <c r="W8" i="49"/>
  <c r="AH8" i="49" s="1"/>
  <c r="V8" i="49"/>
  <c r="AG8" i="49" s="1"/>
  <c r="U8" i="49"/>
  <c r="AF8" i="49" s="1"/>
  <c r="S8" i="49"/>
  <c r="P8" i="49"/>
  <c r="Y8" i="49" s="1"/>
  <c r="G8" i="49"/>
  <c r="R8" i="49" s="1"/>
  <c r="AC8" i="49" s="1"/>
  <c r="D8" i="49"/>
  <c r="Z7" i="49"/>
  <c r="X7" i="49"/>
  <c r="W7" i="49"/>
  <c r="V7" i="49"/>
  <c r="U7" i="49"/>
  <c r="T7" i="49"/>
  <c r="R7" i="49"/>
  <c r="AC7" i="49" s="1"/>
  <c r="P7" i="49"/>
  <c r="S7" i="49" s="1"/>
  <c r="G7" i="49"/>
  <c r="D7" i="49"/>
  <c r="AI4" i="49"/>
  <c r="AG4" i="49"/>
  <c r="AF4" i="49"/>
  <c r="AE4" i="49"/>
  <c r="Z4" i="49"/>
  <c r="AK4" i="49" s="1"/>
  <c r="Y4" i="49"/>
  <c r="AJ4" i="49" s="1"/>
  <c r="X4" i="49"/>
  <c r="W4" i="49"/>
  <c r="AH4" i="49" s="1"/>
  <c r="V4" i="49"/>
  <c r="U4" i="49"/>
  <c r="T4" i="49"/>
  <c r="S4" i="49"/>
  <c r="AD4" i="49" s="1"/>
  <c r="R4" i="49"/>
  <c r="AC4" i="49" s="1"/>
  <c r="B4" i="49"/>
  <c r="D2" i="49"/>
  <c r="H2" i="49" s="1"/>
  <c r="AF10" i="49" l="1"/>
  <c r="S12" i="49"/>
  <c r="AJ12" i="49" s="1"/>
  <c r="S13" i="49"/>
  <c r="S16" i="49"/>
  <c r="AH7" i="51"/>
  <c r="AL15" i="51"/>
  <c r="AI16" i="51"/>
  <c r="AG13" i="51"/>
  <c r="T13" i="49"/>
  <c r="AE13" i="49" s="1"/>
  <c r="AI18" i="51"/>
  <c r="AN18" i="51" s="1"/>
  <c r="AH10" i="49"/>
  <c r="U12" i="49"/>
  <c r="AF12" i="49" s="1"/>
  <c r="U13" i="49"/>
  <c r="AF13" i="49" s="1"/>
  <c r="S14" i="49"/>
  <c r="AJ14" i="49" s="1"/>
  <c r="T15" i="49"/>
  <c r="AG15" i="49" s="1"/>
  <c r="U16" i="49"/>
  <c r="U18" i="49"/>
  <c r="AC15" i="51"/>
  <c r="AG33" i="51"/>
  <c r="AL12" i="51"/>
  <c r="AK13" i="51"/>
  <c r="AI15" i="51"/>
  <c r="AN15" i="51" s="1"/>
  <c r="AG15" i="51"/>
  <c r="AF9" i="51"/>
  <c r="AN9" i="51" s="1"/>
  <c r="T12" i="49"/>
  <c r="AI10" i="49"/>
  <c r="V12" i="49"/>
  <c r="AG12" i="49" s="1"/>
  <c r="V13" i="49"/>
  <c r="AG13" i="49" s="1"/>
  <c r="T14" i="49"/>
  <c r="U15" i="49"/>
  <c r="V16" i="49"/>
  <c r="V18" i="49"/>
  <c r="AC12" i="51"/>
  <c r="AC7" i="51"/>
  <c r="AJ7" i="51"/>
  <c r="AK12" i="51"/>
  <c r="AH13" i="51"/>
  <c r="AN18" i="52"/>
  <c r="W16" i="49"/>
  <c r="AJ13" i="49"/>
  <c r="T16" i="49"/>
  <c r="X12" i="49"/>
  <c r="AI33" i="51"/>
  <c r="AI12" i="51"/>
  <c r="AG9" i="51"/>
  <c r="W12" i="49"/>
  <c r="AH12" i="49" s="1"/>
  <c r="AI13" i="51"/>
  <c r="X13" i="49"/>
  <c r="AI13" i="49" s="1"/>
  <c r="X16" i="49"/>
  <c r="AC18" i="51"/>
  <c r="AJ8" i="49"/>
  <c r="AJ9" i="49"/>
  <c r="Z12" i="49"/>
  <c r="Z13" i="49"/>
  <c r="W14" i="49"/>
  <c r="X15" i="49"/>
  <c r="Z18" i="49"/>
  <c r="AJ20" i="51"/>
  <c r="AG18" i="51"/>
  <c r="AN21" i="52"/>
  <c r="V14" i="49"/>
  <c r="AG14" i="49" s="1"/>
  <c r="X14" i="49"/>
  <c r="Z15" i="49"/>
  <c r="AJ25" i="51"/>
  <c r="AM31" i="51"/>
  <c r="AM17" i="51"/>
  <c r="AL7" i="51"/>
  <c r="AM12" i="51"/>
  <c r="AG7" i="51"/>
  <c r="AE10" i="49"/>
  <c r="S15" i="49"/>
  <c r="V15" i="49"/>
  <c r="AF16" i="51"/>
  <c r="X18" i="49"/>
  <c r="AJ10" i="49"/>
  <c r="AJ11" i="49"/>
  <c r="Z14" i="49"/>
  <c r="AK7" i="51"/>
  <c r="AG27" i="51"/>
  <c r="AJ12" i="51"/>
  <c r="AL16" i="51"/>
  <c r="AI32" i="51"/>
  <c r="AG10" i="49"/>
  <c r="W13" i="49"/>
  <c r="AH12" i="51"/>
  <c r="W15" i="49"/>
  <c r="T8" i="49"/>
  <c r="AE8" i="49" s="1"/>
  <c r="T9" i="49"/>
  <c r="AE9" i="49" s="1"/>
  <c r="AJ23" i="51"/>
  <c r="AM7" i="51"/>
  <c r="AH16" i="51"/>
  <c r="AN16" i="51" s="1"/>
  <c r="AI24" i="51"/>
  <c r="AF18" i="51"/>
  <c r="AG14" i="51"/>
  <c r="AL20" i="51"/>
  <c r="AG12" i="51"/>
  <c r="E79" i="49"/>
  <c r="AN16" i="52"/>
  <c r="AN17" i="52"/>
  <c r="AN20" i="52"/>
  <c r="D85" i="52"/>
  <c r="D94" i="52"/>
  <c r="D92" i="52"/>
  <c r="D90" i="52"/>
  <c r="AN15" i="52"/>
  <c r="D87" i="52"/>
  <c r="D88" i="52" s="1"/>
  <c r="D91" i="52"/>
  <c r="D89" i="52"/>
  <c r="AN14" i="52"/>
  <c r="AK23" i="51"/>
  <c r="AL21" i="51"/>
  <c r="AL24" i="51"/>
  <c r="AI20" i="51"/>
  <c r="AG29" i="51"/>
  <c r="AG20" i="51"/>
  <c r="AI29" i="51"/>
  <c r="AG28" i="51"/>
  <c r="AJ29" i="51"/>
  <c r="AJ24" i="51"/>
  <c r="AK29" i="51"/>
  <c r="AG24" i="51"/>
  <c r="AG17" i="51"/>
  <c r="AM33" i="51"/>
  <c r="AK32" i="51"/>
  <c r="AK25" i="51"/>
  <c r="AG22" i="51"/>
  <c r="AF28" i="51"/>
  <c r="AN28" i="51" s="1"/>
  <c r="AC28" i="51"/>
  <c r="AC19" i="51"/>
  <c r="AC17" i="51"/>
  <c r="AL25" i="51"/>
  <c r="AL30" i="51"/>
  <c r="AF27" i="51"/>
  <c r="AN27" i="51" s="1"/>
  <c r="AC27" i="51"/>
  <c r="C75" i="51"/>
  <c r="C74" i="51"/>
  <c r="C73" i="51"/>
  <c r="C72" i="51"/>
  <c r="D86" i="51" s="1"/>
  <c r="C71" i="51"/>
  <c r="C70" i="51"/>
  <c r="C69" i="51"/>
  <c r="AI28" i="51"/>
  <c r="AF17" i="51"/>
  <c r="AK27" i="51"/>
  <c r="AL28" i="51"/>
  <c r="AL26" i="51"/>
  <c r="AJ30" i="51"/>
  <c r="AF24" i="51"/>
  <c r="AN24" i="51" s="1"/>
  <c r="AC24" i="51"/>
  <c r="AK30" i="51"/>
  <c r="AI27" i="51"/>
  <c r="AI21" i="51"/>
  <c r="AF25" i="51"/>
  <c r="AN25" i="51" s="1"/>
  <c r="AC25" i="51"/>
  <c r="AF23" i="51"/>
  <c r="AN23" i="51" s="1"/>
  <c r="AC23" i="51"/>
  <c r="AK28" i="51"/>
  <c r="AJ21" i="51"/>
  <c r="AM27" i="51"/>
  <c r="AI23" i="51"/>
  <c r="AF26" i="51"/>
  <c r="AN26" i="51" s="1"/>
  <c r="AC26" i="51"/>
  <c r="AI19" i="51"/>
  <c r="AJ28" i="51"/>
  <c r="AG31" i="51"/>
  <c r="AF22" i="51"/>
  <c r="AN22" i="51" s="1"/>
  <c r="AC22" i="51"/>
  <c r="AK26" i="51"/>
  <c r="AM25" i="51"/>
  <c r="AG19" i="51"/>
  <c r="AL19" i="51"/>
  <c r="AM19" i="51"/>
  <c r="AL17" i="51"/>
  <c r="AJ31" i="51"/>
  <c r="AJ27" i="51"/>
  <c r="AG21" i="51"/>
  <c r="AC21" i="51"/>
  <c r="AG30" i="51"/>
  <c r="AF33" i="51"/>
  <c r="AN33" i="51" s="1"/>
  <c r="AC33" i="51"/>
  <c r="AK24" i="51"/>
  <c r="AH19" i="51"/>
  <c r="AM23" i="51"/>
  <c r="AM22" i="51"/>
  <c r="AF21" i="51"/>
  <c r="AJ26" i="51"/>
  <c r="AF20" i="51"/>
  <c r="AC20" i="51"/>
  <c r="AM20" i="51"/>
  <c r="AF32" i="51"/>
  <c r="AN32" i="51" s="1"/>
  <c r="AC32" i="51"/>
  <c r="AK22" i="51"/>
  <c r="AL33" i="51"/>
  <c r="AM21" i="51"/>
  <c r="AH17" i="51"/>
  <c r="AF31" i="51"/>
  <c r="AN31" i="51" s="1"/>
  <c r="AC31" i="51"/>
  <c r="AJ19" i="51"/>
  <c r="AF30" i="51"/>
  <c r="AN30" i="51" s="1"/>
  <c r="AC30" i="51"/>
  <c r="AI17" i="51"/>
  <c r="AL31" i="51"/>
  <c r="AM28" i="51"/>
  <c r="AI26" i="51"/>
  <c r="AG26" i="51"/>
  <c r="AF29" i="51"/>
  <c r="AN29" i="51" s="1"/>
  <c r="AC29" i="51"/>
  <c r="AJ17" i="51"/>
  <c r="AI31" i="51"/>
  <c r="AL29" i="51"/>
  <c r="AK31" i="51"/>
  <c r="AL32" i="51"/>
  <c r="AI22" i="51"/>
  <c r="W17" i="49"/>
  <c r="Y18" i="49"/>
  <c r="AJ18" i="49" s="1"/>
  <c r="Z19" i="49"/>
  <c r="H83" i="49"/>
  <c r="X17" i="49"/>
  <c r="Y17" i="49"/>
  <c r="Z17" i="49"/>
  <c r="S19" i="49"/>
  <c r="AG19" i="49" s="1"/>
  <c r="U17" i="49"/>
  <c r="AF17" i="49" s="1"/>
  <c r="E83" i="49"/>
  <c r="T17" i="49"/>
  <c r="V17" i="49"/>
  <c r="E78" i="49"/>
  <c r="AH9" i="49"/>
  <c r="AH11" i="49"/>
  <c r="AI11" i="49"/>
  <c r="AK9" i="49"/>
  <c r="AK11" i="49"/>
  <c r="AK13" i="49"/>
  <c r="AE14" i="49"/>
  <c r="AE15" i="49"/>
  <c r="Z28" i="49"/>
  <c r="AK28" i="49" s="1"/>
  <c r="Y28" i="49"/>
  <c r="X28" i="49"/>
  <c r="W28" i="49"/>
  <c r="AH28" i="49" s="1"/>
  <c r="V28" i="49"/>
  <c r="U28" i="49"/>
  <c r="T28" i="49"/>
  <c r="S28" i="49"/>
  <c r="Z23" i="49"/>
  <c r="Y23" i="49"/>
  <c r="X23" i="49"/>
  <c r="W23" i="49"/>
  <c r="V23" i="49"/>
  <c r="U23" i="49"/>
  <c r="T23" i="49"/>
  <c r="S23" i="49"/>
  <c r="E14" i="49"/>
  <c r="E8" i="49"/>
  <c r="Z26" i="49"/>
  <c r="Y26" i="49"/>
  <c r="X26" i="49"/>
  <c r="W26" i="49"/>
  <c r="V26" i="49"/>
  <c r="U26" i="49"/>
  <c r="T26" i="49"/>
  <c r="S26" i="49"/>
  <c r="E19" i="49"/>
  <c r="AD8" i="49"/>
  <c r="AL8" i="49" s="1"/>
  <c r="AA8" i="49"/>
  <c r="AD10" i="49"/>
  <c r="AL10" i="49" s="1"/>
  <c r="AA10" i="49"/>
  <c r="AD12" i="49"/>
  <c r="AL12" i="49" s="1"/>
  <c r="AA12" i="49"/>
  <c r="AD14" i="49"/>
  <c r="AF15" i="49"/>
  <c r="Z24" i="49"/>
  <c r="Y24" i="49"/>
  <c r="X24" i="49"/>
  <c r="W24" i="49"/>
  <c r="V24" i="49"/>
  <c r="U24" i="49"/>
  <c r="T24" i="49"/>
  <c r="S24" i="49"/>
  <c r="Z29" i="49"/>
  <c r="AK29" i="49" s="1"/>
  <c r="Y29" i="49"/>
  <c r="X29" i="49"/>
  <c r="W29" i="49"/>
  <c r="V29" i="49"/>
  <c r="U29" i="49"/>
  <c r="T29" i="49"/>
  <c r="S29" i="49"/>
  <c r="Z22" i="49"/>
  <c r="Y22" i="49"/>
  <c r="AJ22" i="49" s="1"/>
  <c r="X22" i="49"/>
  <c r="W22" i="49"/>
  <c r="V22" i="49"/>
  <c r="U22" i="49"/>
  <c r="T22" i="49"/>
  <c r="S22" i="49"/>
  <c r="Z27" i="49"/>
  <c r="Y27" i="49"/>
  <c r="X27" i="49"/>
  <c r="W27" i="49"/>
  <c r="V27" i="49"/>
  <c r="U27" i="49"/>
  <c r="T27" i="49"/>
  <c r="S27" i="49"/>
  <c r="AH13" i="49"/>
  <c r="AI9" i="49"/>
  <c r="E20" i="49"/>
  <c r="AA7" i="49"/>
  <c r="AD9" i="49"/>
  <c r="AL9" i="49" s="1"/>
  <c r="AA9" i="49"/>
  <c r="AD11" i="49"/>
  <c r="AL11" i="49" s="1"/>
  <c r="AA11" i="49"/>
  <c r="AD13" i="49"/>
  <c r="AL13" i="49" s="1"/>
  <c r="AA13" i="49"/>
  <c r="AD15" i="49"/>
  <c r="Z25" i="49"/>
  <c r="Y25" i="49"/>
  <c r="X25" i="49"/>
  <c r="W25" i="49"/>
  <c r="AH25" i="49" s="1"/>
  <c r="V25" i="49"/>
  <c r="U25" i="49"/>
  <c r="T25" i="49"/>
  <c r="S25" i="49"/>
  <c r="E18" i="49"/>
  <c r="S30" i="49"/>
  <c r="S31" i="49"/>
  <c r="S32" i="49"/>
  <c r="AK32" i="49" s="1"/>
  <c r="S33" i="49"/>
  <c r="Y7" i="49"/>
  <c r="AD7" i="49" s="1"/>
  <c r="AL7" i="49" s="1"/>
  <c r="Z16" i="49"/>
  <c r="AK16" i="49" s="1"/>
  <c r="E17" i="49"/>
  <c r="S21" i="49"/>
  <c r="T30" i="49"/>
  <c r="T31" i="49"/>
  <c r="T32" i="49"/>
  <c r="T33" i="49"/>
  <c r="AE33" i="49" s="1"/>
  <c r="E16" i="49"/>
  <c r="S20" i="49"/>
  <c r="T21" i="49"/>
  <c r="U30" i="49"/>
  <c r="U31" i="49"/>
  <c r="U32" i="49"/>
  <c r="U33" i="49"/>
  <c r="B81" i="49"/>
  <c r="E9" i="49"/>
  <c r="E10" i="49"/>
  <c r="E11" i="49"/>
  <c r="E12" i="49"/>
  <c r="E13" i="49"/>
  <c r="E15" i="49"/>
  <c r="T20" i="49"/>
  <c r="U21" i="49"/>
  <c r="V30" i="49"/>
  <c r="V31" i="49"/>
  <c r="V32" i="49"/>
  <c r="V33" i="49"/>
  <c r="E81" i="49"/>
  <c r="S18" i="49"/>
  <c r="U20" i="49"/>
  <c r="V21" i="49"/>
  <c r="W30" i="49"/>
  <c r="W31" i="49"/>
  <c r="W32" i="49"/>
  <c r="AH32" i="49" s="1"/>
  <c r="W33" i="49"/>
  <c r="H81" i="49"/>
  <c r="V20" i="49"/>
  <c r="W21" i="49"/>
  <c r="X30" i="49"/>
  <c r="X31" i="49"/>
  <c r="X32" i="49"/>
  <c r="X33" i="49"/>
  <c r="B82" i="49"/>
  <c r="W20" i="49"/>
  <c r="X21" i="49"/>
  <c r="Y30" i="49"/>
  <c r="Y31" i="49"/>
  <c r="AJ31" i="49" s="1"/>
  <c r="Y32" i="49"/>
  <c r="Y33" i="49"/>
  <c r="AJ33" i="49" s="1"/>
  <c r="E82" i="49"/>
  <c r="X20" i="49"/>
  <c r="Y21" i="49"/>
  <c r="H82" i="49"/>
  <c r="Y20" i="49"/>
  <c r="E22" i="49"/>
  <c r="E23" i="49"/>
  <c r="D95" i="49" s="1"/>
  <c r="E24" i="49"/>
  <c r="E25" i="49"/>
  <c r="E26" i="49"/>
  <c r="E27" i="49"/>
  <c r="E28" i="49"/>
  <c r="E29" i="49"/>
  <c r="E30" i="49"/>
  <c r="D96" i="49" s="1"/>
  <c r="E31" i="49"/>
  <c r="E32" i="49"/>
  <c r="E33" i="49"/>
  <c r="B83" i="49"/>
  <c r="E21" i="49"/>
  <c r="E77" i="49"/>
  <c r="P22" i="48"/>
  <c r="AE24" i="49" l="1"/>
  <c r="AJ15" i="49"/>
  <c r="AL15" i="49" s="1"/>
  <c r="AF27" i="49"/>
  <c r="AH14" i="49"/>
  <c r="AI33" i="49"/>
  <c r="AK33" i="49"/>
  <c r="AE25" i="49"/>
  <c r="AH27" i="49"/>
  <c r="AE28" i="49"/>
  <c r="AI12" i="49"/>
  <c r="AK15" i="49"/>
  <c r="AG33" i="49"/>
  <c r="AF25" i="49"/>
  <c r="AI27" i="49"/>
  <c r="AK12" i="49"/>
  <c r="AK14" i="49"/>
  <c r="AE27" i="49"/>
  <c r="AE18" i="49"/>
  <c r="AG27" i="49"/>
  <c r="AG25" i="49"/>
  <c r="AJ27" i="49"/>
  <c r="AK19" i="49"/>
  <c r="AH15" i="49"/>
  <c r="AI14" i="49"/>
  <c r="AL14" i="49" s="1"/>
  <c r="AK27" i="49"/>
  <c r="AH18" i="49"/>
  <c r="AG30" i="49"/>
  <c r="AF31" i="49"/>
  <c r="AI28" i="49"/>
  <c r="AF14" i="49"/>
  <c r="AH33" i="49"/>
  <c r="AF30" i="49"/>
  <c r="AJ25" i="49"/>
  <c r="AE26" i="49"/>
  <c r="AE12" i="49"/>
  <c r="AD17" i="49"/>
  <c r="AJ30" i="49"/>
  <c r="AE20" i="49"/>
  <c r="AK31" i="49"/>
  <c r="AA15" i="49"/>
  <c r="AA14" i="49"/>
  <c r="AN20" i="51"/>
  <c r="AN21" i="51"/>
  <c r="AN19" i="51"/>
  <c r="D91" i="51"/>
  <c r="D89" i="51"/>
  <c r="D87" i="51"/>
  <c r="D88" i="51" s="1"/>
  <c r="AN17" i="51"/>
  <c r="D85" i="51"/>
  <c r="D94" i="51"/>
  <c r="D92" i="51"/>
  <c r="D90" i="51"/>
  <c r="AK22" i="49"/>
  <c r="AD19" i="49"/>
  <c r="AH17" i="49"/>
  <c r="AF21" i="49"/>
  <c r="AE19" i="49"/>
  <c r="AE17" i="49"/>
  <c r="AJ23" i="49"/>
  <c r="AG17" i="49"/>
  <c r="AL17" i="49" s="1"/>
  <c r="AF19" i="49"/>
  <c r="AK20" i="49"/>
  <c r="AK17" i="49"/>
  <c r="AK18" i="49"/>
  <c r="AA19" i="49"/>
  <c r="AA17" i="49"/>
  <c r="AJ17" i="49"/>
  <c r="AI22" i="49"/>
  <c r="AG18" i="49"/>
  <c r="AH19" i="49"/>
  <c r="AJ19" i="49"/>
  <c r="AE21" i="49"/>
  <c r="AH31" i="49"/>
  <c r="AF24" i="49"/>
  <c r="AF26" i="49"/>
  <c r="AK23" i="49"/>
  <c r="AH30" i="49"/>
  <c r="AD33" i="49"/>
  <c r="AL33" i="49" s="1"/>
  <c r="AA33" i="49"/>
  <c r="AI25" i="49"/>
  <c r="AG24" i="49"/>
  <c r="AG26" i="49"/>
  <c r="AA28" i="49"/>
  <c r="AD28" i="49"/>
  <c r="AL28" i="49" s="1"/>
  <c r="AH24" i="49"/>
  <c r="AJ7" i="49"/>
  <c r="AE7" i="49"/>
  <c r="AF7" i="49"/>
  <c r="AK7" i="49"/>
  <c r="AI7" i="49"/>
  <c r="AH7" i="49"/>
  <c r="AG7" i="49"/>
  <c r="AG21" i="49"/>
  <c r="AD32" i="49"/>
  <c r="AL32" i="49" s="1"/>
  <c r="AA32" i="49"/>
  <c r="C70" i="49"/>
  <c r="C69" i="49"/>
  <c r="C75" i="49"/>
  <c r="C74" i="49"/>
  <c r="C73" i="49"/>
  <c r="C72" i="49"/>
  <c r="D86" i="49" s="1"/>
  <c r="C71" i="49"/>
  <c r="AI32" i="49"/>
  <c r="AF20" i="49"/>
  <c r="AD31" i="49"/>
  <c r="AL31" i="49" s="1"/>
  <c r="AA31" i="49"/>
  <c r="AK25" i="49"/>
  <c r="AE29" i="49"/>
  <c r="AI24" i="49"/>
  <c r="AI26" i="49"/>
  <c r="AF28" i="49"/>
  <c r="AJ20" i="49"/>
  <c r="AD29" i="49"/>
  <c r="AL29" i="49" s="1"/>
  <c r="AA29" i="49"/>
  <c r="AH26" i="49"/>
  <c r="AJ21" i="49"/>
  <c r="AI31" i="49"/>
  <c r="AD18" i="49"/>
  <c r="AA18" i="49"/>
  <c r="AD30" i="49"/>
  <c r="AL30" i="49" s="1"/>
  <c r="AA30" i="49"/>
  <c r="AA22" i="49"/>
  <c r="AD22" i="49"/>
  <c r="AL22" i="49" s="1"/>
  <c r="AF29" i="49"/>
  <c r="AJ24" i="49"/>
  <c r="AJ26" i="49"/>
  <c r="AE16" i="49"/>
  <c r="AG28" i="49"/>
  <c r="AH20" i="49"/>
  <c r="AD20" i="49"/>
  <c r="AA20" i="49"/>
  <c r="AA16" i="49"/>
  <c r="AI30" i="49"/>
  <c r="AE32" i="49"/>
  <c r="AE22" i="49"/>
  <c r="AG29" i="49"/>
  <c r="AK24" i="49"/>
  <c r="AK26" i="49"/>
  <c r="AA23" i="49"/>
  <c r="AD23" i="49"/>
  <c r="AL23" i="49" s="1"/>
  <c r="AH21" i="49"/>
  <c r="AF22" i="49"/>
  <c r="AH29" i="49"/>
  <c r="AK21" i="49"/>
  <c r="AE23" i="49"/>
  <c r="AG20" i="49"/>
  <c r="AG32" i="49"/>
  <c r="AF33" i="49"/>
  <c r="AE30" i="49"/>
  <c r="AK30" i="49"/>
  <c r="AA27" i="49"/>
  <c r="AD27" i="49"/>
  <c r="AL27" i="49" s="1"/>
  <c r="AG22" i="49"/>
  <c r="AI29" i="49"/>
  <c r="AF23" i="49"/>
  <c r="AJ28" i="49"/>
  <c r="AG16" i="49"/>
  <c r="AE31" i="49"/>
  <c r="AJ32" i="49"/>
  <c r="AG31" i="49"/>
  <c r="AF32" i="49"/>
  <c r="AD21" i="49"/>
  <c r="AA21" i="49"/>
  <c r="AA25" i="49"/>
  <c r="AD25" i="49"/>
  <c r="AL25" i="49" s="1"/>
  <c r="AH22" i="49"/>
  <c r="AJ29" i="49"/>
  <c r="AH16" i="49"/>
  <c r="AF18" i="49"/>
  <c r="AG23" i="49"/>
  <c r="AH23" i="49"/>
  <c r="AA24" i="49"/>
  <c r="AD24" i="49"/>
  <c r="AL24" i="49" s="1"/>
  <c r="AA26" i="49"/>
  <c r="AD26" i="49"/>
  <c r="AL26" i="49" s="1"/>
  <c r="AF16" i="49"/>
  <c r="AI23" i="49"/>
  <c r="AD16" i="49"/>
  <c r="AJ16" i="49"/>
  <c r="C99" i="48"/>
  <c r="C98" i="48"/>
  <c r="C99" i="47"/>
  <c r="C98" i="47"/>
  <c r="C99" i="46"/>
  <c r="C98" i="46"/>
  <c r="C99" i="44"/>
  <c r="C98" i="44"/>
  <c r="C99" i="45"/>
  <c r="C98" i="45"/>
  <c r="C99" i="3"/>
  <c r="C98" i="3"/>
  <c r="AL19" i="49" l="1"/>
  <c r="D91" i="49"/>
  <c r="D89" i="49"/>
  <c r="D87" i="49"/>
  <c r="D88" i="49" s="1"/>
  <c r="AL16" i="49"/>
  <c r="AL20" i="49"/>
  <c r="AL18" i="49"/>
  <c r="AL21" i="49"/>
  <c r="D85" i="49"/>
  <c r="D94" i="49"/>
  <c r="D92" i="49"/>
  <c r="D90" i="49"/>
  <c r="B79" i="48"/>
  <c r="B78" i="48"/>
  <c r="B77" i="48"/>
  <c r="S33" i="48"/>
  <c r="P33" i="48"/>
  <c r="V33" i="48" s="1"/>
  <c r="G33" i="48"/>
  <c r="R33" i="48" s="1"/>
  <c r="AC33" i="48" s="1"/>
  <c r="D33" i="48"/>
  <c r="P32" i="48"/>
  <c r="V32" i="48" s="1"/>
  <c r="G32" i="48"/>
  <c r="R32" i="48" s="1"/>
  <c r="AC32" i="48" s="1"/>
  <c r="D32" i="48"/>
  <c r="W31" i="48"/>
  <c r="P31" i="48"/>
  <c r="V31" i="48" s="1"/>
  <c r="G31" i="48"/>
  <c r="R31" i="48" s="1"/>
  <c r="AC31" i="48" s="1"/>
  <c r="D31" i="48"/>
  <c r="W30" i="48"/>
  <c r="S30" i="48"/>
  <c r="P30" i="48"/>
  <c r="V30" i="48" s="1"/>
  <c r="G30" i="48"/>
  <c r="R30" i="48" s="1"/>
  <c r="AC30" i="48" s="1"/>
  <c r="D30" i="48"/>
  <c r="W29" i="48"/>
  <c r="P29" i="48"/>
  <c r="V29" i="48" s="1"/>
  <c r="G29" i="48"/>
  <c r="R29" i="48" s="1"/>
  <c r="AC29" i="48" s="1"/>
  <c r="D29" i="48"/>
  <c r="Z28" i="48"/>
  <c r="P28" i="48"/>
  <c r="V28" i="48" s="1"/>
  <c r="G28" i="48"/>
  <c r="R28" i="48" s="1"/>
  <c r="AC28" i="48" s="1"/>
  <c r="D28" i="48"/>
  <c r="Z27" i="48"/>
  <c r="W27" i="48"/>
  <c r="P27" i="48"/>
  <c r="V27" i="48" s="1"/>
  <c r="G27" i="48"/>
  <c r="R27" i="48" s="1"/>
  <c r="AC27" i="48" s="1"/>
  <c r="D27" i="48"/>
  <c r="Z26" i="48"/>
  <c r="P26" i="48"/>
  <c r="V26" i="48" s="1"/>
  <c r="G26" i="48"/>
  <c r="R26" i="48" s="1"/>
  <c r="AC26" i="48" s="1"/>
  <c r="D26" i="48"/>
  <c r="Z25" i="48"/>
  <c r="W25" i="48"/>
  <c r="P25" i="48"/>
  <c r="V25" i="48" s="1"/>
  <c r="G25" i="48"/>
  <c r="R25" i="48" s="1"/>
  <c r="AC25" i="48" s="1"/>
  <c r="D25" i="48"/>
  <c r="W24" i="48"/>
  <c r="P24" i="48"/>
  <c r="V24" i="48" s="1"/>
  <c r="G24" i="48"/>
  <c r="R24" i="48" s="1"/>
  <c r="AC24" i="48" s="1"/>
  <c r="D24" i="48"/>
  <c r="P23" i="48"/>
  <c r="V23" i="48" s="1"/>
  <c r="G23" i="48"/>
  <c r="R23" i="48" s="1"/>
  <c r="AC23" i="48" s="1"/>
  <c r="D23" i="48"/>
  <c r="Z22" i="48"/>
  <c r="W22" i="48"/>
  <c r="S22" i="48"/>
  <c r="V22" i="48"/>
  <c r="G22" i="48"/>
  <c r="R22" i="48" s="1"/>
  <c r="AC22" i="48" s="1"/>
  <c r="D22" i="48"/>
  <c r="P21" i="48"/>
  <c r="G21" i="48"/>
  <c r="R21" i="48" s="1"/>
  <c r="AC21" i="48" s="1"/>
  <c r="D21" i="48"/>
  <c r="R20" i="48"/>
  <c r="AC20" i="48" s="1"/>
  <c r="P20" i="48"/>
  <c r="G20" i="48"/>
  <c r="D20" i="48"/>
  <c r="P19" i="48"/>
  <c r="G19" i="48"/>
  <c r="R19" i="48" s="1"/>
  <c r="AC19" i="48" s="1"/>
  <c r="D19" i="48"/>
  <c r="P18" i="48"/>
  <c r="G18" i="48"/>
  <c r="R18" i="48" s="1"/>
  <c r="AC18" i="48" s="1"/>
  <c r="D18" i="48"/>
  <c r="P17" i="48"/>
  <c r="G17" i="48"/>
  <c r="R17" i="48" s="1"/>
  <c r="AC17" i="48" s="1"/>
  <c r="D17" i="48"/>
  <c r="P16" i="48"/>
  <c r="G16" i="48"/>
  <c r="R16" i="48" s="1"/>
  <c r="AC16" i="48" s="1"/>
  <c r="D16" i="48"/>
  <c r="Z15" i="48"/>
  <c r="W15" i="48"/>
  <c r="S15" i="48"/>
  <c r="P15" i="48"/>
  <c r="Y15" i="48" s="1"/>
  <c r="G15" i="48"/>
  <c r="R15" i="48" s="1"/>
  <c r="AC15" i="48" s="1"/>
  <c r="D15" i="48"/>
  <c r="P14" i="48"/>
  <c r="X14" i="48" s="1"/>
  <c r="G14" i="48"/>
  <c r="R14" i="48" s="1"/>
  <c r="AC14" i="48" s="1"/>
  <c r="D14" i="48"/>
  <c r="V13" i="48"/>
  <c r="S13" i="48"/>
  <c r="AA13" i="48" s="1"/>
  <c r="P13" i="48"/>
  <c r="Z13" i="48" s="1"/>
  <c r="G13" i="48"/>
  <c r="R13" i="48" s="1"/>
  <c r="AC13" i="48" s="1"/>
  <c r="D13" i="48"/>
  <c r="Y12" i="48"/>
  <c r="AJ12" i="48" s="1"/>
  <c r="V12" i="48"/>
  <c r="AG12" i="48" s="1"/>
  <c r="S12" i="48"/>
  <c r="AA12" i="48" s="1"/>
  <c r="P12" i="48"/>
  <c r="Z12" i="48" s="1"/>
  <c r="AK12" i="48" s="1"/>
  <c r="G12" i="48"/>
  <c r="R12" i="48" s="1"/>
  <c r="AC12" i="48" s="1"/>
  <c r="D12" i="48"/>
  <c r="Y11" i="48"/>
  <c r="AJ11" i="48" s="1"/>
  <c r="V11" i="48"/>
  <c r="AG11" i="48" s="1"/>
  <c r="S11" i="48"/>
  <c r="AA11" i="48" s="1"/>
  <c r="P11" i="48"/>
  <c r="Z11" i="48" s="1"/>
  <c r="AK11" i="48" s="1"/>
  <c r="G11" i="48"/>
  <c r="R11" i="48" s="1"/>
  <c r="AC11" i="48" s="1"/>
  <c r="D11" i="48"/>
  <c r="Y10" i="48"/>
  <c r="AJ10" i="48" s="1"/>
  <c r="V10" i="48"/>
  <c r="AG10" i="48" s="1"/>
  <c r="S10" i="48"/>
  <c r="AA10" i="48" s="1"/>
  <c r="P10" i="48"/>
  <c r="Z10" i="48" s="1"/>
  <c r="AK10" i="48" s="1"/>
  <c r="G10" i="48"/>
  <c r="R10" i="48" s="1"/>
  <c r="AC10" i="48" s="1"/>
  <c r="D10" i="48"/>
  <c r="Y9" i="48"/>
  <c r="AJ9" i="48" s="1"/>
  <c r="V9" i="48"/>
  <c r="AG9" i="48" s="1"/>
  <c r="S9" i="48"/>
  <c r="AA9" i="48" s="1"/>
  <c r="P9" i="48"/>
  <c r="Z9" i="48" s="1"/>
  <c r="AK9" i="48" s="1"/>
  <c r="G9" i="48"/>
  <c r="R9" i="48" s="1"/>
  <c r="AC9" i="48" s="1"/>
  <c r="D9" i="48"/>
  <c r="Y8" i="48"/>
  <c r="AJ8" i="48" s="1"/>
  <c r="V8" i="48"/>
  <c r="AG8" i="48" s="1"/>
  <c r="S8" i="48"/>
  <c r="AA8" i="48" s="1"/>
  <c r="P8" i="48"/>
  <c r="Z8" i="48" s="1"/>
  <c r="AK8" i="48" s="1"/>
  <c r="G8" i="48"/>
  <c r="R8" i="48" s="1"/>
  <c r="AC8" i="48" s="1"/>
  <c r="D8" i="48"/>
  <c r="E14" i="48" s="1"/>
  <c r="Y7" i="48"/>
  <c r="AJ7" i="48" s="1"/>
  <c r="V7" i="48"/>
  <c r="AG7" i="48" s="1"/>
  <c r="S7" i="48"/>
  <c r="AA7" i="48" s="1"/>
  <c r="P7" i="48"/>
  <c r="Z7" i="48" s="1"/>
  <c r="AK7" i="48" s="1"/>
  <c r="G7" i="48"/>
  <c r="R7" i="48" s="1"/>
  <c r="AC7" i="48" s="1"/>
  <c r="D7" i="48"/>
  <c r="AK4" i="48"/>
  <c r="AG4" i="48"/>
  <c r="Z4" i="48"/>
  <c r="Y4" i="48"/>
  <c r="AJ4" i="48" s="1"/>
  <c r="X4" i="48"/>
  <c r="AI4" i="48" s="1"/>
  <c r="W4" i="48"/>
  <c r="AH4" i="48" s="1"/>
  <c r="V4" i="48"/>
  <c r="U4" i="48"/>
  <c r="AF4" i="48" s="1"/>
  <c r="T4" i="48"/>
  <c r="AE4" i="48" s="1"/>
  <c r="S4" i="48"/>
  <c r="AD4" i="48" s="1"/>
  <c r="R4" i="48"/>
  <c r="AC4" i="48" s="1"/>
  <c r="B4" i="48"/>
  <c r="D2" i="48"/>
  <c r="B79" i="47"/>
  <c r="B78" i="47"/>
  <c r="B77" i="47"/>
  <c r="S33" i="47"/>
  <c r="P33" i="47"/>
  <c r="W33" i="47" s="1"/>
  <c r="G33" i="47"/>
  <c r="R33" i="47" s="1"/>
  <c r="AC33" i="47" s="1"/>
  <c r="D33" i="47"/>
  <c r="V32" i="47"/>
  <c r="U32" i="47"/>
  <c r="P32" i="47"/>
  <c r="W32" i="47" s="1"/>
  <c r="G32" i="47"/>
  <c r="R32" i="47" s="1"/>
  <c r="AC32" i="47" s="1"/>
  <c r="D32" i="47"/>
  <c r="T31" i="47"/>
  <c r="S31" i="47"/>
  <c r="AA31" i="47" s="1"/>
  <c r="P31" i="47"/>
  <c r="W31" i="47" s="1"/>
  <c r="G31" i="47"/>
  <c r="R31" i="47" s="1"/>
  <c r="AC31" i="47" s="1"/>
  <c r="D31" i="47"/>
  <c r="X30" i="47"/>
  <c r="P30" i="47"/>
  <c r="W30" i="47" s="1"/>
  <c r="G30" i="47"/>
  <c r="R30" i="47" s="1"/>
  <c r="AC30" i="47" s="1"/>
  <c r="D30" i="47"/>
  <c r="Z29" i="47"/>
  <c r="Y29" i="47"/>
  <c r="U29" i="47"/>
  <c r="T29" i="47"/>
  <c r="R29" i="47"/>
  <c r="AC29" i="47" s="1"/>
  <c r="P29" i="47"/>
  <c r="W29" i="47" s="1"/>
  <c r="G29" i="47"/>
  <c r="D29" i="47"/>
  <c r="Z28" i="47"/>
  <c r="Y28" i="47"/>
  <c r="V28" i="47"/>
  <c r="U28" i="47"/>
  <c r="S28" i="47"/>
  <c r="AH28" i="47" s="1"/>
  <c r="P28" i="47"/>
  <c r="W28" i="47" s="1"/>
  <c r="G28" i="47"/>
  <c r="R28" i="47" s="1"/>
  <c r="AC28" i="47" s="1"/>
  <c r="D28" i="47"/>
  <c r="T27" i="47"/>
  <c r="S27" i="47"/>
  <c r="P27" i="47"/>
  <c r="W27" i="47" s="1"/>
  <c r="G27" i="47"/>
  <c r="R27" i="47" s="1"/>
  <c r="AC27" i="47" s="1"/>
  <c r="D27" i="47"/>
  <c r="Z26" i="47"/>
  <c r="V26" i="47"/>
  <c r="U26" i="47"/>
  <c r="T26" i="47"/>
  <c r="S26" i="47"/>
  <c r="AA26" i="47" s="1"/>
  <c r="R26" i="47"/>
  <c r="AC26" i="47" s="1"/>
  <c r="P26" i="47"/>
  <c r="W26" i="47" s="1"/>
  <c r="G26" i="47"/>
  <c r="D26" i="47"/>
  <c r="P25" i="47"/>
  <c r="W25" i="47" s="1"/>
  <c r="G25" i="47"/>
  <c r="R25" i="47" s="1"/>
  <c r="AC25" i="47" s="1"/>
  <c r="D25" i="47"/>
  <c r="Z24" i="47"/>
  <c r="V24" i="47"/>
  <c r="P24" i="47"/>
  <c r="W24" i="47" s="1"/>
  <c r="G24" i="47"/>
  <c r="R24" i="47" s="1"/>
  <c r="AC24" i="47" s="1"/>
  <c r="D24" i="47"/>
  <c r="X23" i="47"/>
  <c r="V23" i="47"/>
  <c r="T23" i="47"/>
  <c r="P23" i="47"/>
  <c r="W23" i="47" s="1"/>
  <c r="G23" i="47"/>
  <c r="R23" i="47" s="1"/>
  <c r="AC23" i="47" s="1"/>
  <c r="D23" i="47"/>
  <c r="Z22" i="47"/>
  <c r="X22" i="47"/>
  <c r="R22" i="47"/>
  <c r="AC22" i="47" s="1"/>
  <c r="P22" i="47"/>
  <c r="W22" i="47" s="1"/>
  <c r="G22" i="47"/>
  <c r="D22" i="47"/>
  <c r="P21" i="47"/>
  <c r="V21" i="47" s="1"/>
  <c r="G21" i="47"/>
  <c r="R21" i="47" s="1"/>
  <c r="AC21" i="47" s="1"/>
  <c r="D21" i="47"/>
  <c r="P20" i="47"/>
  <c r="V20" i="47" s="1"/>
  <c r="G20" i="47"/>
  <c r="R20" i="47" s="1"/>
  <c r="AC20" i="47" s="1"/>
  <c r="D20" i="47"/>
  <c r="R19" i="47"/>
  <c r="AC19" i="47" s="1"/>
  <c r="P19" i="47"/>
  <c r="X19" i="47" s="1"/>
  <c r="G19" i="47"/>
  <c r="D19" i="47"/>
  <c r="P18" i="47"/>
  <c r="W18" i="47" s="1"/>
  <c r="G18" i="47"/>
  <c r="R18" i="47" s="1"/>
  <c r="AC18" i="47" s="1"/>
  <c r="D18" i="47"/>
  <c r="V17" i="47"/>
  <c r="U17" i="47"/>
  <c r="P17" i="47"/>
  <c r="Y17" i="47" s="1"/>
  <c r="G17" i="47"/>
  <c r="R17" i="47" s="1"/>
  <c r="AC17" i="47" s="1"/>
  <c r="D17" i="47"/>
  <c r="Z16" i="47"/>
  <c r="Y16" i="47"/>
  <c r="X16" i="47"/>
  <c r="V16" i="47"/>
  <c r="U16" i="47"/>
  <c r="T16" i="47"/>
  <c r="S16" i="47"/>
  <c r="R16" i="47"/>
  <c r="AC16" i="47" s="1"/>
  <c r="P16" i="47"/>
  <c r="W16" i="47" s="1"/>
  <c r="G16" i="47"/>
  <c r="D16" i="47"/>
  <c r="P15" i="47"/>
  <c r="Y15" i="47" s="1"/>
  <c r="G15" i="47"/>
  <c r="R15" i="47" s="1"/>
  <c r="AC15" i="47" s="1"/>
  <c r="D15" i="47"/>
  <c r="R14" i="47"/>
  <c r="AC14" i="47" s="1"/>
  <c r="P14" i="47"/>
  <c r="G14" i="47"/>
  <c r="D14" i="47"/>
  <c r="R13" i="47"/>
  <c r="AC13" i="47" s="1"/>
  <c r="P13" i="47"/>
  <c r="Y13" i="47" s="1"/>
  <c r="G13" i="47"/>
  <c r="D13" i="47"/>
  <c r="R12" i="47"/>
  <c r="AC12" i="47" s="1"/>
  <c r="P12" i="47"/>
  <c r="S12" i="47" s="1"/>
  <c r="AA12" i="47" s="1"/>
  <c r="G12" i="47"/>
  <c r="D12" i="47"/>
  <c r="X11" i="47"/>
  <c r="T11" i="47"/>
  <c r="R11" i="47"/>
  <c r="AC11" i="47" s="1"/>
  <c r="P11" i="47"/>
  <c r="Y11" i="47" s="1"/>
  <c r="G11" i="47"/>
  <c r="D11" i="47"/>
  <c r="Y10" i="47"/>
  <c r="P10" i="47"/>
  <c r="Z10" i="47" s="1"/>
  <c r="G10" i="47"/>
  <c r="R10" i="47" s="1"/>
  <c r="AC10" i="47" s="1"/>
  <c r="D10" i="47"/>
  <c r="Y9" i="47"/>
  <c r="R9" i="47"/>
  <c r="AC9" i="47" s="1"/>
  <c r="P9" i="47"/>
  <c r="G9" i="47"/>
  <c r="D9" i="47"/>
  <c r="P8" i="47"/>
  <c r="G8" i="47"/>
  <c r="R8" i="47" s="1"/>
  <c r="AC8" i="47" s="1"/>
  <c r="D8" i="47"/>
  <c r="R7" i="47"/>
  <c r="AC7" i="47" s="1"/>
  <c r="P7" i="47"/>
  <c r="T7" i="47" s="1"/>
  <c r="G7" i="47"/>
  <c r="D7" i="47"/>
  <c r="AJ4" i="47"/>
  <c r="Z4" i="47"/>
  <c r="AK4" i="47" s="1"/>
  <c r="Y4" i="47"/>
  <c r="X4" i="47"/>
  <c r="AI4" i="47" s="1"/>
  <c r="W4" i="47"/>
  <c r="AH4" i="47" s="1"/>
  <c r="V4" i="47"/>
  <c r="AG4" i="47" s="1"/>
  <c r="U4" i="47"/>
  <c r="AF4" i="47" s="1"/>
  <c r="T4" i="47"/>
  <c r="AE4" i="47" s="1"/>
  <c r="S4" i="47"/>
  <c r="AD4" i="47" s="1"/>
  <c r="R4" i="47"/>
  <c r="AC4" i="47" s="1"/>
  <c r="B4" i="47"/>
  <c r="D2" i="47"/>
  <c r="B79" i="46"/>
  <c r="B78" i="46"/>
  <c r="B77" i="46"/>
  <c r="V33" i="46"/>
  <c r="P33" i="46"/>
  <c r="X33" i="46" s="1"/>
  <c r="G33" i="46"/>
  <c r="T33" i="46" s="1"/>
  <c r="AE33" i="46" s="1"/>
  <c r="D33" i="46"/>
  <c r="P32" i="46"/>
  <c r="X32" i="46" s="1"/>
  <c r="G32" i="46"/>
  <c r="T32" i="46" s="1"/>
  <c r="AE32" i="46" s="1"/>
  <c r="D32" i="46"/>
  <c r="P31" i="46"/>
  <c r="X31" i="46" s="1"/>
  <c r="G31" i="46"/>
  <c r="T31" i="46" s="1"/>
  <c r="AE31" i="46" s="1"/>
  <c r="D31" i="46"/>
  <c r="P30" i="46"/>
  <c r="X30" i="46" s="1"/>
  <c r="G30" i="46"/>
  <c r="T30" i="46" s="1"/>
  <c r="AE30" i="46" s="1"/>
  <c r="D30" i="46"/>
  <c r="P29" i="46"/>
  <c r="X29" i="46" s="1"/>
  <c r="G29" i="46"/>
  <c r="T29" i="46" s="1"/>
  <c r="AE29" i="46" s="1"/>
  <c r="D29" i="46"/>
  <c r="P28" i="46"/>
  <c r="X28" i="46" s="1"/>
  <c r="G28" i="46"/>
  <c r="T28" i="46" s="1"/>
  <c r="AE28" i="46" s="1"/>
  <c r="D28" i="46"/>
  <c r="P27" i="46"/>
  <c r="X27" i="46" s="1"/>
  <c r="G27" i="46"/>
  <c r="T27" i="46" s="1"/>
  <c r="AE27" i="46" s="1"/>
  <c r="D27" i="46"/>
  <c r="P26" i="46"/>
  <c r="X26" i="46" s="1"/>
  <c r="G26" i="46"/>
  <c r="T26" i="46" s="1"/>
  <c r="AE26" i="46" s="1"/>
  <c r="D26" i="46"/>
  <c r="P25" i="46"/>
  <c r="X25" i="46" s="1"/>
  <c r="G25" i="46"/>
  <c r="T25" i="46" s="1"/>
  <c r="AE25" i="46" s="1"/>
  <c r="D25" i="46"/>
  <c r="P24" i="46"/>
  <c r="X24" i="46" s="1"/>
  <c r="G24" i="46"/>
  <c r="T24" i="46" s="1"/>
  <c r="AE24" i="46" s="1"/>
  <c r="D24" i="46"/>
  <c r="P23" i="46"/>
  <c r="X23" i="46" s="1"/>
  <c r="G23" i="46"/>
  <c r="T23" i="46" s="1"/>
  <c r="AE23" i="46" s="1"/>
  <c r="D23" i="46"/>
  <c r="P22" i="46"/>
  <c r="X22" i="46" s="1"/>
  <c r="G22" i="46"/>
  <c r="T22" i="46" s="1"/>
  <c r="AE22" i="46" s="1"/>
  <c r="D22" i="46"/>
  <c r="P21" i="46"/>
  <c r="AB21" i="46" s="1"/>
  <c r="G21" i="46"/>
  <c r="T21" i="46" s="1"/>
  <c r="AE21" i="46" s="1"/>
  <c r="D21" i="46"/>
  <c r="P20" i="46"/>
  <c r="V20" i="46" s="1"/>
  <c r="G20" i="46"/>
  <c r="T20" i="46" s="1"/>
  <c r="AE20" i="46" s="1"/>
  <c r="D20" i="46"/>
  <c r="P19" i="46"/>
  <c r="U19" i="46" s="1"/>
  <c r="G19" i="46"/>
  <c r="T19" i="46" s="1"/>
  <c r="AE19" i="46" s="1"/>
  <c r="D19" i="46"/>
  <c r="P18" i="46"/>
  <c r="AB18" i="46" s="1"/>
  <c r="G18" i="46"/>
  <c r="T18" i="46" s="1"/>
  <c r="AE18" i="46" s="1"/>
  <c r="D18" i="46"/>
  <c r="P17" i="46"/>
  <c r="AA17" i="46" s="1"/>
  <c r="G17" i="46"/>
  <c r="T17" i="46" s="1"/>
  <c r="AE17" i="46" s="1"/>
  <c r="D17" i="46"/>
  <c r="P16" i="46"/>
  <c r="AB16" i="46" s="1"/>
  <c r="G16" i="46"/>
  <c r="T16" i="46" s="1"/>
  <c r="AE16" i="46" s="1"/>
  <c r="D16" i="46"/>
  <c r="P15" i="46"/>
  <c r="AB15" i="46" s="1"/>
  <c r="G15" i="46"/>
  <c r="T15" i="46" s="1"/>
  <c r="AE15" i="46" s="1"/>
  <c r="D15" i="46"/>
  <c r="P14" i="46"/>
  <c r="AB14" i="46" s="1"/>
  <c r="G14" i="46"/>
  <c r="T14" i="46" s="1"/>
  <c r="AE14" i="46" s="1"/>
  <c r="D14" i="46"/>
  <c r="P13" i="46"/>
  <c r="AB13" i="46" s="1"/>
  <c r="G13" i="46"/>
  <c r="T13" i="46" s="1"/>
  <c r="AE13" i="46" s="1"/>
  <c r="D13" i="46"/>
  <c r="P12" i="46"/>
  <c r="AB12" i="46" s="1"/>
  <c r="G12" i="46"/>
  <c r="T12" i="46" s="1"/>
  <c r="AE12" i="46" s="1"/>
  <c r="D12" i="46"/>
  <c r="P11" i="46"/>
  <c r="AB11" i="46" s="1"/>
  <c r="G11" i="46"/>
  <c r="T11" i="46" s="1"/>
  <c r="AE11" i="46" s="1"/>
  <c r="D11" i="46"/>
  <c r="P10" i="46"/>
  <c r="AB10" i="46" s="1"/>
  <c r="G10" i="46"/>
  <c r="T10" i="46" s="1"/>
  <c r="AE10" i="46" s="1"/>
  <c r="D10" i="46"/>
  <c r="P9" i="46"/>
  <c r="AB9" i="46" s="1"/>
  <c r="G9" i="46"/>
  <c r="T9" i="46" s="1"/>
  <c r="AE9" i="46" s="1"/>
  <c r="D9" i="46"/>
  <c r="P8" i="46"/>
  <c r="AB8" i="46" s="1"/>
  <c r="G8" i="46"/>
  <c r="T8" i="46" s="1"/>
  <c r="AE8" i="46" s="1"/>
  <c r="D8" i="46"/>
  <c r="P7" i="46"/>
  <c r="AB7" i="46" s="1"/>
  <c r="G7" i="46"/>
  <c r="T7" i="46" s="1"/>
  <c r="AE7" i="46" s="1"/>
  <c r="D7" i="46"/>
  <c r="AB4" i="46"/>
  <c r="AM4" i="46" s="1"/>
  <c r="AA4" i="46"/>
  <c r="AL4" i="46" s="1"/>
  <c r="Z4" i="46"/>
  <c r="AK4" i="46" s="1"/>
  <c r="Y4" i="46"/>
  <c r="AJ4" i="46" s="1"/>
  <c r="X4" i="46"/>
  <c r="AI4" i="46" s="1"/>
  <c r="W4" i="46"/>
  <c r="AH4" i="46" s="1"/>
  <c r="V4" i="46"/>
  <c r="AG4" i="46" s="1"/>
  <c r="U4" i="46"/>
  <c r="AF4" i="46" s="1"/>
  <c r="T4" i="46"/>
  <c r="AE4" i="46" s="1"/>
  <c r="B4" i="46"/>
  <c r="D2" i="46"/>
  <c r="B79" i="45"/>
  <c r="B78" i="45"/>
  <c r="B77" i="45"/>
  <c r="P33" i="45"/>
  <c r="G33" i="45"/>
  <c r="R33" i="45" s="1"/>
  <c r="AC33" i="45" s="1"/>
  <c r="D33" i="45"/>
  <c r="P32" i="45"/>
  <c r="G32" i="45"/>
  <c r="R32" i="45" s="1"/>
  <c r="AC32" i="45" s="1"/>
  <c r="D32" i="45"/>
  <c r="P31" i="45"/>
  <c r="G31" i="45"/>
  <c r="AC31" i="45" s="1"/>
  <c r="D31" i="45"/>
  <c r="P30" i="45"/>
  <c r="G30" i="45"/>
  <c r="R30" i="45" s="1"/>
  <c r="AC30" i="45" s="1"/>
  <c r="D30" i="45"/>
  <c r="X61" i="45" s="1"/>
  <c r="P29" i="45"/>
  <c r="G29" i="45"/>
  <c r="R29" i="45" s="1"/>
  <c r="AC29" i="45" s="1"/>
  <c r="D29" i="45"/>
  <c r="X60" i="45" s="1"/>
  <c r="P28" i="45"/>
  <c r="G28" i="45"/>
  <c r="R28" i="45" s="1"/>
  <c r="AC28" i="45" s="1"/>
  <c r="D28" i="45"/>
  <c r="X59" i="45" s="1"/>
  <c r="P27" i="45"/>
  <c r="G27" i="45"/>
  <c r="R27" i="45" s="1"/>
  <c r="AC27" i="45" s="1"/>
  <c r="D27" i="45"/>
  <c r="X58" i="45" s="1"/>
  <c r="P26" i="45"/>
  <c r="G26" i="45"/>
  <c r="R26" i="45" s="1"/>
  <c r="AC26" i="45" s="1"/>
  <c r="D26" i="45"/>
  <c r="X57" i="45" s="1"/>
  <c r="P25" i="45"/>
  <c r="G25" i="45"/>
  <c r="R25" i="45" s="1"/>
  <c r="AC25" i="45" s="1"/>
  <c r="D25" i="45"/>
  <c r="X56" i="45" s="1"/>
  <c r="P24" i="45"/>
  <c r="G24" i="45"/>
  <c r="R24" i="45" s="1"/>
  <c r="AC24" i="45" s="1"/>
  <c r="D24" i="45"/>
  <c r="X55" i="45" s="1"/>
  <c r="P23" i="45"/>
  <c r="G23" i="45"/>
  <c r="R23" i="45" s="1"/>
  <c r="AC23" i="45" s="1"/>
  <c r="D23" i="45"/>
  <c r="X54" i="45" s="1"/>
  <c r="P22" i="45"/>
  <c r="G22" i="45"/>
  <c r="R22" i="45" s="1"/>
  <c r="AC22" i="45" s="1"/>
  <c r="D22" i="45"/>
  <c r="X53" i="45" s="1"/>
  <c r="P21" i="45"/>
  <c r="G21" i="45"/>
  <c r="G52" i="45" s="1"/>
  <c r="D21" i="45"/>
  <c r="R20" i="45"/>
  <c r="AC20" i="45" s="1"/>
  <c r="P20" i="45"/>
  <c r="G20" i="45"/>
  <c r="G51" i="45" s="1"/>
  <c r="D20" i="45"/>
  <c r="P19" i="45"/>
  <c r="G19" i="45"/>
  <c r="D19" i="45"/>
  <c r="P18" i="45"/>
  <c r="G18" i="45"/>
  <c r="D18" i="45"/>
  <c r="P17" i="45"/>
  <c r="G17" i="45"/>
  <c r="D17" i="45"/>
  <c r="P16" i="45"/>
  <c r="G16" i="45"/>
  <c r="D16" i="45"/>
  <c r="P15" i="45"/>
  <c r="G15" i="45"/>
  <c r="G46" i="45" s="1"/>
  <c r="D15" i="45"/>
  <c r="P14" i="45"/>
  <c r="G14" i="45"/>
  <c r="G45" i="45" s="1"/>
  <c r="D14" i="45"/>
  <c r="R13" i="45"/>
  <c r="AC13" i="45" s="1"/>
  <c r="P13" i="45"/>
  <c r="G13" i="45"/>
  <c r="G44" i="45" s="1"/>
  <c r="D13" i="45"/>
  <c r="P12" i="45"/>
  <c r="G12" i="45"/>
  <c r="G43" i="45" s="1"/>
  <c r="D12" i="45"/>
  <c r="P11" i="45"/>
  <c r="G11" i="45"/>
  <c r="G42" i="45" s="1"/>
  <c r="D11" i="45"/>
  <c r="R10" i="45"/>
  <c r="AC10" i="45" s="1"/>
  <c r="P10" i="45"/>
  <c r="G10" i="45"/>
  <c r="G41" i="45" s="1"/>
  <c r="D10" i="45"/>
  <c r="P9" i="45"/>
  <c r="G9" i="45"/>
  <c r="G40" i="45" s="1"/>
  <c r="D9" i="45"/>
  <c r="R8" i="45"/>
  <c r="AC8" i="45" s="1"/>
  <c r="P8" i="45"/>
  <c r="G8" i="45"/>
  <c r="G39" i="45" s="1"/>
  <c r="D8" i="45"/>
  <c r="R7" i="45"/>
  <c r="AC7" i="45" s="1"/>
  <c r="P7" i="45"/>
  <c r="G7" i="45"/>
  <c r="G38" i="45" s="1"/>
  <c r="D7" i="45"/>
  <c r="AJ4" i="45"/>
  <c r="Z4" i="45"/>
  <c r="AK4" i="45" s="1"/>
  <c r="Y4" i="45"/>
  <c r="X4" i="45"/>
  <c r="AI4" i="45" s="1"/>
  <c r="W4" i="45"/>
  <c r="AH4" i="45" s="1"/>
  <c r="V4" i="45"/>
  <c r="AG4" i="45" s="1"/>
  <c r="U4" i="45"/>
  <c r="AF4" i="45" s="1"/>
  <c r="T4" i="45"/>
  <c r="AE4" i="45" s="1"/>
  <c r="S4" i="45"/>
  <c r="AD4" i="45" s="1"/>
  <c r="R4" i="45"/>
  <c r="AC4" i="45" s="1"/>
  <c r="B4" i="45"/>
  <c r="D2" i="45"/>
  <c r="Z17" i="47" l="1"/>
  <c r="U27" i="47"/>
  <c r="U31" i="47"/>
  <c r="S23" i="48"/>
  <c r="S32" i="48"/>
  <c r="R17" i="45"/>
  <c r="AC17" i="45" s="1"/>
  <c r="G48" i="45"/>
  <c r="Z11" i="47"/>
  <c r="S25" i="47"/>
  <c r="X27" i="47"/>
  <c r="AI27" i="47" s="1"/>
  <c r="AK28" i="47"/>
  <c r="X31" i="47"/>
  <c r="Z23" i="48"/>
  <c r="W32" i="48"/>
  <c r="S24" i="47"/>
  <c r="AA24" i="47" s="1"/>
  <c r="T25" i="47"/>
  <c r="Y27" i="47"/>
  <c r="AJ27" i="47" s="1"/>
  <c r="Y31" i="47"/>
  <c r="V23" i="45"/>
  <c r="V11" i="45"/>
  <c r="Z25" i="45"/>
  <c r="Z13" i="45"/>
  <c r="AE13" i="45" s="1"/>
  <c r="Y28" i="45"/>
  <c r="Y16" i="45"/>
  <c r="X31" i="45"/>
  <c r="X19" i="45"/>
  <c r="X7" i="45"/>
  <c r="W38" i="45" s="1"/>
  <c r="W22" i="45"/>
  <c r="W10" i="45"/>
  <c r="U25" i="45"/>
  <c r="U13" i="45"/>
  <c r="U44" i="45" s="1"/>
  <c r="T28" i="45"/>
  <c r="T16" i="45"/>
  <c r="T47" i="45" s="1"/>
  <c r="S17" i="45"/>
  <c r="S48" i="45" s="1"/>
  <c r="S29" i="45"/>
  <c r="S7" i="45"/>
  <c r="S38" i="45" s="1"/>
  <c r="Y33" i="45"/>
  <c r="X24" i="45"/>
  <c r="T33" i="45"/>
  <c r="AE33" i="45" s="1"/>
  <c r="Z17" i="45"/>
  <c r="U17" i="45"/>
  <c r="U48" i="45" s="1"/>
  <c r="Z16" i="45"/>
  <c r="W13" i="45"/>
  <c r="S11" i="45"/>
  <c r="S42" i="45" s="1"/>
  <c r="V22" i="45"/>
  <c r="AG22" i="45" s="1"/>
  <c r="V10" i="45"/>
  <c r="V41" i="45" s="1"/>
  <c r="Z24" i="45"/>
  <c r="Z12" i="45"/>
  <c r="Y27" i="45"/>
  <c r="Y15" i="45"/>
  <c r="X30" i="45"/>
  <c r="X18" i="45"/>
  <c r="W33" i="45"/>
  <c r="W21" i="45"/>
  <c r="W9" i="45"/>
  <c r="U24" i="45"/>
  <c r="U12" i="45"/>
  <c r="U43" i="45" s="1"/>
  <c r="T27" i="45"/>
  <c r="T15" i="45"/>
  <c r="T46" i="45" s="1"/>
  <c r="S18" i="45"/>
  <c r="S49" i="45" s="1"/>
  <c r="S30" i="45"/>
  <c r="V16" i="45"/>
  <c r="Z30" i="45"/>
  <c r="W27" i="45"/>
  <c r="T9" i="45"/>
  <c r="T40" i="45" s="1"/>
  <c r="V15" i="45"/>
  <c r="W26" i="45"/>
  <c r="S25" i="45"/>
  <c r="V14" i="45"/>
  <c r="V45" i="45" s="1"/>
  <c r="W25" i="45"/>
  <c r="AK25" i="45" s="1"/>
  <c r="S26" i="45"/>
  <c r="V33" i="45"/>
  <c r="V21" i="45"/>
  <c r="V9" i="45"/>
  <c r="Z23" i="45"/>
  <c r="Z11" i="45"/>
  <c r="Y26" i="45"/>
  <c r="Y14" i="45"/>
  <c r="X29" i="45"/>
  <c r="X17" i="45"/>
  <c r="W32" i="45"/>
  <c r="AH32" i="45" s="1"/>
  <c r="W20" i="45"/>
  <c r="W8" i="45"/>
  <c r="U23" i="45"/>
  <c r="AG23" i="45" s="1"/>
  <c r="U11" i="45"/>
  <c r="U42" i="45" s="1"/>
  <c r="T26" i="45"/>
  <c r="T14" i="45"/>
  <c r="T45" i="45" s="1"/>
  <c r="S19" i="45"/>
  <c r="S50" i="45" s="1"/>
  <c r="S31" i="45"/>
  <c r="Z18" i="45"/>
  <c r="Y9" i="45"/>
  <c r="U18" i="45"/>
  <c r="U49" i="45" s="1"/>
  <c r="V27" i="45"/>
  <c r="U29" i="45"/>
  <c r="AI29" i="45" s="1"/>
  <c r="Z28" i="45"/>
  <c r="U28" i="45"/>
  <c r="V32" i="45"/>
  <c r="V20" i="45"/>
  <c r="V8" i="45"/>
  <c r="V39" i="45" s="1"/>
  <c r="Z22" i="45"/>
  <c r="Z10" i="45"/>
  <c r="Y25" i="45"/>
  <c r="Y13" i="45"/>
  <c r="X28" i="45"/>
  <c r="X16" i="45"/>
  <c r="W47" i="45" s="1"/>
  <c r="W31" i="45"/>
  <c r="AK31" i="45" s="1"/>
  <c r="W19" i="45"/>
  <c r="W7" i="45"/>
  <c r="U22" i="45"/>
  <c r="U10" i="45"/>
  <c r="U41" i="45" s="1"/>
  <c r="T25" i="45"/>
  <c r="AF25" i="45" s="1"/>
  <c r="T13" i="45"/>
  <c r="T44" i="45" s="1"/>
  <c r="S20" i="45"/>
  <c r="S51" i="45" s="1"/>
  <c r="S32" i="45"/>
  <c r="Y21" i="45"/>
  <c r="T21" i="45"/>
  <c r="T52" i="45" s="1"/>
  <c r="X23" i="45"/>
  <c r="AA23" i="45" s="1"/>
  <c r="T8" i="45"/>
  <c r="T39" i="45" s="1"/>
  <c r="Y19" i="45"/>
  <c r="U16" i="45"/>
  <c r="U47" i="45" s="1"/>
  <c r="V31" i="45"/>
  <c r="V19" i="45"/>
  <c r="V50" i="45" s="1"/>
  <c r="V7" i="45"/>
  <c r="V38" i="45" s="1"/>
  <c r="Z33" i="45"/>
  <c r="Z21" i="45"/>
  <c r="Z9" i="45"/>
  <c r="Y24" i="45"/>
  <c r="Y12" i="45"/>
  <c r="X27" i="45"/>
  <c r="X15" i="45"/>
  <c r="W46" i="45" s="1"/>
  <c r="W30" i="45"/>
  <c r="W18" i="45"/>
  <c r="U33" i="45"/>
  <c r="U21" i="45"/>
  <c r="U52" i="45" s="1"/>
  <c r="U9" i="45"/>
  <c r="U40" i="45" s="1"/>
  <c r="T24" i="45"/>
  <c r="T12" i="45"/>
  <c r="T43" i="45" s="1"/>
  <c r="S21" i="45"/>
  <c r="S52" i="45" s="1"/>
  <c r="S33" i="45"/>
  <c r="W15" i="45"/>
  <c r="W14" i="45"/>
  <c r="X10" i="45"/>
  <c r="W41" i="45" s="1"/>
  <c r="V30" i="45"/>
  <c r="V18" i="45"/>
  <c r="V49" i="45" s="1"/>
  <c r="Z32" i="45"/>
  <c r="Z20" i="45"/>
  <c r="Z8" i="45"/>
  <c r="Y23" i="45"/>
  <c r="Y11" i="45"/>
  <c r="X26" i="45"/>
  <c r="X14" i="45"/>
  <c r="W45" i="45" s="1"/>
  <c r="W29" i="45"/>
  <c r="W17" i="45"/>
  <c r="U32" i="45"/>
  <c r="AE32" i="45" s="1"/>
  <c r="U20" i="45"/>
  <c r="U51" i="45" s="1"/>
  <c r="U8" i="45"/>
  <c r="U39" i="45" s="1"/>
  <c r="T23" i="45"/>
  <c r="T11" i="45"/>
  <c r="T42" i="45" s="1"/>
  <c r="S22" i="45"/>
  <c r="AJ22" i="45" s="1"/>
  <c r="S14" i="45"/>
  <c r="S45" i="45" s="1"/>
  <c r="X12" i="45"/>
  <c r="W43" i="45" s="1"/>
  <c r="S24" i="45"/>
  <c r="Z29" i="45"/>
  <c r="Y8" i="45"/>
  <c r="T20" i="45"/>
  <c r="T51" i="45" s="1"/>
  <c r="X22" i="45"/>
  <c r="T7" i="45"/>
  <c r="T38" i="45" s="1"/>
  <c r="V29" i="45"/>
  <c r="AG29" i="45" s="1"/>
  <c r="V17" i="45"/>
  <c r="Z31" i="45"/>
  <c r="Z19" i="45"/>
  <c r="Z7" i="45"/>
  <c r="Y22" i="45"/>
  <c r="Y10" i="45"/>
  <c r="X25" i="45"/>
  <c r="X13" i="45"/>
  <c r="W44" i="45" s="1"/>
  <c r="W28" i="45"/>
  <c r="AE28" i="45" s="1"/>
  <c r="W16" i="45"/>
  <c r="AH16" i="45" s="1"/>
  <c r="U31" i="45"/>
  <c r="U19" i="45"/>
  <c r="U50" i="45" s="1"/>
  <c r="U7" i="45"/>
  <c r="U38" i="45" s="1"/>
  <c r="T22" i="45"/>
  <c r="T10" i="45"/>
  <c r="T41" i="45" s="1"/>
  <c r="S23" i="45"/>
  <c r="S8" i="45"/>
  <c r="S39" i="45" s="1"/>
  <c r="V28" i="45"/>
  <c r="U30" i="45"/>
  <c r="S9" i="45"/>
  <c r="S40" i="45" s="1"/>
  <c r="Y32" i="45"/>
  <c r="AJ32" i="45" s="1"/>
  <c r="Y20" i="45"/>
  <c r="X11" i="45"/>
  <c r="T32" i="45"/>
  <c r="S10" i="45"/>
  <c r="S41" i="45" s="1"/>
  <c r="V26" i="45"/>
  <c r="Y31" i="45"/>
  <c r="T19" i="45"/>
  <c r="T50" i="45" s="1"/>
  <c r="V25" i="45"/>
  <c r="V13" i="45"/>
  <c r="V44" i="45" s="1"/>
  <c r="Z27" i="45"/>
  <c r="Z15" i="45"/>
  <c r="Y30" i="45"/>
  <c r="AD30" i="45" s="1"/>
  <c r="AL30" i="45" s="1"/>
  <c r="Y18" i="45"/>
  <c r="AF18" i="45" s="1"/>
  <c r="X33" i="45"/>
  <c r="X21" i="45"/>
  <c r="W52" i="45" s="1"/>
  <c r="X9" i="45"/>
  <c r="W40" i="45" s="1"/>
  <c r="W24" i="45"/>
  <c r="W12" i="45"/>
  <c r="U27" i="45"/>
  <c r="U15" i="45"/>
  <c r="U46" i="45" s="1"/>
  <c r="T30" i="45"/>
  <c r="T18" i="45"/>
  <c r="T49" i="45" s="1"/>
  <c r="S15" i="45"/>
  <c r="S46" i="45" s="1"/>
  <c r="S27" i="45"/>
  <c r="AA27" i="45" s="1"/>
  <c r="S12" i="45"/>
  <c r="S43" i="45" s="1"/>
  <c r="V24" i="45"/>
  <c r="V12" i="45"/>
  <c r="V43" i="45" s="1"/>
  <c r="Z26" i="45"/>
  <c r="Z14" i="45"/>
  <c r="Y29" i="45"/>
  <c r="Y17" i="45"/>
  <c r="X32" i="45"/>
  <c r="X20" i="45"/>
  <c r="X8" i="45"/>
  <c r="W39" i="45" s="1"/>
  <c r="W23" i="45"/>
  <c r="W11" i="45"/>
  <c r="AJ11" i="45" s="1"/>
  <c r="U26" i="45"/>
  <c r="AG26" i="45" s="1"/>
  <c r="U14" i="45"/>
  <c r="U45" i="45" s="1"/>
  <c r="T29" i="45"/>
  <c r="AH29" i="45" s="1"/>
  <c r="T17" i="45"/>
  <c r="T48" i="45" s="1"/>
  <c r="S16" i="45"/>
  <c r="S47" i="45" s="1"/>
  <c r="S28" i="45"/>
  <c r="AI28" i="45" s="1"/>
  <c r="S13" i="45"/>
  <c r="S44" i="45" s="1"/>
  <c r="Y7" i="45"/>
  <c r="T31" i="45"/>
  <c r="R11" i="45"/>
  <c r="AC11" i="45" s="1"/>
  <c r="R14" i="45"/>
  <c r="AC14" i="45" s="1"/>
  <c r="R18" i="45"/>
  <c r="AC18" i="45" s="1"/>
  <c r="G49" i="45"/>
  <c r="R21" i="45"/>
  <c r="AC21" i="45" s="1"/>
  <c r="T24" i="47"/>
  <c r="U25" i="47"/>
  <c r="X26" i="47"/>
  <c r="Z27" i="47"/>
  <c r="AK27" i="47" s="1"/>
  <c r="Z31" i="47"/>
  <c r="T33" i="47"/>
  <c r="T7" i="48"/>
  <c r="AE7" i="48" s="1"/>
  <c r="T8" i="48"/>
  <c r="AE8" i="48" s="1"/>
  <c r="T9" i="48"/>
  <c r="AE9" i="48" s="1"/>
  <c r="T10" i="48"/>
  <c r="AE10" i="48" s="1"/>
  <c r="T11" i="48"/>
  <c r="AE11" i="48" s="1"/>
  <c r="T12" i="48"/>
  <c r="AE12" i="48" s="1"/>
  <c r="T13" i="48"/>
  <c r="AE13" i="48" s="1"/>
  <c r="S26" i="48"/>
  <c r="S28" i="48"/>
  <c r="T10" i="47"/>
  <c r="S23" i="47"/>
  <c r="U24" i="47"/>
  <c r="V25" i="47"/>
  <c r="V30" i="47"/>
  <c r="U7" i="48"/>
  <c r="U8" i="48"/>
  <c r="AF8" i="48" s="1"/>
  <c r="U9" i="48"/>
  <c r="AF9" i="48" s="1"/>
  <c r="U10" i="48"/>
  <c r="U11" i="48"/>
  <c r="AF11" i="48" s="1"/>
  <c r="U12" i="48"/>
  <c r="U13" i="48"/>
  <c r="X15" i="48"/>
  <c r="W26" i="48"/>
  <c r="W28" i="48"/>
  <c r="Y25" i="47"/>
  <c r="R19" i="45"/>
  <c r="AC19" i="45" s="1"/>
  <c r="G50" i="45"/>
  <c r="Y12" i="47"/>
  <c r="AI12" i="47" s="1"/>
  <c r="U23" i="47"/>
  <c r="AF23" i="47" s="1"/>
  <c r="X24" i="47"/>
  <c r="Z25" i="47"/>
  <c r="AK25" i="47" s="1"/>
  <c r="S29" i="47"/>
  <c r="AA29" i="47" s="1"/>
  <c r="W7" i="48"/>
  <c r="W8" i="48"/>
  <c r="AH8" i="48" s="1"/>
  <c r="W9" i="48"/>
  <c r="W10" i="48"/>
  <c r="W11" i="48"/>
  <c r="W12" i="48"/>
  <c r="X13" i="48"/>
  <c r="W33" i="48"/>
  <c r="E16" i="45"/>
  <c r="R9" i="45"/>
  <c r="AC9" i="45" s="1"/>
  <c r="R12" i="45"/>
  <c r="AC12" i="45" s="1"/>
  <c r="R15" i="45"/>
  <c r="AC15" i="45" s="1"/>
  <c r="E79" i="45"/>
  <c r="X62" i="45"/>
  <c r="X7" i="48"/>
  <c r="AI7" i="48" s="1"/>
  <c r="X8" i="48"/>
  <c r="AI8" i="48" s="1"/>
  <c r="X9" i="48"/>
  <c r="AI9" i="48" s="1"/>
  <c r="X10" i="48"/>
  <c r="AI10" i="48" s="1"/>
  <c r="X11" i="48"/>
  <c r="AI11" i="48" s="1"/>
  <c r="X12" i="48"/>
  <c r="AI12" i="48" s="1"/>
  <c r="Y13" i="48"/>
  <c r="AK13" i="48" s="1"/>
  <c r="S31" i="48"/>
  <c r="E26" i="45"/>
  <c r="R16" i="45"/>
  <c r="AC16" i="45" s="1"/>
  <c r="G47" i="45"/>
  <c r="S17" i="47"/>
  <c r="V22" i="47"/>
  <c r="Z23" i="47"/>
  <c r="T28" i="47"/>
  <c r="X29" i="47"/>
  <c r="AI29" i="47" s="1"/>
  <c r="S25" i="48"/>
  <c r="S27" i="48"/>
  <c r="AA27" i="48" s="1"/>
  <c r="S29" i="48"/>
  <c r="AD29" i="48" s="1"/>
  <c r="AL29" i="48" s="1"/>
  <c r="H2" i="48"/>
  <c r="G3" i="2"/>
  <c r="H2" i="47"/>
  <c r="F3" i="2"/>
  <c r="H2" i="46"/>
  <c r="D3" i="2"/>
  <c r="E3" i="2"/>
  <c r="H2" i="45"/>
  <c r="AB20" i="46"/>
  <c r="AB27" i="46"/>
  <c r="AA14" i="46"/>
  <c r="Y17" i="46"/>
  <c r="W8" i="46"/>
  <c r="AA10" i="46"/>
  <c r="AL10" i="46" s="1"/>
  <c r="AB23" i="46"/>
  <c r="E79" i="46"/>
  <c r="AA8" i="46"/>
  <c r="AL8" i="46" s="1"/>
  <c r="AA15" i="46"/>
  <c r="AA18" i="46"/>
  <c r="AB29" i="46"/>
  <c r="W7" i="46"/>
  <c r="AA13" i="46"/>
  <c r="W10" i="46"/>
  <c r="AH10" i="46" s="1"/>
  <c r="AA7" i="46"/>
  <c r="AA9" i="46"/>
  <c r="W14" i="46"/>
  <c r="AB25" i="46"/>
  <c r="W12" i="46"/>
  <c r="E14" i="46"/>
  <c r="AA12" i="46"/>
  <c r="AB17" i="46"/>
  <c r="V23" i="46"/>
  <c r="V29" i="46"/>
  <c r="W15" i="46"/>
  <c r="E78" i="46"/>
  <c r="W13" i="46"/>
  <c r="AH13" i="46" s="1"/>
  <c r="X18" i="46"/>
  <c r="V27" i="46"/>
  <c r="W11" i="46"/>
  <c r="AA11" i="46"/>
  <c r="E77" i="46"/>
  <c r="W9" i="46"/>
  <c r="V25" i="46"/>
  <c r="V31" i="46"/>
  <c r="W13" i="48"/>
  <c r="V15" i="48"/>
  <c r="AG15" i="48" s="1"/>
  <c r="W23" i="48"/>
  <c r="AH23" i="48" s="1"/>
  <c r="AJ13" i="48"/>
  <c r="S24" i="48"/>
  <c r="Z24" i="48"/>
  <c r="Y17" i="48"/>
  <c r="X21" i="48"/>
  <c r="V14" i="48"/>
  <c r="Z18" i="48"/>
  <c r="W14" i="48"/>
  <c r="Y14" i="48"/>
  <c r="S19" i="48"/>
  <c r="Z14" i="48"/>
  <c r="AD14" i="48" s="1"/>
  <c r="AL14" i="48" s="1"/>
  <c r="Y16" i="48"/>
  <c r="T15" i="48"/>
  <c r="AE15" i="48" s="1"/>
  <c r="U15" i="48"/>
  <c r="Y21" i="48"/>
  <c r="Z21" i="48"/>
  <c r="V21" i="48"/>
  <c r="V18" i="48"/>
  <c r="X18" i="48"/>
  <c r="S18" i="48"/>
  <c r="W18" i="48"/>
  <c r="Y18" i="48"/>
  <c r="U17" i="48"/>
  <c r="V17" i="48"/>
  <c r="W17" i="48"/>
  <c r="X17" i="48"/>
  <c r="Z17" i="48"/>
  <c r="S21" i="48"/>
  <c r="T21" i="48"/>
  <c r="U21" i="48"/>
  <c r="T19" i="48"/>
  <c r="W19" i="48"/>
  <c r="X19" i="48"/>
  <c r="Y19" i="48"/>
  <c r="Z19" i="48"/>
  <c r="AA15" i="48"/>
  <c r="S14" i="48"/>
  <c r="T14" i="48"/>
  <c r="U14" i="48"/>
  <c r="E78" i="48"/>
  <c r="E77" i="48"/>
  <c r="E79" i="48"/>
  <c r="E18" i="48"/>
  <c r="AA16" i="47"/>
  <c r="AE25" i="47"/>
  <c r="T12" i="47"/>
  <c r="AE12" i="47" s="1"/>
  <c r="AK22" i="47"/>
  <c r="AF27" i="47"/>
  <c r="T30" i="47"/>
  <c r="S32" i="47"/>
  <c r="X12" i="47"/>
  <c r="Y23" i="47"/>
  <c r="AK23" i="47" s="1"/>
  <c r="Y24" i="47"/>
  <c r="X25" i="47"/>
  <c r="AI25" i="47" s="1"/>
  <c r="Y26" i="47"/>
  <c r="AJ26" i="47" s="1"/>
  <c r="V27" i="47"/>
  <c r="AG27" i="47" s="1"/>
  <c r="X28" i="47"/>
  <c r="AI28" i="47" s="1"/>
  <c r="V29" i="47"/>
  <c r="AG29" i="47" s="1"/>
  <c r="U30" i="47"/>
  <c r="V31" i="47"/>
  <c r="AG31" i="47" s="1"/>
  <c r="T32" i="47"/>
  <c r="AK29" i="47"/>
  <c r="Y30" i="47"/>
  <c r="AI30" i="47" s="1"/>
  <c r="AK31" i="47"/>
  <c r="X32" i="47"/>
  <c r="AI32" i="47" s="1"/>
  <c r="U33" i="47"/>
  <c r="AF33" i="47" s="1"/>
  <c r="AJ16" i="47"/>
  <c r="S7" i="47"/>
  <c r="S21" i="47"/>
  <c r="AG21" i="47" s="1"/>
  <c r="Z30" i="47"/>
  <c r="Y32" i="47"/>
  <c r="AJ32" i="47" s="1"/>
  <c r="V33" i="47"/>
  <c r="Z12" i="47"/>
  <c r="T21" i="47"/>
  <c r="AE21" i="47" s="1"/>
  <c r="S22" i="47"/>
  <c r="AH23" i="47"/>
  <c r="AH24" i="47"/>
  <c r="Z32" i="47"/>
  <c r="X33" i="47"/>
  <c r="AI33" i="47" s="1"/>
  <c r="U21" i="47"/>
  <c r="T22" i="47"/>
  <c r="AH25" i="47"/>
  <c r="Y33" i="47"/>
  <c r="AH33" i="47" s="1"/>
  <c r="W21" i="47"/>
  <c r="U22" i="47"/>
  <c r="AD24" i="47"/>
  <c r="AL24" i="47" s="1"/>
  <c r="AH27" i="47"/>
  <c r="AH29" i="47"/>
  <c r="AH31" i="47"/>
  <c r="Z33" i="47"/>
  <c r="X21" i="47"/>
  <c r="AD25" i="47"/>
  <c r="AL25" i="47" s="1"/>
  <c r="AE26" i="47"/>
  <c r="AD28" i="47"/>
  <c r="AL28" i="47" s="1"/>
  <c r="AE16" i="47"/>
  <c r="Y21" i="47"/>
  <c r="AD27" i="47"/>
  <c r="AL27" i="47" s="1"/>
  <c r="AD29" i="47"/>
  <c r="AL29" i="47" s="1"/>
  <c r="AD31" i="47"/>
  <c r="AL31" i="47" s="1"/>
  <c r="Z21" i="47"/>
  <c r="Y22" i="47"/>
  <c r="AJ22" i="47" s="1"/>
  <c r="AF25" i="47"/>
  <c r="AF28" i="47"/>
  <c r="S30" i="47"/>
  <c r="AH30" i="47" s="1"/>
  <c r="AF29" i="47"/>
  <c r="E30" i="47"/>
  <c r="D96" i="47" s="1"/>
  <c r="E26" i="47"/>
  <c r="E79" i="47"/>
  <c r="E31" i="47"/>
  <c r="E78" i="47"/>
  <c r="AL11" i="46"/>
  <c r="V19" i="46"/>
  <c r="U7" i="46"/>
  <c r="AC7" i="46" s="1"/>
  <c r="U8" i="46"/>
  <c r="AC8" i="46" s="1"/>
  <c r="U9" i="46"/>
  <c r="AC9" i="46" s="1"/>
  <c r="U10" i="46"/>
  <c r="AC10" i="46" s="1"/>
  <c r="U11" i="46"/>
  <c r="AC11" i="46" s="1"/>
  <c r="U12" i="46"/>
  <c r="AC12" i="46" s="1"/>
  <c r="U13" i="46"/>
  <c r="AC13" i="46" s="1"/>
  <c r="U14" i="46"/>
  <c r="U15" i="46"/>
  <c r="U18" i="46"/>
  <c r="V21" i="46"/>
  <c r="AB22" i="46"/>
  <c r="AB24" i="46"/>
  <c r="AB26" i="46"/>
  <c r="AB28" i="46"/>
  <c r="AB30" i="46"/>
  <c r="V7" i="46"/>
  <c r="V8" i="46"/>
  <c r="AG8" i="46" s="1"/>
  <c r="V9" i="46"/>
  <c r="V10" i="46"/>
  <c r="V11" i="46"/>
  <c r="V12" i="46"/>
  <c r="V13" i="46"/>
  <c r="V14" i="46"/>
  <c r="AG14" i="46" s="1"/>
  <c r="V15" i="46"/>
  <c r="W18" i="46"/>
  <c r="W21" i="46"/>
  <c r="X7" i="46"/>
  <c r="X8" i="46"/>
  <c r="X9" i="46"/>
  <c r="X10" i="46"/>
  <c r="X11" i="46"/>
  <c r="X12" i="46"/>
  <c r="X13" i="46"/>
  <c r="X14" i="46"/>
  <c r="X15" i="46"/>
  <c r="Z18" i="46"/>
  <c r="Z21" i="46"/>
  <c r="Y33" i="46"/>
  <c r="Y7" i="46"/>
  <c r="X21" i="46"/>
  <c r="Y8" i="46"/>
  <c r="Y9" i="46"/>
  <c r="Y10" i="46"/>
  <c r="Y11" i="46"/>
  <c r="AJ11" i="46" s="1"/>
  <c r="Y12" i="46"/>
  <c r="Y13" i="46"/>
  <c r="Y14" i="46"/>
  <c r="Y15" i="46"/>
  <c r="V17" i="46"/>
  <c r="W20" i="46"/>
  <c r="AA21" i="46"/>
  <c r="Z7" i="46"/>
  <c r="Z8" i="46"/>
  <c r="Z9" i="46"/>
  <c r="Z10" i="46"/>
  <c r="Z11" i="46"/>
  <c r="AK11" i="46" s="1"/>
  <c r="Z12" i="46"/>
  <c r="Z13" i="46"/>
  <c r="Z14" i="46"/>
  <c r="Z15" i="46"/>
  <c r="W17" i="46"/>
  <c r="Z20" i="46"/>
  <c r="Y23" i="46"/>
  <c r="Y25" i="46"/>
  <c r="Y27" i="46"/>
  <c r="Y29" i="46"/>
  <c r="Y31" i="46"/>
  <c r="Z17" i="46"/>
  <c r="V32" i="46"/>
  <c r="Y19" i="46"/>
  <c r="V22" i="46"/>
  <c r="V24" i="46"/>
  <c r="V26" i="46"/>
  <c r="V28" i="46"/>
  <c r="V30" i="46"/>
  <c r="Y32" i="46"/>
  <c r="E83" i="46"/>
  <c r="AA19" i="46"/>
  <c r="U21" i="46"/>
  <c r="Y22" i="46"/>
  <c r="Y24" i="46"/>
  <c r="Y26" i="46"/>
  <c r="Y28" i="46"/>
  <c r="Y30" i="46"/>
  <c r="AE9" i="45"/>
  <c r="AG33" i="45"/>
  <c r="AE15" i="45"/>
  <c r="AK9" i="45"/>
  <c r="AJ10" i="45"/>
  <c r="AI24" i="45"/>
  <c r="AJ15" i="45"/>
  <c r="AI27" i="45"/>
  <c r="AK15" i="45"/>
  <c r="AH21" i="45"/>
  <c r="AF24" i="45"/>
  <c r="E27" i="45"/>
  <c r="E29" i="45"/>
  <c r="E31" i="45"/>
  <c r="E17" i="45"/>
  <c r="E24" i="45"/>
  <c r="E28" i="45"/>
  <c r="E30" i="45"/>
  <c r="D96" i="45" s="1"/>
  <c r="E77" i="45"/>
  <c r="E18" i="45"/>
  <c r="E78" i="45"/>
  <c r="E23" i="45"/>
  <c r="D95" i="45" s="1"/>
  <c r="E25" i="45"/>
  <c r="E22" i="45"/>
  <c r="AG26" i="48"/>
  <c r="AD30" i="48"/>
  <c r="AL30" i="48" s="1"/>
  <c r="AH26" i="48"/>
  <c r="AG24" i="48"/>
  <c r="AA32" i="48"/>
  <c r="T20" i="48"/>
  <c r="S20" i="48"/>
  <c r="Z20" i="48"/>
  <c r="Y20" i="48"/>
  <c r="X20" i="48"/>
  <c r="W20" i="48"/>
  <c r="U20" i="48"/>
  <c r="V20" i="48"/>
  <c r="E82" i="48"/>
  <c r="AG23" i="48"/>
  <c r="E83" i="48"/>
  <c r="AD7" i="48"/>
  <c r="AL7" i="48" s="1"/>
  <c r="AD8" i="48"/>
  <c r="AL8" i="48" s="1"/>
  <c r="AD9" i="48"/>
  <c r="AL9" i="48" s="1"/>
  <c r="AD10" i="48"/>
  <c r="AL10" i="48" s="1"/>
  <c r="AD11" i="48"/>
  <c r="AL11" i="48" s="1"/>
  <c r="AD12" i="48"/>
  <c r="AL12" i="48" s="1"/>
  <c r="AD15" i="48"/>
  <c r="AL15" i="48" s="1"/>
  <c r="S17" i="48"/>
  <c r="T18" i="48"/>
  <c r="U19" i="48"/>
  <c r="W21" i="48"/>
  <c r="X22" i="48"/>
  <c r="X23" i="48"/>
  <c r="X24" i="48"/>
  <c r="X25" i="48"/>
  <c r="X26" i="48"/>
  <c r="X27" i="48"/>
  <c r="X28" i="48"/>
  <c r="X29" i="48"/>
  <c r="X30" i="48"/>
  <c r="AI30" i="48" s="1"/>
  <c r="X31" i="48"/>
  <c r="X32" i="48"/>
  <c r="X33" i="48"/>
  <c r="AI33" i="48" s="1"/>
  <c r="H83" i="48"/>
  <c r="S16" i="48"/>
  <c r="T17" i="48"/>
  <c r="U18" i="48"/>
  <c r="V19" i="48"/>
  <c r="Y22" i="48"/>
  <c r="AJ22" i="48" s="1"/>
  <c r="Y23" i="48"/>
  <c r="AJ23" i="48" s="1"/>
  <c r="Y24" i="48"/>
  <c r="AJ24" i="48" s="1"/>
  <c r="Y25" i="48"/>
  <c r="AJ25" i="48" s="1"/>
  <c r="Y26" i="48"/>
  <c r="AJ26" i="48" s="1"/>
  <c r="Y27" i="48"/>
  <c r="Y28" i="48"/>
  <c r="AJ28" i="48" s="1"/>
  <c r="Y29" i="48"/>
  <c r="Y30" i="48"/>
  <c r="AJ30" i="48" s="1"/>
  <c r="Y31" i="48"/>
  <c r="AJ31" i="48" s="1"/>
  <c r="Y32" i="48"/>
  <c r="AJ32" i="48" s="1"/>
  <c r="Y33" i="48"/>
  <c r="AJ33" i="48" s="1"/>
  <c r="AF7" i="48"/>
  <c r="AF10" i="48"/>
  <c r="AF12" i="48"/>
  <c r="AF15" i="48"/>
  <c r="T16" i="48"/>
  <c r="Z29" i="48"/>
  <c r="Z30" i="48"/>
  <c r="AK30" i="48" s="1"/>
  <c r="Z31" i="48"/>
  <c r="Z32" i="48"/>
  <c r="Z33" i="48"/>
  <c r="AK33" i="48" s="1"/>
  <c r="U16" i="48"/>
  <c r="E22" i="48"/>
  <c r="AA22" i="48"/>
  <c r="E23" i="48"/>
  <c r="D95" i="48" s="1"/>
  <c r="AA23" i="48"/>
  <c r="E24" i="48"/>
  <c r="AA24" i="48"/>
  <c r="E25" i="48"/>
  <c r="AA25" i="48"/>
  <c r="E26" i="48"/>
  <c r="AA26" i="48"/>
  <c r="E27" i="48"/>
  <c r="E28" i="48"/>
  <c r="AA28" i="48"/>
  <c r="E29" i="48"/>
  <c r="E30" i="48"/>
  <c r="D96" i="48" s="1"/>
  <c r="AA30" i="48"/>
  <c r="E31" i="48"/>
  <c r="AA31" i="48"/>
  <c r="E32" i="48"/>
  <c r="E33" i="48"/>
  <c r="AA33" i="48"/>
  <c r="B81" i="48"/>
  <c r="AH7" i="48"/>
  <c r="AH9" i="48"/>
  <c r="AH10" i="48"/>
  <c r="AH11" i="48"/>
  <c r="AH12" i="48"/>
  <c r="AH15" i="48"/>
  <c r="V16" i="48"/>
  <c r="E21" i="48"/>
  <c r="E81" i="48"/>
  <c r="W16" i="48"/>
  <c r="E20" i="48"/>
  <c r="H81" i="48"/>
  <c r="AJ15" i="48"/>
  <c r="X16" i="48"/>
  <c r="E19" i="48"/>
  <c r="B82" i="48"/>
  <c r="Z16" i="48"/>
  <c r="E17" i="48"/>
  <c r="T22" i="48"/>
  <c r="T23" i="48"/>
  <c r="T24" i="48"/>
  <c r="T25" i="48"/>
  <c r="T26" i="48"/>
  <c r="AE26" i="48" s="1"/>
  <c r="T27" i="48"/>
  <c r="T28" i="48"/>
  <c r="T29" i="48"/>
  <c r="T30" i="48"/>
  <c r="AE30" i="48" s="1"/>
  <c r="T31" i="48"/>
  <c r="T32" i="48"/>
  <c r="T33" i="48"/>
  <c r="AE33" i="48" s="1"/>
  <c r="H82" i="48"/>
  <c r="E16" i="48"/>
  <c r="U22" i="48"/>
  <c r="U23" i="48"/>
  <c r="AF23" i="48" s="1"/>
  <c r="U24" i="48"/>
  <c r="U25" i="48"/>
  <c r="U26" i="48"/>
  <c r="AF26" i="48" s="1"/>
  <c r="U27" i="48"/>
  <c r="U28" i="48"/>
  <c r="U29" i="48"/>
  <c r="U30" i="48"/>
  <c r="AF30" i="48" s="1"/>
  <c r="U31" i="48"/>
  <c r="AF31" i="48" s="1"/>
  <c r="U32" i="48"/>
  <c r="U33" i="48"/>
  <c r="B83" i="48"/>
  <c r="E8" i="48"/>
  <c r="E9" i="48"/>
  <c r="E10" i="48"/>
  <c r="E11" i="48"/>
  <c r="E12" i="48"/>
  <c r="E13" i="48"/>
  <c r="E15" i="48"/>
  <c r="H82" i="47"/>
  <c r="E82" i="47"/>
  <c r="B82" i="47"/>
  <c r="W7" i="47"/>
  <c r="H81" i="47"/>
  <c r="V7" i="47"/>
  <c r="E81" i="47"/>
  <c r="U7" i="47"/>
  <c r="H83" i="47"/>
  <c r="E83" i="47"/>
  <c r="AG28" i="47"/>
  <c r="W8" i="47"/>
  <c r="V8" i="47"/>
  <c r="U8" i="47"/>
  <c r="S13" i="47"/>
  <c r="W14" i="47"/>
  <c r="V14" i="47"/>
  <c r="U14" i="47"/>
  <c r="AG17" i="47"/>
  <c r="V18" i="47"/>
  <c r="U19" i="47"/>
  <c r="E24" i="47"/>
  <c r="AD33" i="47"/>
  <c r="AL33" i="47" s="1"/>
  <c r="AA33" i="47"/>
  <c r="X7" i="47"/>
  <c r="T13" i="47"/>
  <c r="AK16" i="47"/>
  <c r="W19" i="47"/>
  <c r="S20" i="47"/>
  <c r="AE28" i="47"/>
  <c r="E29" i="47"/>
  <c r="AE33" i="47"/>
  <c r="Y7" i="47"/>
  <c r="AJ7" i="47" s="1"/>
  <c r="S8" i="47"/>
  <c r="W9" i="47"/>
  <c r="V9" i="47"/>
  <c r="U9" i="47"/>
  <c r="X13" i="47"/>
  <c r="S14" i="47"/>
  <c r="W15" i="47"/>
  <c r="V15" i="47"/>
  <c r="U15" i="47"/>
  <c r="E16" i="47"/>
  <c r="AA21" i="47"/>
  <c r="E22" i="47"/>
  <c r="AJ25" i="47"/>
  <c r="AA27" i="47"/>
  <c r="Z20" i="47"/>
  <c r="W20" i="47"/>
  <c r="U20" i="47"/>
  <c r="T20" i="47"/>
  <c r="Z7" i="47"/>
  <c r="T8" i="47"/>
  <c r="T14" i="47"/>
  <c r="X20" i="47"/>
  <c r="E27" i="47"/>
  <c r="B81" i="47"/>
  <c r="W13" i="47"/>
  <c r="V13" i="47"/>
  <c r="U13" i="47"/>
  <c r="Z18" i="47"/>
  <c r="Y18" i="47"/>
  <c r="X18" i="47"/>
  <c r="U18" i="47"/>
  <c r="S18" i="47"/>
  <c r="AA7" i="47"/>
  <c r="X8" i="47"/>
  <c r="S9" i="47"/>
  <c r="AJ9" i="47" s="1"/>
  <c r="W10" i="47"/>
  <c r="V10" i="47"/>
  <c r="U10" i="47"/>
  <c r="Z13" i="47"/>
  <c r="X14" i="47"/>
  <c r="S15" i="47"/>
  <c r="AG16" i="47"/>
  <c r="Y20" i="47"/>
  <c r="AJ23" i="47"/>
  <c r="AA25" i="47"/>
  <c r="AE31" i="47"/>
  <c r="E32" i="47"/>
  <c r="B83" i="47"/>
  <c r="T18" i="47"/>
  <c r="Y8" i="47"/>
  <c r="AJ8" i="47" s="1"/>
  <c r="T9" i="47"/>
  <c r="Y14" i="47"/>
  <c r="T15" i="47"/>
  <c r="AH16" i="47"/>
  <c r="E25" i="47"/>
  <c r="AJ28" i="47"/>
  <c r="AA30" i="47"/>
  <c r="Z19" i="47"/>
  <c r="Y19" i="47"/>
  <c r="V19" i="47"/>
  <c r="T19" i="47"/>
  <c r="S19" i="47"/>
  <c r="Z8" i="47"/>
  <c r="X9" i="47"/>
  <c r="AI9" i="47" s="1"/>
  <c r="S10" i="47"/>
  <c r="AK10" i="47" s="1"/>
  <c r="W11" i="47"/>
  <c r="V11" i="47"/>
  <c r="U11" i="47"/>
  <c r="Z14" i="47"/>
  <c r="X15" i="47"/>
  <c r="AD16" i="47"/>
  <c r="AA23" i="47"/>
  <c r="AG25" i="47"/>
  <c r="AE29" i="47"/>
  <c r="E19" i="47"/>
  <c r="E20" i="47"/>
  <c r="E21" i="47"/>
  <c r="E33" i="47"/>
  <c r="E77" i="47"/>
  <c r="E15" i="47"/>
  <c r="E13" i="47"/>
  <c r="E12" i="47"/>
  <c r="E11" i="47"/>
  <c r="E10" i="47"/>
  <c r="E9" i="47"/>
  <c r="E17" i="47"/>
  <c r="E23" i="47"/>
  <c r="D95" i="47" s="1"/>
  <c r="AA28" i="47"/>
  <c r="E14" i="47"/>
  <c r="E8" i="47"/>
  <c r="Z9" i="47"/>
  <c r="X10" i="47"/>
  <c r="S11" i="47"/>
  <c r="AE11" i="47" s="1"/>
  <c r="W12" i="47"/>
  <c r="V12" i="47"/>
  <c r="U12" i="47"/>
  <c r="Z15" i="47"/>
  <c r="AF16" i="47"/>
  <c r="E18" i="47"/>
  <c r="AG23" i="47"/>
  <c r="AI24" i="47"/>
  <c r="AE27" i="47"/>
  <c r="E28" i="47"/>
  <c r="AJ31" i="47"/>
  <c r="T17" i="47"/>
  <c r="AE17" i="47" s="1"/>
  <c r="W17" i="47"/>
  <c r="X17" i="47"/>
  <c r="H83" i="46"/>
  <c r="U17" i="46"/>
  <c r="V18" i="46"/>
  <c r="W19" i="46"/>
  <c r="X20" i="46"/>
  <c r="Y21" i="46"/>
  <c r="Z22" i="46"/>
  <c r="Z23" i="46"/>
  <c r="Z24" i="46"/>
  <c r="Z25" i="46"/>
  <c r="Z26" i="46"/>
  <c r="Z27" i="46"/>
  <c r="Z28" i="46"/>
  <c r="Z29" i="46"/>
  <c r="Z30" i="46"/>
  <c r="Z31" i="46"/>
  <c r="Z32" i="46"/>
  <c r="Z33" i="46"/>
  <c r="U16" i="46"/>
  <c r="X19" i="46"/>
  <c r="Y20" i="46"/>
  <c r="AA22" i="46"/>
  <c r="AA23" i="46"/>
  <c r="AA24" i="46"/>
  <c r="AA25" i="46"/>
  <c r="AA26" i="46"/>
  <c r="AA27" i="46"/>
  <c r="AA28" i="46"/>
  <c r="AA29" i="46"/>
  <c r="AA30" i="46"/>
  <c r="AA31" i="46"/>
  <c r="AA32" i="46"/>
  <c r="AA33" i="46"/>
  <c r="V16" i="46"/>
  <c r="AB31" i="46"/>
  <c r="AB32" i="46"/>
  <c r="AB33" i="46"/>
  <c r="W16" i="46"/>
  <c r="X17" i="46"/>
  <c r="Y18" i="46"/>
  <c r="Z19" i="46"/>
  <c r="AA20" i="46"/>
  <c r="E22" i="46"/>
  <c r="E23" i="46"/>
  <c r="D95" i="46" s="1"/>
  <c r="E24" i="46"/>
  <c r="E25" i="46"/>
  <c r="E26" i="46"/>
  <c r="E27" i="46"/>
  <c r="E28" i="46"/>
  <c r="E29" i="46"/>
  <c r="E30" i="46"/>
  <c r="D96" i="46" s="1"/>
  <c r="E31" i="46"/>
  <c r="E32" i="46"/>
  <c r="E33" i="46"/>
  <c r="B81" i="46"/>
  <c r="X16" i="46"/>
  <c r="E21" i="46"/>
  <c r="E81" i="46"/>
  <c r="Y16" i="46"/>
  <c r="AB19" i="46"/>
  <c r="E20" i="46"/>
  <c r="H81" i="46"/>
  <c r="Z16" i="46"/>
  <c r="E19" i="46"/>
  <c r="B82" i="46"/>
  <c r="AM10" i="46"/>
  <c r="AM11" i="46"/>
  <c r="AA16" i="46"/>
  <c r="E18" i="46"/>
  <c r="U22" i="46"/>
  <c r="U23" i="46"/>
  <c r="U24" i="46"/>
  <c r="AI24" i="46" s="1"/>
  <c r="U25" i="46"/>
  <c r="AM25" i="46" s="1"/>
  <c r="U26" i="46"/>
  <c r="U27" i="46"/>
  <c r="U28" i="46"/>
  <c r="U29" i="46"/>
  <c r="U30" i="46"/>
  <c r="U31" i="46"/>
  <c r="U32" i="46"/>
  <c r="U33" i="46"/>
  <c r="E82" i="46"/>
  <c r="E17" i="46"/>
  <c r="H82" i="46"/>
  <c r="E16" i="46"/>
  <c r="U20" i="46"/>
  <c r="W22" i="46"/>
  <c r="W23" i="46"/>
  <c r="W24" i="46"/>
  <c r="W25" i="46"/>
  <c r="W26" i="46"/>
  <c r="W27" i="46"/>
  <c r="W28" i="46"/>
  <c r="W29" i="46"/>
  <c r="W30" i="46"/>
  <c r="W31" i="46"/>
  <c r="W32" i="46"/>
  <c r="W33" i="46"/>
  <c r="B83" i="46"/>
  <c r="E8" i="46"/>
  <c r="E9" i="46"/>
  <c r="E10" i="46"/>
  <c r="E11" i="46"/>
  <c r="E12" i="46"/>
  <c r="E13" i="46"/>
  <c r="E15" i="46"/>
  <c r="AD24" i="45"/>
  <c r="AL24" i="45" s="1"/>
  <c r="AA24" i="45"/>
  <c r="AE24" i="45"/>
  <c r="AF26" i="45"/>
  <c r="E82" i="45"/>
  <c r="B82" i="45"/>
  <c r="AH15" i="45"/>
  <c r="AG15" i="45"/>
  <c r="AD15" i="45"/>
  <c r="AH19" i="45"/>
  <c r="AI25" i="45"/>
  <c r="AA9" i="45"/>
  <c r="AH9" i="45"/>
  <c r="AD9" i="45"/>
  <c r="AL9" i="45" s="1"/>
  <c r="AD21" i="45"/>
  <c r="AA21" i="45"/>
  <c r="AH26" i="45"/>
  <c r="AA7" i="45"/>
  <c r="AD7" i="45"/>
  <c r="AL7" i="45" s="1"/>
  <c r="E14" i="45"/>
  <c r="E8" i="45"/>
  <c r="E83" i="45"/>
  <c r="H82" i="45"/>
  <c r="B81" i="45"/>
  <c r="B83" i="45"/>
  <c r="AG19" i="45"/>
  <c r="AK33" i="45"/>
  <c r="AI9" i="45"/>
  <c r="AK24" i="45"/>
  <c r="AK28" i="45"/>
  <c r="AI7" i="45"/>
  <c r="AA8" i="45"/>
  <c r="AJ21" i="45"/>
  <c r="AG24" i="45"/>
  <c r="AH10" i="45"/>
  <c r="AJ24" i="45"/>
  <c r="AJ9" i="45"/>
  <c r="AF9" i="45"/>
  <c r="AK21" i="45"/>
  <c r="AH24" i="45"/>
  <c r="AD27" i="45"/>
  <c r="AL27" i="45" s="1"/>
  <c r="AI33" i="45"/>
  <c r="AG9" i="45"/>
  <c r="AA11" i="45"/>
  <c r="AG11" i="45"/>
  <c r="AD33" i="45"/>
  <c r="AL33" i="45" s="1"/>
  <c r="AA33" i="45"/>
  <c r="AH33" i="45"/>
  <c r="H83" i="45"/>
  <c r="E21" i="45"/>
  <c r="E81" i="45"/>
  <c r="E32" i="45"/>
  <c r="E33" i="45"/>
  <c r="E20" i="45"/>
  <c r="H81" i="45"/>
  <c r="AH7" i="45"/>
  <c r="E19" i="45"/>
  <c r="E9" i="45"/>
  <c r="E10" i="45"/>
  <c r="E11" i="45"/>
  <c r="E12" i="45"/>
  <c r="E13" i="45"/>
  <c r="E15" i="45"/>
  <c r="F45" i="2"/>
  <c r="D56" i="2"/>
  <c r="E45" i="2"/>
  <c r="G55" i="2"/>
  <c r="L9" i="2" l="1"/>
  <c r="M9" i="2"/>
  <c r="AD12" i="47"/>
  <c r="AL12" i="47" s="1"/>
  <c r="AE23" i="47"/>
  <c r="AF29" i="48"/>
  <c r="AE31" i="48"/>
  <c r="AG32" i="48"/>
  <c r="AK7" i="45"/>
  <c r="AJ33" i="45"/>
  <c r="AK32" i="47"/>
  <c r="AF14" i="48"/>
  <c r="AI13" i="48"/>
  <c r="AJ8" i="45"/>
  <c r="W48" i="45"/>
  <c r="V42" i="45"/>
  <c r="AI10" i="45"/>
  <c r="AI32" i="45"/>
  <c r="AA22" i="45"/>
  <c r="AH31" i="45"/>
  <c r="AD26" i="45"/>
  <c r="AL26" i="45" s="1"/>
  <c r="AH8" i="45"/>
  <c r="AK30" i="45"/>
  <c r="AJ29" i="48"/>
  <c r="AH27" i="48"/>
  <c r="AJ30" i="45"/>
  <c r="AI12" i="45"/>
  <c r="AJ14" i="45"/>
  <c r="AK12" i="46"/>
  <c r="AJ12" i="46"/>
  <c r="AC18" i="46"/>
  <c r="AH32" i="47"/>
  <c r="AH26" i="47"/>
  <c r="AA26" i="45"/>
  <c r="AK18" i="45"/>
  <c r="AA25" i="45"/>
  <c r="AE10" i="45"/>
  <c r="AA31" i="45"/>
  <c r="AA13" i="45"/>
  <c r="AI30" i="45"/>
  <c r="AD28" i="45"/>
  <c r="AL28" i="45" s="1"/>
  <c r="AK7" i="47"/>
  <c r="AE29" i="48"/>
  <c r="AA29" i="48"/>
  <c r="AF13" i="48"/>
  <c r="AI11" i="45"/>
  <c r="W51" i="45"/>
  <c r="V46" i="45"/>
  <c r="V63" i="45" s="1"/>
  <c r="AF8" i="45"/>
  <c r="AD21" i="47"/>
  <c r="AH13" i="48"/>
  <c r="AJ31" i="45"/>
  <c r="AD31" i="45"/>
  <c r="AL31" i="45" s="1"/>
  <c r="AA28" i="45"/>
  <c r="AI32" i="48"/>
  <c r="AK32" i="45"/>
  <c r="AG8" i="45"/>
  <c r="AA32" i="45"/>
  <c r="AJ29" i="45"/>
  <c r="AI31" i="45"/>
  <c r="AA12" i="45"/>
  <c r="AK26" i="45"/>
  <c r="AF12" i="47"/>
  <c r="AE10" i="47"/>
  <c r="AE9" i="47"/>
  <c r="AD23" i="48"/>
  <c r="AL23" i="48" s="1"/>
  <c r="AD32" i="48"/>
  <c r="AL32" i="48" s="1"/>
  <c r="AF29" i="45"/>
  <c r="AH23" i="45"/>
  <c r="AD23" i="47"/>
  <c r="AL23" i="47" s="1"/>
  <c r="AJ24" i="47"/>
  <c r="W49" i="45"/>
  <c r="W63" i="45" s="1"/>
  <c r="AD25" i="45"/>
  <c r="AL25" i="45" s="1"/>
  <c r="AA15" i="45"/>
  <c r="AJ27" i="48"/>
  <c r="AD32" i="45"/>
  <c r="AL32" i="45" s="1"/>
  <c r="AE30" i="45"/>
  <c r="AF32" i="45"/>
  <c r="AF28" i="45"/>
  <c r="AI26" i="45"/>
  <c r="AG28" i="45"/>
  <c r="AF10" i="45"/>
  <c r="AG12" i="47"/>
  <c r="AE31" i="45"/>
  <c r="AJ28" i="45"/>
  <c r="AJ25" i="45"/>
  <c r="AE26" i="45"/>
  <c r="AG31" i="45"/>
  <c r="AH12" i="47"/>
  <c r="AF9" i="47"/>
  <c r="AE13" i="47"/>
  <c r="AE25" i="48"/>
  <c r="AI29" i="48"/>
  <c r="AK26" i="48"/>
  <c r="AH21" i="47"/>
  <c r="AK12" i="47"/>
  <c r="AG13" i="48"/>
  <c r="V51" i="45"/>
  <c r="V40" i="45"/>
  <c r="V47" i="45"/>
  <c r="W50" i="45"/>
  <c r="AF31" i="47"/>
  <c r="AA10" i="45"/>
  <c r="AK16" i="45"/>
  <c r="AE8" i="45"/>
  <c r="AK29" i="45"/>
  <c r="AH30" i="45"/>
  <c r="AE29" i="45"/>
  <c r="AF31" i="45"/>
  <c r="AH10" i="47"/>
  <c r="AJ12" i="47"/>
  <c r="AF22" i="48"/>
  <c r="AD13" i="48"/>
  <c r="AL13" i="48" s="1"/>
  <c r="AG30" i="48"/>
  <c r="AH25" i="45"/>
  <c r="AK11" i="45"/>
  <c r="V48" i="45"/>
  <c r="V52" i="45"/>
  <c r="AH28" i="45"/>
  <c r="AE25" i="45"/>
  <c r="AK32" i="48"/>
  <c r="AJ12" i="45"/>
  <c r="AG10" i="45"/>
  <c r="AG25" i="45"/>
  <c r="S63" i="45"/>
  <c r="AH15" i="46"/>
  <c r="AK29" i="48"/>
  <c r="AK21" i="47"/>
  <c r="AK8" i="45"/>
  <c r="AA30" i="45"/>
  <c r="AA29" i="45"/>
  <c r="AF30" i="45"/>
  <c r="AH9" i="47"/>
  <c r="AA16" i="45"/>
  <c r="AD10" i="45"/>
  <c r="AL10" i="45" s="1"/>
  <c r="AD8" i="45"/>
  <c r="AL8" i="45" s="1"/>
  <c r="AD29" i="45"/>
  <c r="AL29" i="45" s="1"/>
  <c r="AJ32" i="46"/>
  <c r="AK9" i="47"/>
  <c r="AI23" i="47"/>
  <c r="AF32" i="48"/>
  <c r="AE22" i="48"/>
  <c r="AI26" i="48"/>
  <c r="AH24" i="48"/>
  <c r="AI8" i="45"/>
  <c r="W42" i="45"/>
  <c r="AI31" i="47"/>
  <c r="AJ29" i="47"/>
  <c r="AL31" i="46"/>
  <c r="AM8" i="46"/>
  <c r="AL30" i="46"/>
  <c r="AI13" i="46"/>
  <c r="AG13" i="46"/>
  <c r="AG21" i="46"/>
  <c r="AI26" i="46"/>
  <c r="AG9" i="46"/>
  <c r="AI9" i="46"/>
  <c r="AL17" i="46"/>
  <c r="AH12" i="46"/>
  <c r="AI33" i="46"/>
  <c r="AM23" i="46"/>
  <c r="AF10" i="46"/>
  <c r="AN10" i="46" s="1"/>
  <c r="AG22" i="46"/>
  <c r="AH11" i="46"/>
  <c r="AG15" i="46"/>
  <c r="AK9" i="46"/>
  <c r="AJ9" i="46"/>
  <c r="AK8" i="46"/>
  <c r="AJ8" i="46"/>
  <c r="AF8" i="46"/>
  <c r="AN8" i="46" s="1"/>
  <c r="AI10" i="46"/>
  <c r="AG10" i="46"/>
  <c r="AH22" i="46"/>
  <c r="AI8" i="46"/>
  <c r="AK10" i="46"/>
  <c r="AJ10" i="46"/>
  <c r="AJ18" i="46"/>
  <c r="AF21" i="46"/>
  <c r="AL27" i="46"/>
  <c r="AH8" i="46"/>
  <c r="AG12" i="46"/>
  <c r="AI22" i="46"/>
  <c r="AI11" i="46"/>
  <c r="AG11" i="46"/>
  <c r="AC15" i="46"/>
  <c r="AH19" i="46"/>
  <c r="AC14" i="46"/>
  <c r="AL19" i="46"/>
  <c r="AI31" i="46"/>
  <c r="AL9" i="46"/>
  <c r="AH7" i="46"/>
  <c r="AF12" i="46"/>
  <c r="AN12" i="46" s="1"/>
  <c r="AI7" i="46"/>
  <c r="AH24" i="46"/>
  <c r="AM12" i="46"/>
  <c r="AK27" i="46"/>
  <c r="AF11" i="46"/>
  <c r="AN11" i="46" s="1"/>
  <c r="AL12" i="46"/>
  <c r="AJ31" i="46"/>
  <c r="AM16" i="46"/>
  <c r="AM20" i="46"/>
  <c r="AJ24" i="46"/>
  <c r="AM18" i="46"/>
  <c r="AE24" i="48"/>
  <c r="AE23" i="48"/>
  <c r="AI23" i="48"/>
  <c r="AK23" i="48"/>
  <c r="AG14" i="48"/>
  <c r="AI14" i="48"/>
  <c r="AK15" i="48"/>
  <c r="AD22" i="48"/>
  <c r="AL22" i="48" s="1"/>
  <c r="AJ19" i="48"/>
  <c r="AG21" i="48"/>
  <c r="AD19" i="48"/>
  <c r="AE18" i="48"/>
  <c r="AH18" i="48"/>
  <c r="AD18" i="48"/>
  <c r="AH20" i="48"/>
  <c r="AG19" i="48"/>
  <c r="AG18" i="48"/>
  <c r="AK17" i="48"/>
  <c r="AE16" i="48"/>
  <c r="AD21" i="48"/>
  <c r="AH21" i="48"/>
  <c r="AK21" i="48"/>
  <c r="AE21" i="48"/>
  <c r="AF21" i="48"/>
  <c r="AA21" i="48"/>
  <c r="AJ21" i="48"/>
  <c r="AK20" i="48"/>
  <c r="AG20" i="48"/>
  <c r="AF19" i="48"/>
  <c r="AH19" i="48"/>
  <c r="AE19" i="48"/>
  <c r="AK19" i="48"/>
  <c r="AA19" i="48"/>
  <c r="AK18" i="48"/>
  <c r="AA18" i="48"/>
  <c r="AJ18" i="48"/>
  <c r="AF18" i="48"/>
  <c r="AH16" i="48"/>
  <c r="AF16" i="48"/>
  <c r="AG16" i="48"/>
  <c r="AH14" i="48"/>
  <c r="AE14" i="48"/>
  <c r="AA14" i="48"/>
  <c r="AK14" i="48"/>
  <c r="AJ14" i="48"/>
  <c r="AK8" i="47"/>
  <c r="AE15" i="47"/>
  <c r="AF19" i="47"/>
  <c r="AK30" i="47"/>
  <c r="AJ21" i="47"/>
  <c r="AI10" i="47"/>
  <c r="AI26" i="47"/>
  <c r="AJ14" i="47"/>
  <c r="AG9" i="47"/>
  <c r="AK17" i="47"/>
  <c r="AD30" i="47"/>
  <c r="AL30" i="47" s="1"/>
  <c r="AD26" i="47"/>
  <c r="AL26" i="47" s="1"/>
  <c r="AF30" i="47"/>
  <c r="AF22" i="47"/>
  <c r="AG30" i="47"/>
  <c r="AK13" i="47"/>
  <c r="AF13" i="47"/>
  <c r="AE30" i="47"/>
  <c r="AA17" i="47"/>
  <c r="AD22" i="47"/>
  <c r="AA22" i="47"/>
  <c r="AG22" i="47"/>
  <c r="AJ33" i="47"/>
  <c r="AG13" i="47"/>
  <c r="AE24" i="47"/>
  <c r="AJ17" i="47"/>
  <c r="AG32" i="47"/>
  <c r="AH13" i="47"/>
  <c r="AG7" i="47"/>
  <c r="AF24" i="47"/>
  <c r="AI22" i="47"/>
  <c r="AK26" i="47"/>
  <c r="AG33" i="47"/>
  <c r="AF17" i="47"/>
  <c r="AD17" i="47"/>
  <c r="AK24" i="47"/>
  <c r="AF26" i="47"/>
  <c r="AJ30" i="47"/>
  <c r="AH7" i="47"/>
  <c r="AK33" i="47"/>
  <c r="AE22" i="47"/>
  <c r="AL16" i="47"/>
  <c r="AG24" i="47"/>
  <c r="AH8" i="47"/>
  <c r="AF21" i="47"/>
  <c r="AF32" i="47"/>
  <c r="AG26" i="47"/>
  <c r="AH17" i="47"/>
  <c r="AI13" i="47"/>
  <c r="AG20" i="47"/>
  <c r="AE7" i="47"/>
  <c r="AH22" i="47"/>
  <c r="AE32" i="47"/>
  <c r="AD32" i="47"/>
  <c r="AL32" i="47" s="1"/>
  <c r="AA32" i="47"/>
  <c r="AC19" i="46"/>
  <c r="AI17" i="46"/>
  <c r="AF15" i="46"/>
  <c r="AJ17" i="46"/>
  <c r="AH16" i="46"/>
  <c r="AF14" i="46"/>
  <c r="AH23" i="46"/>
  <c r="AI28" i="46"/>
  <c r="AM13" i="46"/>
  <c r="AL18" i="46"/>
  <c r="AL26" i="46"/>
  <c r="AF13" i="46"/>
  <c r="AN13" i="46" s="1"/>
  <c r="AG31" i="46"/>
  <c r="AK7" i="46"/>
  <c r="AI21" i="46"/>
  <c r="AH9" i="46"/>
  <c r="AI30" i="46"/>
  <c r="AF19" i="46"/>
  <c r="AM14" i="46"/>
  <c r="AL14" i="46"/>
  <c r="AM27" i="46"/>
  <c r="AM19" i="46"/>
  <c r="AM33" i="46"/>
  <c r="AL25" i="46"/>
  <c r="AJ33" i="46"/>
  <c r="AG19" i="46"/>
  <c r="AL21" i="46"/>
  <c r="AI18" i="46"/>
  <c r="AH33" i="46"/>
  <c r="AH20" i="46"/>
  <c r="AJ16" i="46"/>
  <c r="AM32" i="46"/>
  <c r="AL24" i="46"/>
  <c r="AH21" i="46"/>
  <c r="AC21" i="46"/>
  <c r="AH14" i="46"/>
  <c r="AL7" i="46"/>
  <c r="AH32" i="46"/>
  <c r="AI15" i="46"/>
  <c r="AM9" i="46"/>
  <c r="AG7" i="46"/>
  <c r="AF9" i="46"/>
  <c r="AN9" i="46" s="1"/>
  <c r="AM30" i="46"/>
  <c r="AL13" i="46"/>
  <c r="AJ15" i="46"/>
  <c r="AI14" i="46"/>
  <c r="AH18" i="46"/>
  <c r="AK33" i="46"/>
  <c r="AH30" i="46"/>
  <c r="AI16" i="46"/>
  <c r="AL33" i="46"/>
  <c r="AJ21" i="46"/>
  <c r="AK14" i="46"/>
  <c r="AJ14" i="46"/>
  <c r="AM7" i="46"/>
  <c r="AI19" i="46"/>
  <c r="AF7" i="46"/>
  <c r="AN7" i="46" s="1"/>
  <c r="AM21" i="46"/>
  <c r="AK13" i="46"/>
  <c r="AJ13" i="46"/>
  <c r="AJ7" i="46"/>
  <c r="AI12" i="46"/>
  <c r="AG18" i="46"/>
  <c r="AJ19" i="46"/>
  <c r="AL15" i="46"/>
  <c r="AF18" i="46"/>
  <c r="AM15" i="46"/>
  <c r="AH22" i="45"/>
  <c r="AK27" i="45"/>
  <c r="AF12" i="45"/>
  <c r="AG21" i="45"/>
  <c r="AK14" i="45"/>
  <c r="AJ27" i="45"/>
  <c r="AF22" i="45"/>
  <c r="AK10" i="45"/>
  <c r="AE23" i="45"/>
  <c r="AD23" i="45"/>
  <c r="AL23" i="45" s="1"/>
  <c r="AJ16" i="45"/>
  <c r="AD22" i="45"/>
  <c r="AL22" i="45" s="1"/>
  <c r="AH20" i="45"/>
  <c r="AD12" i="45"/>
  <c r="AL12" i="45" s="1"/>
  <c r="AF23" i="45"/>
  <c r="AD16" i="45"/>
  <c r="AK12" i="45"/>
  <c r="AD14" i="45"/>
  <c r="AE22" i="45"/>
  <c r="AG18" i="45"/>
  <c r="AJ23" i="45"/>
  <c r="AG12" i="45"/>
  <c r="AF27" i="45"/>
  <c r="AE14" i="45"/>
  <c r="AG30" i="45"/>
  <c r="AE11" i="45"/>
  <c r="AH14" i="45"/>
  <c r="AF14" i="45"/>
  <c r="AF13" i="45"/>
  <c r="AH12" i="45"/>
  <c r="AG27" i="45"/>
  <c r="AH27" i="45"/>
  <c r="AE16" i="45"/>
  <c r="AG14" i="45"/>
  <c r="AF19" i="45"/>
  <c r="AJ7" i="45"/>
  <c r="AE7" i="45"/>
  <c r="AK13" i="45"/>
  <c r="AA14" i="45"/>
  <c r="AF11" i="45"/>
  <c r="AE18" i="45"/>
  <c r="AK22" i="45"/>
  <c r="AF33" i="45"/>
  <c r="AF16" i="45"/>
  <c r="AK23" i="45"/>
  <c r="AF21" i="45"/>
  <c r="AG7" i="45"/>
  <c r="AI23" i="45"/>
  <c r="AD13" i="45"/>
  <c r="AL13" i="45" s="1"/>
  <c r="AJ26" i="45"/>
  <c r="AF15" i="45"/>
  <c r="AL15" i="45" s="1"/>
  <c r="AE27" i="45"/>
  <c r="AE12" i="45"/>
  <c r="AD11" i="45"/>
  <c r="AL11" i="45" s="1"/>
  <c r="AG13" i="45"/>
  <c r="AE21" i="45"/>
  <c r="AI14" i="45"/>
  <c r="AG32" i="45"/>
  <c r="AF7" i="45"/>
  <c r="AG16" i="45"/>
  <c r="AH11" i="45"/>
  <c r="AI22" i="45"/>
  <c r="AH13" i="45"/>
  <c r="AH18" i="45"/>
  <c r="AI13" i="45"/>
  <c r="AJ13" i="45"/>
  <c r="C75" i="48"/>
  <c r="C73" i="48"/>
  <c r="C72" i="48"/>
  <c r="D86" i="48" s="1"/>
  <c r="C71" i="48"/>
  <c r="C70" i="48"/>
  <c r="C69" i="48"/>
  <c r="C74" i="48"/>
  <c r="AF17" i="48"/>
  <c r="AK25" i="48"/>
  <c r="AG28" i="48"/>
  <c r="AF27" i="48"/>
  <c r="AI25" i="48"/>
  <c r="AE20" i="48"/>
  <c r="AD26" i="48"/>
  <c r="AL26" i="48" s="1"/>
  <c r="AI27" i="48"/>
  <c r="AK27" i="48"/>
  <c r="AG27" i="48"/>
  <c r="AG25" i="48"/>
  <c r="AA20" i="48"/>
  <c r="AD20" i="48"/>
  <c r="AE28" i="48"/>
  <c r="AE17" i="48"/>
  <c r="AI24" i="48"/>
  <c r="AG33" i="48"/>
  <c r="AK28" i="48"/>
  <c r="AD24" i="48"/>
  <c r="AL24" i="48" s="1"/>
  <c r="AF28" i="48"/>
  <c r="AF25" i="48"/>
  <c r="AE27" i="48"/>
  <c r="AA16" i="48"/>
  <c r="AD16" i="48"/>
  <c r="AH25" i="48"/>
  <c r="AG31" i="48"/>
  <c r="AG17" i="48"/>
  <c r="AH30" i="48"/>
  <c r="AH22" i="48"/>
  <c r="AF24" i="48"/>
  <c r="AI22" i="48"/>
  <c r="AD28" i="48"/>
  <c r="AL28" i="48" s="1"/>
  <c r="AJ17" i="48"/>
  <c r="AF33" i="48"/>
  <c r="AI31" i="48"/>
  <c r="AJ16" i="48"/>
  <c r="AH31" i="48"/>
  <c r="AF20" i="48"/>
  <c r="AG29" i="48"/>
  <c r="AK22" i="48"/>
  <c r="AG22" i="48"/>
  <c r="AD17" i="48"/>
  <c r="AA17" i="48"/>
  <c r="AH17" i="48"/>
  <c r="AH28" i="48"/>
  <c r="AD25" i="48"/>
  <c r="AL25" i="48" s="1"/>
  <c r="AD33" i="48"/>
  <c r="AL33" i="48" s="1"/>
  <c r="AD27" i="48"/>
  <c r="AL27" i="48" s="1"/>
  <c r="AE32" i="48"/>
  <c r="AK16" i="48"/>
  <c r="AK31" i="48"/>
  <c r="AI28" i="48"/>
  <c r="AH29" i="48"/>
  <c r="AD31" i="48"/>
  <c r="AL31" i="48" s="1"/>
  <c r="AJ20" i="48"/>
  <c r="AK24" i="48"/>
  <c r="AH32" i="48"/>
  <c r="AH33" i="48"/>
  <c r="AJ20" i="47"/>
  <c r="AI11" i="47"/>
  <c r="AE19" i="47"/>
  <c r="AG18" i="47"/>
  <c r="AG19" i="47"/>
  <c r="AA15" i="47"/>
  <c r="AD15" i="47"/>
  <c r="AJ18" i="47"/>
  <c r="AE8" i="47"/>
  <c r="AA8" i="47"/>
  <c r="AD8" i="47"/>
  <c r="AL8" i="47" s="1"/>
  <c r="AI14" i="47"/>
  <c r="AK18" i="47"/>
  <c r="AF14" i="47"/>
  <c r="AD18" i="47"/>
  <c r="AA18" i="47"/>
  <c r="AF18" i="47"/>
  <c r="AK19" i="47"/>
  <c r="AJ11" i="47"/>
  <c r="AG14" i="47"/>
  <c r="AJ19" i="47"/>
  <c r="AK14" i="47"/>
  <c r="AF10" i="47"/>
  <c r="AE20" i="47"/>
  <c r="AI7" i="47"/>
  <c r="AH14" i="47"/>
  <c r="AJ10" i="47"/>
  <c r="AA11" i="47"/>
  <c r="AD11" i="47"/>
  <c r="AL11" i="47" s="1"/>
  <c r="AH19" i="47"/>
  <c r="AE18" i="47"/>
  <c r="AK15" i="47"/>
  <c r="AF11" i="47"/>
  <c r="AG10" i="47"/>
  <c r="AF20" i="47"/>
  <c r="AF15" i="47"/>
  <c r="AA13" i="47"/>
  <c r="AD13" i="47"/>
  <c r="AJ13" i="47"/>
  <c r="AG11" i="47"/>
  <c r="AH20" i="47"/>
  <c r="AG15" i="47"/>
  <c r="AK11" i="47"/>
  <c r="AA20" i="47"/>
  <c r="AD20" i="47"/>
  <c r="AA19" i="47"/>
  <c r="AD19" i="47"/>
  <c r="AE14" i="47"/>
  <c r="AJ15" i="47"/>
  <c r="C75" i="47"/>
  <c r="C74" i="47"/>
  <c r="C73" i="47"/>
  <c r="C72" i="47"/>
  <c r="D86" i="47" s="1"/>
  <c r="C71" i="47"/>
  <c r="C70" i="47"/>
  <c r="C69" i="47"/>
  <c r="AH11" i="47"/>
  <c r="AA9" i="47"/>
  <c r="AD9" i="47"/>
  <c r="AL9" i="47" s="1"/>
  <c r="AK20" i="47"/>
  <c r="AH15" i="47"/>
  <c r="AF8" i="47"/>
  <c r="AF7" i="47"/>
  <c r="AD7" i="47"/>
  <c r="AL7" i="47" s="1"/>
  <c r="AA10" i="47"/>
  <c r="AD10" i="47"/>
  <c r="AL10" i="47" s="1"/>
  <c r="AI8" i="47"/>
  <c r="AA14" i="47"/>
  <c r="AD14" i="47"/>
  <c r="AG8" i="47"/>
  <c r="AH18" i="47"/>
  <c r="AF29" i="46"/>
  <c r="AN29" i="46" s="1"/>
  <c r="AC29" i="46"/>
  <c r="AJ20" i="46"/>
  <c r="AH29" i="46"/>
  <c r="AF22" i="46"/>
  <c r="AN22" i="46" s="1"/>
  <c r="AC22" i="46"/>
  <c r="AL32" i="46"/>
  <c r="AK32" i="46"/>
  <c r="AI20" i="46"/>
  <c r="AG29" i="46"/>
  <c r="AG33" i="46"/>
  <c r="AJ30" i="46"/>
  <c r="AG26" i="46"/>
  <c r="AH28" i="46"/>
  <c r="AL20" i="46"/>
  <c r="AC16" i="46"/>
  <c r="AF16" i="46"/>
  <c r="AK31" i="46"/>
  <c r="AG27" i="46"/>
  <c r="AG20" i="46"/>
  <c r="AJ28" i="46"/>
  <c r="AG32" i="46"/>
  <c r="AG28" i="46"/>
  <c r="AH27" i="46"/>
  <c r="AK30" i="46"/>
  <c r="AM29" i="46"/>
  <c r="AG25" i="46"/>
  <c r="AJ26" i="46"/>
  <c r="AM28" i="46"/>
  <c r="AF23" i="46"/>
  <c r="AN23" i="46" s="1"/>
  <c r="AC23" i="46"/>
  <c r="AF33" i="46"/>
  <c r="AN33" i="46" s="1"/>
  <c r="AC33" i="46"/>
  <c r="AH26" i="46"/>
  <c r="AF31" i="46"/>
  <c r="AN31" i="46" s="1"/>
  <c r="AC31" i="46"/>
  <c r="AL29" i="46"/>
  <c r="AK29" i="46"/>
  <c r="AF17" i="46"/>
  <c r="AC17" i="46"/>
  <c r="AM17" i="46"/>
  <c r="AG17" i="46"/>
  <c r="AG23" i="46"/>
  <c r="AF27" i="46"/>
  <c r="AN27" i="46" s="1"/>
  <c r="AC27" i="46"/>
  <c r="AI29" i="46"/>
  <c r="AF32" i="46"/>
  <c r="AN32" i="46" s="1"/>
  <c r="AC32" i="46"/>
  <c r="AH25" i="46"/>
  <c r="AF30" i="46"/>
  <c r="AN30" i="46" s="1"/>
  <c r="AC30" i="46"/>
  <c r="AL16" i="46"/>
  <c r="AL28" i="46"/>
  <c r="AK28" i="46"/>
  <c r="AI32" i="46"/>
  <c r="AJ22" i="46"/>
  <c r="AK25" i="46"/>
  <c r="AF26" i="46"/>
  <c r="AN26" i="46" s="1"/>
  <c r="AC26" i="46"/>
  <c r="AK24" i="46"/>
  <c r="AM24" i="46"/>
  <c r="AF25" i="46"/>
  <c r="AN25" i="46" s="1"/>
  <c r="AC25" i="46"/>
  <c r="AM31" i="46"/>
  <c r="AL23" i="46"/>
  <c r="AK23" i="46"/>
  <c r="AJ27" i="46"/>
  <c r="AI25" i="46"/>
  <c r="AM22" i="46"/>
  <c r="AJ25" i="46"/>
  <c r="AF28" i="46"/>
  <c r="AN28" i="46" s="1"/>
  <c r="AC28" i="46"/>
  <c r="C75" i="46"/>
  <c r="C74" i="46"/>
  <c r="C73" i="46"/>
  <c r="C72" i="46"/>
  <c r="D86" i="46" s="1"/>
  <c r="C71" i="46"/>
  <c r="C70" i="46"/>
  <c r="C69" i="46"/>
  <c r="AK26" i="46"/>
  <c r="AM26" i="46"/>
  <c r="AF20" i="46"/>
  <c r="AC20" i="46"/>
  <c r="AI27" i="46"/>
  <c r="AG24" i="46"/>
  <c r="AJ29" i="46"/>
  <c r="AH31" i="46"/>
  <c r="AF24" i="46"/>
  <c r="AN24" i="46" s="1"/>
  <c r="AC24" i="46"/>
  <c r="AG16" i="46"/>
  <c r="AL22" i="46"/>
  <c r="AK22" i="46"/>
  <c r="AJ23" i="46"/>
  <c r="AI23" i="46"/>
  <c r="AG30" i="46"/>
  <c r="AH17" i="46"/>
  <c r="AD17" i="45"/>
  <c r="AG17" i="45"/>
  <c r="AA17" i="45"/>
  <c r="AF20" i="45"/>
  <c r="AA20" i="45"/>
  <c r="AD20" i="45"/>
  <c r="AG20" i="45"/>
  <c r="AH17" i="45"/>
  <c r="AF17" i="45"/>
  <c r="AD18" i="45"/>
  <c r="AA18" i="45"/>
  <c r="AE19" i="45"/>
  <c r="AJ20" i="45"/>
  <c r="AK20" i="45"/>
  <c r="AE20" i="45"/>
  <c r="C73" i="45"/>
  <c r="C70" i="45"/>
  <c r="C72" i="45"/>
  <c r="D86" i="45" s="1"/>
  <c r="C71" i="45"/>
  <c r="C69" i="45"/>
  <c r="C75" i="45"/>
  <c r="C74" i="45"/>
  <c r="AE17" i="45"/>
  <c r="AJ18" i="45"/>
  <c r="AJ19" i="45"/>
  <c r="AK19" i="45"/>
  <c r="AK17" i="45"/>
  <c r="AA19" i="45"/>
  <c r="AD19" i="45"/>
  <c r="AJ17" i="45"/>
  <c r="F51" i="2"/>
  <c r="E20" i="2"/>
  <c r="E14" i="2"/>
  <c r="F32" i="2"/>
  <c r="G51" i="2"/>
  <c r="E18" i="2"/>
  <c r="E11" i="2"/>
  <c r="E19" i="2"/>
  <c r="F12" i="2"/>
  <c r="G45" i="2"/>
  <c r="F56" i="2"/>
  <c r="D51" i="2"/>
  <c r="E23" i="2"/>
  <c r="G53" i="2"/>
  <c r="E25" i="2"/>
  <c r="E9" i="2"/>
  <c r="E32" i="2"/>
  <c r="F10" i="2"/>
  <c r="F34" i="2"/>
  <c r="D55" i="2"/>
  <c r="F17" i="2"/>
  <c r="D45" i="2"/>
  <c r="D52" i="2"/>
  <c r="E30" i="2"/>
  <c r="E17" i="2"/>
  <c r="E34" i="2"/>
  <c r="E12" i="2"/>
  <c r="F53" i="2"/>
  <c r="F29" i="2"/>
  <c r="F13" i="2"/>
  <c r="F14" i="2"/>
  <c r="F11" i="2"/>
  <c r="G52" i="2"/>
  <c r="E13" i="2"/>
  <c r="E26" i="2"/>
  <c r="F8" i="2"/>
  <c r="E10" i="2"/>
  <c r="F52" i="2"/>
  <c r="E28" i="2"/>
  <c r="F26" i="2"/>
  <c r="F9" i="2"/>
  <c r="E16" i="2"/>
  <c r="E21" i="2"/>
  <c r="E29" i="2"/>
  <c r="F25" i="2"/>
  <c r="E51" i="2"/>
  <c r="G56" i="2"/>
  <c r="E33" i="2"/>
  <c r="E52" i="2"/>
  <c r="E24" i="2"/>
  <c r="F33" i="2"/>
  <c r="E53" i="2"/>
  <c r="F28" i="2"/>
  <c r="F30" i="2"/>
  <c r="F55" i="2"/>
  <c r="E22" i="2"/>
  <c r="D53" i="2"/>
  <c r="E8" i="2"/>
  <c r="AL13" i="47" l="1"/>
  <c r="AL14" i="47"/>
  <c r="AL20" i="47"/>
  <c r="AL21" i="47"/>
  <c r="Y63" i="45"/>
  <c r="M10" i="2"/>
  <c r="M11" i="2" s="1"/>
  <c r="AL21" i="45"/>
  <c r="F35" i="2"/>
  <c r="E35" i="2"/>
  <c r="AN16" i="46"/>
  <c r="AN21" i="46"/>
  <c r="AN20" i="46"/>
  <c r="AL21" i="48"/>
  <c r="AL19" i="48"/>
  <c r="AL20" i="48"/>
  <c r="AL18" i="48"/>
  <c r="AL17" i="48"/>
  <c r="AL16" i="48"/>
  <c r="AL17" i="47"/>
  <c r="AL15" i="47"/>
  <c r="AL22" i="47"/>
  <c r="AL18" i="47"/>
  <c r="AL19" i="47"/>
  <c r="AN17" i="46"/>
  <c r="AN18" i="46"/>
  <c r="AN19" i="46"/>
  <c r="AN14" i="46"/>
  <c r="AN15" i="46"/>
  <c r="AL14" i="45"/>
  <c r="AL20" i="45"/>
  <c r="AL19" i="45"/>
  <c r="AL16" i="45"/>
  <c r="AL18" i="45"/>
  <c r="AL17" i="45"/>
  <c r="D91" i="48"/>
  <c r="D89" i="48"/>
  <c r="D87" i="48"/>
  <c r="D88" i="48" s="1"/>
  <c r="D94" i="48"/>
  <c r="D92" i="48"/>
  <c r="D90" i="48"/>
  <c r="D85" i="48"/>
  <c r="D94" i="47"/>
  <c r="D92" i="47"/>
  <c r="D90" i="47"/>
  <c r="D85" i="47"/>
  <c r="D91" i="47"/>
  <c r="D89" i="47"/>
  <c r="D87" i="47"/>
  <c r="D91" i="46"/>
  <c r="D89" i="46"/>
  <c r="D87" i="46"/>
  <c r="D88" i="46" s="1"/>
  <c r="D94" i="46"/>
  <c r="D92" i="46"/>
  <c r="D90" i="46"/>
  <c r="D85" i="46"/>
  <c r="D91" i="45"/>
  <c r="D89" i="45"/>
  <c r="D87" i="45"/>
  <c r="D88" i="45" s="1"/>
  <c r="D94" i="45"/>
  <c r="D92" i="45"/>
  <c r="D90" i="45"/>
  <c r="D85" i="45"/>
  <c r="D9" i="2"/>
  <c r="D16" i="2"/>
  <c r="G18" i="2"/>
  <c r="G28" i="2"/>
  <c r="D18" i="2"/>
  <c r="D20" i="2"/>
  <c r="D30" i="2"/>
  <c r="G17" i="2"/>
  <c r="G30" i="2"/>
  <c r="G21" i="2"/>
  <c r="G20" i="2"/>
  <c r="F20" i="2"/>
  <c r="G26" i="2"/>
  <c r="G32" i="2"/>
  <c r="D8" i="2"/>
  <c r="D14" i="2"/>
  <c r="D19" i="2"/>
  <c r="G24" i="2"/>
  <c r="D26" i="2"/>
  <c r="G14" i="2"/>
  <c r="G9" i="2"/>
  <c r="G10" i="2"/>
  <c r="G16" i="2"/>
  <c r="G25" i="2"/>
  <c r="D29" i="2"/>
  <c r="D32" i="2"/>
  <c r="D13" i="2"/>
  <c r="G23" i="2"/>
  <c r="G19" i="2"/>
  <c r="D34" i="2"/>
  <c r="D23" i="2"/>
  <c r="D11" i="2"/>
  <c r="G34" i="2"/>
  <c r="D28" i="2"/>
  <c r="F23" i="2"/>
  <c r="G11" i="2"/>
  <c r="D17" i="2"/>
  <c r="F18" i="2"/>
  <c r="F22" i="2"/>
  <c r="G22" i="2"/>
  <c r="D10" i="2"/>
  <c r="D24" i="2"/>
  <c r="D21" i="2"/>
  <c r="G29" i="2"/>
  <c r="G8" i="2"/>
  <c r="G13" i="2"/>
  <c r="G33" i="2"/>
  <c r="F21" i="2"/>
  <c r="D22" i="2"/>
  <c r="G12" i="2"/>
  <c r="D25" i="2"/>
  <c r="F24" i="2"/>
  <c r="F16" i="2"/>
  <c r="D12" i="2"/>
  <c r="D33" i="2"/>
  <c r="D88" i="47" l="1"/>
  <c r="L10" i="2"/>
  <c r="L11" i="2" s="1"/>
  <c r="D35" i="2"/>
  <c r="G35" i="2"/>
  <c r="B79" i="44"/>
  <c r="B78" i="44"/>
  <c r="B77" i="44"/>
  <c r="X33" i="44"/>
  <c r="V33" i="44"/>
  <c r="P33" i="44"/>
  <c r="U33" i="44" s="1"/>
  <c r="G33" i="44"/>
  <c r="R33" i="44" s="1"/>
  <c r="AC33" i="44" s="1"/>
  <c r="D33" i="44"/>
  <c r="Z32" i="44"/>
  <c r="X32" i="44"/>
  <c r="W32" i="44"/>
  <c r="V32" i="44"/>
  <c r="R32" i="44"/>
  <c r="AC32" i="44" s="1"/>
  <c r="P32" i="44"/>
  <c r="U32" i="44" s="1"/>
  <c r="G32" i="44"/>
  <c r="D32" i="44"/>
  <c r="R31" i="44"/>
  <c r="AC31" i="44" s="1"/>
  <c r="P31" i="44"/>
  <c r="X31" i="44" s="1"/>
  <c r="G31" i="44"/>
  <c r="D31" i="44"/>
  <c r="R30" i="44"/>
  <c r="AC30" i="44" s="1"/>
  <c r="P30" i="44"/>
  <c r="Z30" i="44" s="1"/>
  <c r="G30" i="44"/>
  <c r="D30" i="44"/>
  <c r="R29" i="44"/>
  <c r="AC29" i="44" s="1"/>
  <c r="P29" i="44"/>
  <c r="Z29" i="44" s="1"/>
  <c r="G29" i="44"/>
  <c r="D29" i="44"/>
  <c r="R28" i="44"/>
  <c r="AC28" i="44" s="1"/>
  <c r="P28" i="44"/>
  <c r="U28" i="44" s="1"/>
  <c r="G28" i="44"/>
  <c r="D28" i="44"/>
  <c r="Z27" i="44"/>
  <c r="P27" i="44"/>
  <c r="X27" i="44" s="1"/>
  <c r="G27" i="44"/>
  <c r="R27" i="44" s="1"/>
  <c r="AC27" i="44" s="1"/>
  <c r="D27" i="44"/>
  <c r="R26" i="44"/>
  <c r="AC26" i="44" s="1"/>
  <c r="P26" i="44"/>
  <c r="Z26" i="44" s="1"/>
  <c r="G26" i="44"/>
  <c r="D26" i="44"/>
  <c r="Z25" i="44"/>
  <c r="Y25" i="44"/>
  <c r="X25" i="44"/>
  <c r="W25" i="44"/>
  <c r="V25" i="44"/>
  <c r="U25" i="44"/>
  <c r="T25" i="44"/>
  <c r="R25" i="44"/>
  <c r="AC25" i="44" s="1"/>
  <c r="P25" i="44"/>
  <c r="S25" i="44" s="1"/>
  <c r="AD25" i="44" s="1"/>
  <c r="AL25" i="44" s="1"/>
  <c r="G25" i="44"/>
  <c r="D25" i="44"/>
  <c r="Z24" i="44"/>
  <c r="V24" i="44"/>
  <c r="P24" i="44"/>
  <c r="U24" i="44" s="1"/>
  <c r="G24" i="44"/>
  <c r="R24" i="44" s="1"/>
  <c r="AC24" i="44" s="1"/>
  <c r="D24" i="44"/>
  <c r="Z23" i="44"/>
  <c r="P23" i="44"/>
  <c r="X23" i="44" s="1"/>
  <c r="G23" i="44"/>
  <c r="R23" i="44" s="1"/>
  <c r="AC23" i="44" s="1"/>
  <c r="D23" i="44"/>
  <c r="P22" i="44"/>
  <c r="Z22" i="44" s="1"/>
  <c r="G22" i="44"/>
  <c r="R22" i="44" s="1"/>
  <c r="AC22" i="44" s="1"/>
  <c r="D22" i="44"/>
  <c r="Z21" i="44"/>
  <c r="Y21" i="44"/>
  <c r="R21" i="44"/>
  <c r="AC21" i="44" s="1"/>
  <c r="P21" i="44"/>
  <c r="W21" i="44" s="1"/>
  <c r="G21" i="44"/>
  <c r="D21" i="44"/>
  <c r="P20" i="44"/>
  <c r="Z20" i="44" s="1"/>
  <c r="G20" i="44"/>
  <c r="R20" i="44" s="1"/>
  <c r="AC20" i="44" s="1"/>
  <c r="D20" i="44"/>
  <c r="Y19" i="44"/>
  <c r="R19" i="44"/>
  <c r="AC19" i="44" s="1"/>
  <c r="P19" i="44"/>
  <c r="T19" i="44" s="1"/>
  <c r="G19" i="44"/>
  <c r="D19" i="44"/>
  <c r="U18" i="44"/>
  <c r="S18" i="44"/>
  <c r="P18" i="44"/>
  <c r="Z18" i="44" s="1"/>
  <c r="G18" i="44"/>
  <c r="R18" i="44" s="1"/>
  <c r="AC18" i="44" s="1"/>
  <c r="D18" i="44"/>
  <c r="AC17" i="44"/>
  <c r="R17" i="44"/>
  <c r="P17" i="44"/>
  <c r="W17" i="44" s="1"/>
  <c r="G17" i="44"/>
  <c r="D17" i="44"/>
  <c r="R16" i="44"/>
  <c r="AC16" i="44" s="1"/>
  <c r="P16" i="44"/>
  <c r="Y16" i="44" s="1"/>
  <c r="G16" i="44"/>
  <c r="D16" i="44"/>
  <c r="R15" i="44"/>
  <c r="AC15" i="44" s="1"/>
  <c r="P15" i="44"/>
  <c r="Z15" i="44" s="1"/>
  <c r="G15" i="44"/>
  <c r="D15" i="44"/>
  <c r="P14" i="44"/>
  <c r="T14" i="44" s="1"/>
  <c r="G14" i="44"/>
  <c r="R14" i="44" s="1"/>
  <c r="AC14" i="44" s="1"/>
  <c r="D14" i="44"/>
  <c r="R13" i="44"/>
  <c r="AC13" i="44" s="1"/>
  <c r="P13" i="44"/>
  <c r="V13" i="44" s="1"/>
  <c r="G13" i="44"/>
  <c r="D13" i="44"/>
  <c r="X12" i="44"/>
  <c r="V12" i="44"/>
  <c r="P12" i="44"/>
  <c r="Z12" i="44" s="1"/>
  <c r="G12" i="44"/>
  <c r="R12" i="44" s="1"/>
  <c r="AC12" i="44" s="1"/>
  <c r="D12" i="44"/>
  <c r="X11" i="44"/>
  <c r="V11" i="44"/>
  <c r="P11" i="44"/>
  <c r="U11" i="44" s="1"/>
  <c r="G11" i="44"/>
  <c r="R11" i="44" s="1"/>
  <c r="AC11" i="44" s="1"/>
  <c r="D11" i="44"/>
  <c r="X10" i="44"/>
  <c r="V10" i="44"/>
  <c r="P10" i="44"/>
  <c r="U10" i="44" s="1"/>
  <c r="G10" i="44"/>
  <c r="R10" i="44" s="1"/>
  <c r="AC10" i="44" s="1"/>
  <c r="D10" i="44"/>
  <c r="Z9" i="44"/>
  <c r="Y9" i="44"/>
  <c r="X9" i="44"/>
  <c r="W9" i="44"/>
  <c r="V9" i="44"/>
  <c r="T9" i="44"/>
  <c r="P9" i="44"/>
  <c r="S9" i="44" s="1"/>
  <c r="G9" i="44"/>
  <c r="R9" i="44" s="1"/>
  <c r="AC9" i="44" s="1"/>
  <c r="D9" i="44"/>
  <c r="E14" i="44" s="1"/>
  <c r="Z8" i="44"/>
  <c r="Y8" i="44"/>
  <c r="X8" i="44"/>
  <c r="W8" i="44"/>
  <c r="V8" i="44"/>
  <c r="R8" i="44"/>
  <c r="AC8" i="44" s="1"/>
  <c r="P8" i="44"/>
  <c r="U8" i="44" s="1"/>
  <c r="G8" i="44"/>
  <c r="D8" i="44"/>
  <c r="E8" i="44" s="1"/>
  <c r="Z7" i="44"/>
  <c r="Y7" i="44"/>
  <c r="P7" i="44"/>
  <c r="W7" i="44" s="1"/>
  <c r="G7" i="44"/>
  <c r="R7" i="44" s="1"/>
  <c r="AC7" i="44" s="1"/>
  <c r="D7" i="44"/>
  <c r="AK4" i="44"/>
  <c r="AG4" i="44"/>
  <c r="AF4" i="44"/>
  <c r="AE4" i="44"/>
  <c r="Z4" i="44"/>
  <c r="Y4" i="44"/>
  <c r="AJ4" i="44" s="1"/>
  <c r="X4" i="44"/>
  <c r="AI4" i="44" s="1"/>
  <c r="W4" i="44"/>
  <c r="AH4" i="44" s="1"/>
  <c r="V4" i="44"/>
  <c r="U4" i="44"/>
  <c r="T4" i="44"/>
  <c r="S4" i="44"/>
  <c r="AD4" i="44" s="1"/>
  <c r="R4" i="44"/>
  <c r="AC4" i="44" s="1"/>
  <c r="B4" i="44"/>
  <c r="D2" i="44"/>
  <c r="D39" i="2"/>
  <c r="G47" i="2"/>
  <c r="F44" i="2"/>
  <c r="D49" i="2"/>
  <c r="D48" i="2"/>
  <c r="D38" i="2"/>
  <c r="F43" i="2"/>
  <c r="D44" i="2"/>
  <c r="D42" i="2"/>
  <c r="G48" i="2"/>
  <c r="F19" i="2"/>
  <c r="F40" i="2"/>
  <c r="G40" i="2"/>
  <c r="F48" i="2"/>
  <c r="F38" i="2"/>
  <c r="G49" i="2"/>
  <c r="G42" i="2"/>
  <c r="G44" i="2"/>
  <c r="F42" i="2"/>
  <c r="F47" i="2"/>
  <c r="F49" i="2"/>
  <c r="F39" i="2"/>
  <c r="D40" i="2"/>
  <c r="G43" i="2"/>
  <c r="G39" i="2"/>
  <c r="D43" i="2"/>
  <c r="G38" i="2"/>
  <c r="D47" i="2"/>
  <c r="AK29" i="44" l="1"/>
  <c r="AE25" i="44"/>
  <c r="E21" i="44"/>
  <c r="E31" i="44"/>
  <c r="W10" i="44"/>
  <c r="W11" i="44"/>
  <c r="AH11" i="44" s="1"/>
  <c r="W12" i="44"/>
  <c r="T18" i="44"/>
  <c r="Z19" i="44"/>
  <c r="AF25" i="44"/>
  <c r="W33" i="44"/>
  <c r="Y10" i="44"/>
  <c r="AJ10" i="44" s="1"/>
  <c r="Y11" i="44"/>
  <c r="Y12" i="44"/>
  <c r="AH12" i="44" s="1"/>
  <c r="Y33" i="44"/>
  <c r="Z10" i="44"/>
  <c r="Z11" i="44"/>
  <c r="X17" i="44"/>
  <c r="W24" i="44"/>
  <c r="S29" i="44"/>
  <c r="Z33" i="44"/>
  <c r="X7" i="44"/>
  <c r="AI7" i="44" s="1"/>
  <c r="Y17" i="44"/>
  <c r="X24" i="44"/>
  <c r="T29" i="44"/>
  <c r="E79" i="44"/>
  <c r="Z17" i="44"/>
  <c r="AK25" i="44"/>
  <c r="U29" i="44"/>
  <c r="E78" i="44"/>
  <c r="V29" i="44"/>
  <c r="S13" i="44"/>
  <c r="AA13" i="44" s="1"/>
  <c r="U19" i="44"/>
  <c r="V28" i="44"/>
  <c r="W29" i="44"/>
  <c r="AH29" i="44" s="1"/>
  <c r="Z31" i="44"/>
  <c r="AI10" i="44"/>
  <c r="S10" i="44"/>
  <c r="S11" i="44"/>
  <c r="AG11" i="44" s="1"/>
  <c r="S12" i="44"/>
  <c r="AA12" i="44" s="1"/>
  <c r="T13" i="44"/>
  <c r="V19" i="44"/>
  <c r="W28" i="44"/>
  <c r="X29" i="44"/>
  <c r="AI29" i="44" s="1"/>
  <c r="S33" i="44"/>
  <c r="AD33" i="44" s="1"/>
  <c r="AL33" i="44" s="1"/>
  <c r="AG25" i="44"/>
  <c r="T12" i="44"/>
  <c r="AE12" i="44" s="1"/>
  <c r="T33" i="44"/>
  <c r="T10" i="44"/>
  <c r="T11" i="44"/>
  <c r="U13" i="44"/>
  <c r="W19" i="44"/>
  <c r="X28" i="44"/>
  <c r="Y29" i="44"/>
  <c r="U9" i="44"/>
  <c r="U12" i="44"/>
  <c r="AF12" i="44" s="1"/>
  <c r="X19" i="44"/>
  <c r="X21" i="44"/>
  <c r="Z28" i="44"/>
  <c r="D65" i="2"/>
  <c r="D61" i="2"/>
  <c r="G61" i="2"/>
  <c r="G62" i="2"/>
  <c r="F61" i="2"/>
  <c r="F62" i="2"/>
  <c r="D62" i="2"/>
  <c r="D66" i="2"/>
  <c r="G65" i="2"/>
  <c r="F66" i="2"/>
  <c r="G66" i="2"/>
  <c r="F65" i="2"/>
  <c r="G58" i="2"/>
  <c r="G60" i="2" s="1"/>
  <c r="F58" i="2"/>
  <c r="F60" i="2" s="1"/>
  <c r="D58" i="2"/>
  <c r="D60" i="2" s="1"/>
  <c r="H2" i="44"/>
  <c r="C3" i="2"/>
  <c r="AF9" i="44"/>
  <c r="AD9" i="44"/>
  <c r="AL9" i="44" s="1"/>
  <c r="Z16" i="44"/>
  <c r="Y23" i="44"/>
  <c r="Y27" i="44"/>
  <c r="Y31" i="44"/>
  <c r="B81" i="44"/>
  <c r="S22" i="44"/>
  <c r="Y24" i="44"/>
  <c r="S26" i="44"/>
  <c r="Y28" i="44"/>
  <c r="S30" i="44"/>
  <c r="Y32" i="44"/>
  <c r="AH32" i="44" s="1"/>
  <c r="E81" i="44"/>
  <c r="AH9" i="44"/>
  <c r="AI9" i="44"/>
  <c r="S15" i="44"/>
  <c r="AF15" i="44" s="1"/>
  <c r="T20" i="44"/>
  <c r="T22" i="44"/>
  <c r="T26" i="44"/>
  <c r="T30" i="44"/>
  <c r="H81" i="44"/>
  <c r="AK17" i="44"/>
  <c r="S14" i="44"/>
  <c r="AE14" i="44" s="1"/>
  <c r="AI11" i="44"/>
  <c r="U14" i="44"/>
  <c r="T15" i="44"/>
  <c r="S16" i="44"/>
  <c r="V18" i="44"/>
  <c r="AA18" i="44" s="1"/>
  <c r="U20" i="44"/>
  <c r="U22" i="44"/>
  <c r="U26" i="44"/>
  <c r="U30" i="44"/>
  <c r="B82" i="44"/>
  <c r="W13" i="44"/>
  <c r="V14" i="44"/>
  <c r="AG14" i="44" s="1"/>
  <c r="U15" i="44"/>
  <c r="T16" i="44"/>
  <c r="AA16" i="44" s="1"/>
  <c r="W18" i="44"/>
  <c r="V20" i="44"/>
  <c r="V22" i="44"/>
  <c r="S23" i="44"/>
  <c r="AK23" i="44" s="1"/>
  <c r="AH25" i="44"/>
  <c r="V26" i="44"/>
  <c r="S27" i="44"/>
  <c r="AJ29" i="44"/>
  <c r="V30" i="44"/>
  <c r="S31" i="44"/>
  <c r="AK31" i="44" s="1"/>
  <c r="E82" i="44"/>
  <c r="S20" i="44"/>
  <c r="AF20" i="44" s="1"/>
  <c r="S7" i="44"/>
  <c r="AK7" i="44" s="1"/>
  <c r="X13" i="44"/>
  <c r="S17" i="44"/>
  <c r="X18" i="44"/>
  <c r="W20" i="44"/>
  <c r="S21" i="44"/>
  <c r="AH21" i="44" s="1"/>
  <c r="W22" i="44"/>
  <c r="T23" i="44"/>
  <c r="AE23" i="44" s="1"/>
  <c r="W26" i="44"/>
  <c r="T27" i="44"/>
  <c r="W30" i="44"/>
  <c r="T31" i="44"/>
  <c r="H82" i="44"/>
  <c r="AJ9" i="44"/>
  <c r="AK11" i="44"/>
  <c r="U16" i="44"/>
  <c r="T7" i="44"/>
  <c r="AE7" i="44" s="1"/>
  <c r="AD11" i="44"/>
  <c r="AL11" i="44" s="1"/>
  <c r="Y13" i="44"/>
  <c r="X14" i="44"/>
  <c r="W15" i="44"/>
  <c r="V16" i="44"/>
  <c r="T17" i="44"/>
  <c r="Y18" i="44"/>
  <c r="X20" i="44"/>
  <c r="T21" i="44"/>
  <c r="AE21" i="44" s="1"/>
  <c r="X22" i="44"/>
  <c r="AI22" i="44" s="1"/>
  <c r="U23" i="44"/>
  <c r="AF23" i="44" s="1"/>
  <c r="AA25" i="44"/>
  <c r="X26" i="44"/>
  <c r="AI26" i="44" s="1"/>
  <c r="U27" i="44"/>
  <c r="AA29" i="44"/>
  <c r="X30" i="44"/>
  <c r="U31" i="44"/>
  <c r="B83" i="44"/>
  <c r="V15" i="44"/>
  <c r="U7" i="44"/>
  <c r="S8" i="44"/>
  <c r="AG8" i="44" s="1"/>
  <c r="AD12" i="44"/>
  <c r="AL12" i="44" s="1"/>
  <c r="Z13" i="44"/>
  <c r="Y14" i="44"/>
  <c r="AJ14" i="44" s="1"/>
  <c r="X15" i="44"/>
  <c r="W16" i="44"/>
  <c r="U17" i="44"/>
  <c r="Y20" i="44"/>
  <c r="AJ20" i="44" s="1"/>
  <c r="U21" i="44"/>
  <c r="Y22" i="44"/>
  <c r="V23" i="44"/>
  <c r="AG23" i="44" s="1"/>
  <c r="S24" i="44"/>
  <c r="AG24" i="44" s="1"/>
  <c r="Y26" i="44"/>
  <c r="AH26" i="44" s="1"/>
  <c r="V27" i="44"/>
  <c r="S28" i="44"/>
  <c r="AG28" i="44" s="1"/>
  <c r="Y30" i="44"/>
  <c r="V31" i="44"/>
  <c r="S32" i="44"/>
  <c r="AI32" i="44" s="1"/>
  <c r="E83" i="44"/>
  <c r="AK9" i="44"/>
  <c r="W14" i="44"/>
  <c r="V7" i="44"/>
  <c r="T8" i="44"/>
  <c r="AE8" i="44" s="1"/>
  <c r="Z14" i="44"/>
  <c r="Y15" i="44"/>
  <c r="AJ15" i="44" s="1"/>
  <c r="X16" i="44"/>
  <c r="V17" i="44"/>
  <c r="S19" i="44"/>
  <c r="AA19" i="44" s="1"/>
  <c r="V21" i="44"/>
  <c r="W23" i="44"/>
  <c r="T24" i="44"/>
  <c r="W27" i="44"/>
  <c r="T28" i="44"/>
  <c r="W31" i="44"/>
  <c r="AH31" i="44" s="1"/>
  <c r="T32" i="44"/>
  <c r="H83" i="44"/>
  <c r="AK8" i="44"/>
  <c r="AJ11" i="44"/>
  <c r="E19" i="44"/>
  <c r="E23" i="44"/>
  <c r="D95" i="44" s="1"/>
  <c r="E26" i="44"/>
  <c r="E29" i="44"/>
  <c r="E32" i="44"/>
  <c r="E9" i="44"/>
  <c r="E15" i="44"/>
  <c r="E10" i="44"/>
  <c r="E16" i="44"/>
  <c r="E24" i="44"/>
  <c r="E27" i="44"/>
  <c r="C72" i="44" s="1"/>
  <c r="D86" i="44" s="1"/>
  <c r="E30" i="44"/>
  <c r="D96" i="44" s="1"/>
  <c r="E33" i="44"/>
  <c r="E18" i="44"/>
  <c r="E11" i="44"/>
  <c r="E20" i="44"/>
  <c r="E17" i="44"/>
  <c r="E12" i="44"/>
  <c r="E22" i="44"/>
  <c r="E25" i="44"/>
  <c r="E28" i="44"/>
  <c r="E77" i="44"/>
  <c r="E13" i="44"/>
  <c r="C71" i="44" s="1"/>
  <c r="AA9" i="44"/>
  <c r="AA10" i="44"/>
  <c r="AA11" i="44"/>
  <c r="AA14" i="44"/>
  <c r="AA15" i="44"/>
  <c r="AI23" i="44"/>
  <c r="AI25" i="44"/>
  <c r="AJ22" i="44"/>
  <c r="AJ23" i="44"/>
  <c r="AJ25" i="44"/>
  <c r="AJ27" i="44"/>
  <c r="AG9" i="44"/>
  <c r="AE9" i="44"/>
  <c r="AE11" i="44"/>
  <c r="AF11" i="44"/>
  <c r="AF13" i="44"/>
  <c r="AA20" i="44"/>
  <c r="AJ12" i="44"/>
  <c r="AE10" i="44"/>
  <c r="AF16" i="44"/>
  <c r="AG16" i="44"/>
  <c r="AD20" i="44"/>
  <c r="D2" i="3"/>
  <c r="H2" i="3" s="1"/>
  <c r="B79" i="4"/>
  <c r="B78" i="4"/>
  <c r="B77" i="4"/>
  <c r="U33" i="4"/>
  <c r="T33" i="4"/>
  <c r="P33" i="4"/>
  <c r="V33" i="4" s="1"/>
  <c r="G33" i="4"/>
  <c r="R33" i="4" s="1"/>
  <c r="AC33" i="4" s="1"/>
  <c r="D33" i="4"/>
  <c r="S32" i="4"/>
  <c r="P32" i="4"/>
  <c r="V32" i="4" s="1"/>
  <c r="G32" i="4"/>
  <c r="R32" i="4" s="1"/>
  <c r="AC32" i="4" s="1"/>
  <c r="D32" i="4"/>
  <c r="U31" i="4"/>
  <c r="S31" i="4"/>
  <c r="P31" i="4"/>
  <c r="V31" i="4" s="1"/>
  <c r="G31" i="4"/>
  <c r="R31" i="4" s="1"/>
  <c r="AC31" i="4" s="1"/>
  <c r="D31" i="4"/>
  <c r="E79" i="4" s="1"/>
  <c r="U30" i="4"/>
  <c r="P30" i="4"/>
  <c r="V30" i="4" s="1"/>
  <c r="G30" i="4"/>
  <c r="R30" i="4" s="1"/>
  <c r="AC30" i="4" s="1"/>
  <c r="D30" i="4"/>
  <c r="U29" i="4"/>
  <c r="T29" i="4"/>
  <c r="S29" i="4"/>
  <c r="AA29" i="4" s="1"/>
  <c r="P29" i="4"/>
  <c r="V29" i="4" s="1"/>
  <c r="G29" i="4"/>
  <c r="R29" i="4" s="1"/>
  <c r="AC29" i="4" s="1"/>
  <c r="D29" i="4"/>
  <c r="P28" i="4"/>
  <c r="V28" i="4" s="1"/>
  <c r="G28" i="4"/>
  <c r="R28" i="4" s="1"/>
  <c r="AC28" i="4" s="1"/>
  <c r="D28" i="4"/>
  <c r="T27" i="4"/>
  <c r="P27" i="4"/>
  <c r="V27" i="4" s="1"/>
  <c r="G27" i="4"/>
  <c r="R27" i="4" s="1"/>
  <c r="AC27" i="4" s="1"/>
  <c r="D27" i="4"/>
  <c r="U26" i="4"/>
  <c r="T26" i="4"/>
  <c r="S26" i="4"/>
  <c r="AA26" i="4" s="1"/>
  <c r="P26" i="4"/>
  <c r="V26" i="4" s="1"/>
  <c r="G26" i="4"/>
  <c r="R26" i="4" s="1"/>
  <c r="AC26" i="4" s="1"/>
  <c r="D26" i="4"/>
  <c r="S25" i="4"/>
  <c r="AA25" i="4" s="1"/>
  <c r="P25" i="4"/>
  <c r="V25" i="4" s="1"/>
  <c r="G25" i="4"/>
  <c r="R25" i="4" s="1"/>
  <c r="AC25" i="4" s="1"/>
  <c r="D25" i="4"/>
  <c r="AA24" i="4"/>
  <c r="U24" i="4"/>
  <c r="S24" i="4"/>
  <c r="P24" i="4"/>
  <c r="V24" i="4" s="1"/>
  <c r="G24" i="4"/>
  <c r="R24" i="4" s="1"/>
  <c r="AC24" i="4" s="1"/>
  <c r="D24" i="4"/>
  <c r="T23" i="4"/>
  <c r="S23" i="4"/>
  <c r="P23" i="4"/>
  <c r="V23" i="4" s="1"/>
  <c r="G23" i="4"/>
  <c r="R23" i="4" s="1"/>
  <c r="AC23" i="4" s="1"/>
  <c r="D23" i="4"/>
  <c r="U22" i="4"/>
  <c r="S22" i="4"/>
  <c r="P22" i="4"/>
  <c r="V22" i="4" s="1"/>
  <c r="G22" i="4"/>
  <c r="R22" i="4" s="1"/>
  <c r="AC22" i="4" s="1"/>
  <c r="D22" i="4"/>
  <c r="Z21" i="4"/>
  <c r="Y21" i="4"/>
  <c r="X21" i="4"/>
  <c r="V21" i="4"/>
  <c r="U21" i="4"/>
  <c r="T21" i="4"/>
  <c r="P21" i="4"/>
  <c r="W21" i="4" s="1"/>
  <c r="G21" i="4"/>
  <c r="R21" i="4" s="1"/>
  <c r="AC21" i="4" s="1"/>
  <c r="D21" i="4"/>
  <c r="E78" i="4" s="1"/>
  <c r="P20" i="4"/>
  <c r="Y20" i="4" s="1"/>
  <c r="G20" i="4"/>
  <c r="R20" i="4" s="1"/>
  <c r="AC20" i="4" s="1"/>
  <c r="D20" i="4"/>
  <c r="P19" i="4"/>
  <c r="G19" i="4"/>
  <c r="R19" i="4" s="1"/>
  <c r="AC19" i="4" s="1"/>
  <c r="D19" i="4"/>
  <c r="P18" i="4"/>
  <c r="Y18" i="4" s="1"/>
  <c r="G18" i="4"/>
  <c r="R18" i="4" s="1"/>
  <c r="AC18" i="4" s="1"/>
  <c r="D18" i="4"/>
  <c r="P17" i="4"/>
  <c r="Y17" i="4" s="1"/>
  <c r="G17" i="4"/>
  <c r="R17" i="4" s="1"/>
  <c r="AC17" i="4" s="1"/>
  <c r="D17" i="4"/>
  <c r="P16" i="4"/>
  <c r="G16" i="4"/>
  <c r="R16" i="4" s="1"/>
  <c r="AC16" i="4" s="1"/>
  <c r="D16" i="4"/>
  <c r="AC15" i="4"/>
  <c r="Z15" i="4"/>
  <c r="Y15" i="4"/>
  <c r="X15" i="4"/>
  <c r="W15" i="4"/>
  <c r="U15" i="4"/>
  <c r="T15" i="4"/>
  <c r="S15" i="4"/>
  <c r="AD15" i="4" s="1"/>
  <c r="AL15" i="4" s="1"/>
  <c r="P15" i="4"/>
  <c r="V15" i="4" s="1"/>
  <c r="AG15" i="4" s="1"/>
  <c r="G15" i="4"/>
  <c r="R15" i="4" s="1"/>
  <c r="D15" i="4"/>
  <c r="Z14" i="4"/>
  <c r="Y14" i="4"/>
  <c r="X14" i="4"/>
  <c r="V14" i="4"/>
  <c r="T14" i="4"/>
  <c r="P14" i="4"/>
  <c r="W14" i="4" s="1"/>
  <c r="G14" i="4"/>
  <c r="R14" i="4" s="1"/>
  <c r="AC14" i="4" s="1"/>
  <c r="D14" i="4"/>
  <c r="AC13" i="4"/>
  <c r="Y13" i="4"/>
  <c r="W13" i="4"/>
  <c r="T13" i="4"/>
  <c r="P13" i="4"/>
  <c r="Z13" i="4" s="1"/>
  <c r="G13" i="4"/>
  <c r="R13" i="4" s="1"/>
  <c r="D13" i="4"/>
  <c r="Z12" i="4"/>
  <c r="X12" i="4"/>
  <c r="U12" i="4"/>
  <c r="P12" i="4"/>
  <c r="Y12" i="4" s="1"/>
  <c r="G12" i="4"/>
  <c r="R12" i="4" s="1"/>
  <c r="AC12" i="4" s="1"/>
  <c r="D12" i="4"/>
  <c r="Y11" i="4"/>
  <c r="X11" i="4"/>
  <c r="AI11" i="4" s="1"/>
  <c r="W11" i="4"/>
  <c r="V11" i="4"/>
  <c r="U11" i="4"/>
  <c r="T11" i="4"/>
  <c r="S11" i="4"/>
  <c r="AD11" i="4" s="1"/>
  <c r="AL11" i="4" s="1"/>
  <c r="P11" i="4"/>
  <c r="Z11" i="4" s="1"/>
  <c r="AK11" i="4" s="1"/>
  <c r="G11" i="4"/>
  <c r="R11" i="4" s="1"/>
  <c r="AC11" i="4" s="1"/>
  <c r="D11" i="4"/>
  <c r="Y10" i="4"/>
  <c r="U10" i="4"/>
  <c r="T10" i="4"/>
  <c r="P10" i="4"/>
  <c r="S10" i="4" s="1"/>
  <c r="AA10" i="4" s="1"/>
  <c r="G10" i="4"/>
  <c r="R10" i="4" s="1"/>
  <c r="AC10" i="4" s="1"/>
  <c r="D10" i="4"/>
  <c r="AC9" i="4"/>
  <c r="Z9" i="4"/>
  <c r="AK9" i="4" s="1"/>
  <c r="Y9" i="4"/>
  <c r="X9" i="4"/>
  <c r="AI9" i="4" s="1"/>
  <c r="W9" i="4"/>
  <c r="U9" i="4"/>
  <c r="T9" i="4"/>
  <c r="S9" i="4"/>
  <c r="AD9" i="4" s="1"/>
  <c r="AL9" i="4" s="1"/>
  <c r="P9" i="4"/>
  <c r="V9" i="4" s="1"/>
  <c r="AG9" i="4" s="1"/>
  <c r="G9" i="4"/>
  <c r="R9" i="4" s="1"/>
  <c r="D9" i="4"/>
  <c r="AA8" i="4"/>
  <c r="Z8" i="4"/>
  <c r="X8" i="4"/>
  <c r="V8" i="4"/>
  <c r="S8" i="4"/>
  <c r="P8" i="4"/>
  <c r="Y8" i="4" s="1"/>
  <c r="AJ8" i="4" s="1"/>
  <c r="G8" i="4"/>
  <c r="R8" i="4" s="1"/>
  <c r="AC8" i="4" s="1"/>
  <c r="D8" i="4"/>
  <c r="P7" i="4"/>
  <c r="Z7" i="4" s="1"/>
  <c r="G7" i="4"/>
  <c r="R7" i="4" s="1"/>
  <c r="AC7" i="4" s="1"/>
  <c r="D7" i="4"/>
  <c r="E31" i="4" s="1"/>
  <c r="AK4" i="4"/>
  <c r="Z4" i="4"/>
  <c r="Y4" i="4"/>
  <c r="AJ4" i="4" s="1"/>
  <c r="X4" i="4"/>
  <c r="AI4" i="4" s="1"/>
  <c r="W4" i="4"/>
  <c r="AH4" i="4" s="1"/>
  <c r="V4" i="4"/>
  <c r="AG4" i="4" s="1"/>
  <c r="U4" i="4"/>
  <c r="AF4" i="4" s="1"/>
  <c r="T4" i="4"/>
  <c r="AE4" i="4" s="1"/>
  <c r="S4" i="4"/>
  <c r="AD4" i="4" s="1"/>
  <c r="R4" i="4"/>
  <c r="AC4" i="4" s="1"/>
  <c r="B4" i="4"/>
  <c r="D2" i="4"/>
  <c r="H2" i="4" s="1"/>
  <c r="B4" i="3"/>
  <c r="R4" i="3"/>
  <c r="S4" i="3"/>
  <c r="T4" i="3"/>
  <c r="AE4" i="3" s="1"/>
  <c r="U4" i="3"/>
  <c r="V4" i="3"/>
  <c r="AG4" i="3" s="1"/>
  <c r="W4" i="3"/>
  <c r="AH4" i="3" s="1"/>
  <c r="X4" i="3"/>
  <c r="AI4" i="3" s="1"/>
  <c r="Y4" i="3"/>
  <c r="AJ4" i="3" s="1"/>
  <c r="Z4" i="3"/>
  <c r="AK4" i="3" s="1"/>
  <c r="AC4" i="3"/>
  <c r="AD4" i="3"/>
  <c r="AF4" i="3"/>
  <c r="D7" i="3"/>
  <c r="E20" i="3" s="1"/>
  <c r="G7" i="3"/>
  <c r="P7" i="3"/>
  <c r="V7" i="3" s="1"/>
  <c r="R7" i="3"/>
  <c r="AC7" i="3" s="1"/>
  <c r="S7" i="3"/>
  <c r="AA7" i="3" s="1"/>
  <c r="T7" i="3"/>
  <c r="AE7" i="3" s="1"/>
  <c r="W7" i="3"/>
  <c r="AH7" i="3" s="1"/>
  <c r="Y7" i="3"/>
  <c r="D8" i="3"/>
  <c r="E8" i="3"/>
  <c r="G8" i="3"/>
  <c r="P8" i="3"/>
  <c r="V8" i="3" s="1"/>
  <c r="R8" i="3"/>
  <c r="AC8" i="3" s="1"/>
  <c r="S8" i="3"/>
  <c r="AA8" i="3" s="1"/>
  <c r="T8" i="3"/>
  <c r="AE8" i="3" s="1"/>
  <c r="W8" i="3"/>
  <c r="AH8" i="3" s="1"/>
  <c r="Y8" i="3"/>
  <c r="D9" i="3"/>
  <c r="E9" i="3"/>
  <c r="G9" i="3"/>
  <c r="P9" i="3"/>
  <c r="V9" i="3" s="1"/>
  <c r="R9" i="3"/>
  <c r="AC9" i="3" s="1"/>
  <c r="S9" i="3"/>
  <c r="AA9" i="3" s="1"/>
  <c r="T9" i="3"/>
  <c r="AE9" i="3" s="1"/>
  <c r="W9" i="3"/>
  <c r="AH9" i="3" s="1"/>
  <c r="Y9" i="3"/>
  <c r="D10" i="3"/>
  <c r="E10" i="3"/>
  <c r="G10" i="3"/>
  <c r="P10" i="3"/>
  <c r="V10" i="3" s="1"/>
  <c r="R10" i="3"/>
  <c r="AC10" i="3" s="1"/>
  <c r="S10" i="3"/>
  <c r="AA10" i="3" s="1"/>
  <c r="T10" i="3"/>
  <c r="AE10" i="3" s="1"/>
  <c r="W10" i="3"/>
  <c r="AH10" i="3" s="1"/>
  <c r="Y10" i="3"/>
  <c r="D11" i="3"/>
  <c r="E11" i="3"/>
  <c r="G11" i="3"/>
  <c r="P11" i="3"/>
  <c r="V11" i="3" s="1"/>
  <c r="R11" i="3"/>
  <c r="AC11" i="3" s="1"/>
  <c r="S11" i="3"/>
  <c r="AA11" i="3" s="1"/>
  <c r="T11" i="3"/>
  <c r="AE11" i="3" s="1"/>
  <c r="W11" i="3"/>
  <c r="AH11" i="3" s="1"/>
  <c r="Y11" i="3"/>
  <c r="D12" i="3"/>
  <c r="E12" i="3"/>
  <c r="G12" i="3"/>
  <c r="P12" i="3"/>
  <c r="V12" i="3" s="1"/>
  <c r="R12" i="3"/>
  <c r="AC12" i="3" s="1"/>
  <c r="S12" i="3"/>
  <c r="AA12" i="3" s="1"/>
  <c r="T12" i="3"/>
  <c r="AE12" i="3" s="1"/>
  <c r="W12" i="3"/>
  <c r="AH12" i="3" s="1"/>
  <c r="Y12" i="3"/>
  <c r="D13" i="3"/>
  <c r="E13" i="3"/>
  <c r="G13" i="3"/>
  <c r="P13" i="3"/>
  <c r="V13" i="3" s="1"/>
  <c r="R13" i="3"/>
  <c r="AC13" i="3" s="1"/>
  <c r="S13" i="3"/>
  <c r="AA13" i="3" s="1"/>
  <c r="T13" i="3"/>
  <c r="AE13" i="3" s="1"/>
  <c r="W13" i="3"/>
  <c r="AH13" i="3" s="1"/>
  <c r="Y13" i="3"/>
  <c r="D14" i="3"/>
  <c r="E14" i="3"/>
  <c r="G14" i="3"/>
  <c r="P14" i="3"/>
  <c r="V14" i="3" s="1"/>
  <c r="R14" i="3"/>
  <c r="AC14" i="3" s="1"/>
  <c r="S14" i="3"/>
  <c r="AA14" i="3" s="1"/>
  <c r="T14" i="3"/>
  <c r="AE14" i="3" s="1"/>
  <c r="W14" i="3"/>
  <c r="AH14" i="3" s="1"/>
  <c r="Y14" i="3"/>
  <c r="D15" i="3"/>
  <c r="E15" i="3"/>
  <c r="G15" i="3"/>
  <c r="P15" i="3"/>
  <c r="V15" i="3" s="1"/>
  <c r="R15" i="3"/>
  <c r="AC15" i="3" s="1"/>
  <c r="S15" i="3"/>
  <c r="AA15" i="3" s="1"/>
  <c r="T15" i="3"/>
  <c r="AE15" i="3" s="1"/>
  <c r="W15" i="3"/>
  <c r="AH15" i="3" s="1"/>
  <c r="Y15" i="3"/>
  <c r="D16" i="3"/>
  <c r="G16" i="3"/>
  <c r="R16" i="3" s="1"/>
  <c r="AC16" i="3" s="1"/>
  <c r="P16" i="3"/>
  <c r="W16" i="3" s="1"/>
  <c r="S16" i="3"/>
  <c r="T16" i="3"/>
  <c r="U16" i="3"/>
  <c r="AF16" i="3" s="1"/>
  <c r="V16" i="3"/>
  <c r="AG16" i="3" s="1"/>
  <c r="X16" i="3"/>
  <c r="Y16" i="3"/>
  <c r="Z16" i="3"/>
  <c r="D17" i="3"/>
  <c r="E17" i="3"/>
  <c r="G17" i="3"/>
  <c r="R17" i="3" s="1"/>
  <c r="AC17" i="3" s="1"/>
  <c r="P17" i="3"/>
  <c r="X17" i="3" s="1"/>
  <c r="U17" i="3"/>
  <c r="V17" i="3"/>
  <c r="Y17" i="3"/>
  <c r="D18" i="3"/>
  <c r="E18" i="3"/>
  <c r="G18" i="3"/>
  <c r="R18" i="3" s="1"/>
  <c r="AC18" i="3" s="1"/>
  <c r="P18" i="3"/>
  <c r="Y18" i="3" s="1"/>
  <c r="T18" i="3"/>
  <c r="V18" i="3"/>
  <c r="W18" i="3"/>
  <c r="X18" i="3"/>
  <c r="Z18" i="3"/>
  <c r="D19" i="3"/>
  <c r="E19" i="3"/>
  <c r="G19" i="3"/>
  <c r="R19" i="3" s="1"/>
  <c r="AC19" i="3" s="1"/>
  <c r="P19" i="3"/>
  <c r="W19" i="3" s="1"/>
  <c r="D20" i="3"/>
  <c r="G20" i="3"/>
  <c r="P20" i="3"/>
  <c r="S20" i="3" s="1"/>
  <c r="R20" i="3"/>
  <c r="AC20" i="3" s="1"/>
  <c r="T20" i="3"/>
  <c r="W20" i="3"/>
  <c r="AH20" i="3" s="1"/>
  <c r="Y20" i="3"/>
  <c r="Z20" i="3"/>
  <c r="D21" i="3"/>
  <c r="E78" i="3" s="1"/>
  <c r="G21" i="3"/>
  <c r="R21" i="3" s="1"/>
  <c r="AC21" i="3" s="1"/>
  <c r="P21" i="3"/>
  <c r="T21" i="3" s="1"/>
  <c r="Y21" i="3"/>
  <c r="Z21" i="3"/>
  <c r="D22" i="3"/>
  <c r="E22" i="3"/>
  <c r="G22" i="3"/>
  <c r="R22" i="3" s="1"/>
  <c r="AC22" i="3" s="1"/>
  <c r="P22" i="3"/>
  <c r="W22" i="3" s="1"/>
  <c r="S22" i="3"/>
  <c r="T22" i="3"/>
  <c r="U22" i="3"/>
  <c r="V22" i="3"/>
  <c r="X22" i="3"/>
  <c r="Y22" i="3"/>
  <c r="AF22" i="3" s="1"/>
  <c r="Z22" i="3"/>
  <c r="AK22" i="3" s="1"/>
  <c r="D23" i="3"/>
  <c r="E23" i="3"/>
  <c r="D95" i="3" s="1"/>
  <c r="G23" i="3"/>
  <c r="R23" i="3" s="1"/>
  <c r="AC23" i="3" s="1"/>
  <c r="P23" i="3"/>
  <c r="W23" i="3" s="1"/>
  <c r="S23" i="3"/>
  <c r="T23" i="3"/>
  <c r="U23" i="3"/>
  <c r="V23" i="3"/>
  <c r="X23" i="3"/>
  <c r="Y23" i="3"/>
  <c r="AF23" i="3" s="1"/>
  <c r="Z23" i="3"/>
  <c r="AK23" i="3" s="1"/>
  <c r="D24" i="3"/>
  <c r="E24" i="3"/>
  <c r="G24" i="3"/>
  <c r="R24" i="3" s="1"/>
  <c r="AC24" i="3" s="1"/>
  <c r="P24" i="3"/>
  <c r="W24" i="3" s="1"/>
  <c r="S24" i="3"/>
  <c r="T24" i="3"/>
  <c r="U24" i="3"/>
  <c r="V24" i="3"/>
  <c r="X24" i="3"/>
  <c r="Y24" i="3"/>
  <c r="AF24" i="3" s="1"/>
  <c r="Z24" i="3"/>
  <c r="AK24" i="3" s="1"/>
  <c r="D25" i="3"/>
  <c r="E25" i="3"/>
  <c r="G25" i="3"/>
  <c r="R25" i="3" s="1"/>
  <c r="AC25" i="3" s="1"/>
  <c r="P25" i="3"/>
  <c r="W25" i="3" s="1"/>
  <c r="S25" i="3"/>
  <c r="T25" i="3"/>
  <c r="U25" i="3"/>
  <c r="V25" i="3"/>
  <c r="X25" i="3"/>
  <c r="Y25" i="3"/>
  <c r="AG25" i="3" s="1"/>
  <c r="Z25" i="3"/>
  <c r="AK25" i="3" s="1"/>
  <c r="D26" i="3"/>
  <c r="E26" i="3"/>
  <c r="G26" i="3"/>
  <c r="R26" i="3" s="1"/>
  <c r="AC26" i="3" s="1"/>
  <c r="P26" i="3"/>
  <c r="W26" i="3" s="1"/>
  <c r="S26" i="3"/>
  <c r="T26" i="3"/>
  <c r="V26" i="3"/>
  <c r="X26" i="3"/>
  <c r="Y26" i="3"/>
  <c r="AG26" i="3" s="1"/>
  <c r="Z26" i="3"/>
  <c r="AK26" i="3" s="1"/>
  <c r="D27" i="3"/>
  <c r="E27" i="3"/>
  <c r="G27" i="3"/>
  <c r="R27" i="3" s="1"/>
  <c r="AC27" i="3" s="1"/>
  <c r="P27" i="3"/>
  <c r="W27" i="3" s="1"/>
  <c r="S27" i="3"/>
  <c r="T27" i="3"/>
  <c r="V27" i="3"/>
  <c r="X27" i="3"/>
  <c r="Y27" i="3"/>
  <c r="Z27" i="3"/>
  <c r="AK27" i="3" s="1"/>
  <c r="D28" i="3"/>
  <c r="E28" i="3"/>
  <c r="G28" i="3"/>
  <c r="R28" i="3" s="1"/>
  <c r="AC28" i="3" s="1"/>
  <c r="P28" i="3"/>
  <c r="W28" i="3" s="1"/>
  <c r="S28" i="3"/>
  <c r="T28" i="3"/>
  <c r="V28" i="3"/>
  <c r="X28" i="3"/>
  <c r="Y28" i="3"/>
  <c r="AG28" i="3" s="1"/>
  <c r="Z28" i="3"/>
  <c r="AK28" i="3" s="1"/>
  <c r="D29" i="3"/>
  <c r="E29" i="3"/>
  <c r="G29" i="3"/>
  <c r="R29" i="3" s="1"/>
  <c r="AC29" i="3" s="1"/>
  <c r="P29" i="3"/>
  <c r="W29" i="3" s="1"/>
  <c r="S29" i="3"/>
  <c r="T29" i="3"/>
  <c r="V29" i="3"/>
  <c r="X29" i="3"/>
  <c r="Y29" i="3"/>
  <c r="Z29" i="3"/>
  <c r="AK29" i="3" s="1"/>
  <c r="D30" i="3"/>
  <c r="E30" i="3"/>
  <c r="D96" i="3" s="1"/>
  <c r="G30" i="3"/>
  <c r="R30" i="3" s="1"/>
  <c r="P30" i="3"/>
  <c r="W30" i="3" s="1"/>
  <c r="S30" i="3"/>
  <c r="U30" i="3"/>
  <c r="X30" i="3"/>
  <c r="Y30" i="3"/>
  <c r="AC30" i="3"/>
  <c r="D31" i="3"/>
  <c r="E31" i="3"/>
  <c r="G31" i="3"/>
  <c r="R31" i="3" s="1"/>
  <c r="AC31" i="3" s="1"/>
  <c r="P31" i="3"/>
  <c r="W31" i="3" s="1"/>
  <c r="S31" i="3"/>
  <c r="T31" i="3"/>
  <c r="U31" i="3"/>
  <c r="V31" i="3"/>
  <c r="Y31" i="3"/>
  <c r="Z31" i="3"/>
  <c r="AA31" i="3"/>
  <c r="D32" i="3"/>
  <c r="E32" i="3"/>
  <c r="G32" i="3"/>
  <c r="R32" i="3" s="1"/>
  <c r="AC32" i="3" s="1"/>
  <c r="P32" i="3"/>
  <c r="W32" i="3" s="1"/>
  <c r="T32" i="3"/>
  <c r="U32" i="3"/>
  <c r="X32" i="3"/>
  <c r="Y32" i="3"/>
  <c r="Z32" i="3"/>
  <c r="D33" i="3"/>
  <c r="E33" i="3"/>
  <c r="G33" i="3"/>
  <c r="R33" i="3" s="1"/>
  <c r="AC33" i="3" s="1"/>
  <c r="P33" i="3"/>
  <c r="W33" i="3" s="1"/>
  <c r="T33" i="3"/>
  <c r="U33" i="3"/>
  <c r="X33" i="3"/>
  <c r="Y33" i="3"/>
  <c r="Z33" i="3"/>
  <c r="B77" i="3"/>
  <c r="E77" i="3"/>
  <c r="B78" i="3"/>
  <c r="B79" i="3"/>
  <c r="E79" i="3"/>
  <c r="B81" i="3"/>
  <c r="E81" i="3"/>
  <c r="E82" i="3"/>
  <c r="H82" i="3"/>
  <c r="E83" i="3"/>
  <c r="C48" i="2"/>
  <c r="AG8" i="4" l="1"/>
  <c r="AI8" i="4"/>
  <c r="AK13" i="4"/>
  <c r="AJ12" i="4"/>
  <c r="S7" i="4"/>
  <c r="AE11" i="4"/>
  <c r="AJ14" i="4"/>
  <c r="T17" i="4"/>
  <c r="AJ30" i="44"/>
  <c r="AK32" i="44"/>
  <c r="AK33" i="44"/>
  <c r="S28" i="4"/>
  <c r="AA28" i="4" s="1"/>
  <c r="S33" i="3"/>
  <c r="AA33" i="3" s="1"/>
  <c r="S32" i="3"/>
  <c r="AE31" i="3"/>
  <c r="V30" i="3"/>
  <c r="X21" i="3"/>
  <c r="T17" i="3"/>
  <c r="AE16" i="3"/>
  <c r="T7" i="4"/>
  <c r="AE7" i="4" s="1"/>
  <c r="AJ9" i="4"/>
  <c r="V10" i="4"/>
  <c r="AG10" i="4" s="1"/>
  <c r="AH15" i="4"/>
  <c r="V17" i="4"/>
  <c r="T28" i="4"/>
  <c r="E32" i="4"/>
  <c r="C73" i="44"/>
  <c r="C75" i="44"/>
  <c r="AI12" i="44"/>
  <c r="AG29" i="44"/>
  <c r="AD29" i="44"/>
  <c r="AL29" i="44" s="1"/>
  <c r="S21" i="3"/>
  <c r="AH16" i="3"/>
  <c r="AG15" i="3"/>
  <c r="AG14" i="3"/>
  <c r="AG13" i="3"/>
  <c r="AG12" i="3"/>
  <c r="AG11" i="3"/>
  <c r="AG10" i="3"/>
  <c r="AG9" i="3"/>
  <c r="AG8" i="3"/>
  <c r="AG7" i="3"/>
  <c r="U7" i="4"/>
  <c r="W10" i="4"/>
  <c r="AG11" i="4"/>
  <c r="S12" i="4"/>
  <c r="AA12" i="4" s="1"/>
  <c r="W17" i="4"/>
  <c r="U28" i="4"/>
  <c r="S30" i="4"/>
  <c r="AA30" i="4" s="1"/>
  <c r="AD16" i="44"/>
  <c r="AE32" i="44"/>
  <c r="AD13" i="44"/>
  <c r="AL13" i="44" s="1"/>
  <c r="AG30" i="3"/>
  <c r="T30" i="3"/>
  <c r="AE30" i="3" s="1"/>
  <c r="U29" i="3"/>
  <c r="U28" i="3"/>
  <c r="U27" i="3"/>
  <c r="U26" i="3"/>
  <c r="U18" i="3"/>
  <c r="V7" i="4"/>
  <c r="AA9" i="4"/>
  <c r="X10" i="4"/>
  <c r="AI10" i="4" s="1"/>
  <c r="T12" i="4"/>
  <c r="S13" i="4"/>
  <c r="AA15" i="4"/>
  <c r="X17" i="4"/>
  <c r="T30" i="4"/>
  <c r="AI33" i="44"/>
  <c r="AF7" i="44"/>
  <c r="AK10" i="44"/>
  <c r="AK12" i="44"/>
  <c r="AD30" i="3"/>
  <c r="AL30" i="3" s="1"/>
  <c r="AE27" i="3"/>
  <c r="AE25" i="3"/>
  <c r="AE23" i="3"/>
  <c r="AE22" i="3"/>
  <c r="W7" i="4"/>
  <c r="AD8" i="4"/>
  <c r="AL8" i="4" s="1"/>
  <c r="AJ10" i="4"/>
  <c r="AE13" i="4"/>
  <c r="Z17" i="4"/>
  <c r="AK21" i="4"/>
  <c r="AJ8" i="44"/>
  <c r="AA8" i="44"/>
  <c r="AE28" i="44"/>
  <c r="AF29" i="44"/>
  <c r="AH10" i="44"/>
  <c r="AE28" i="3"/>
  <c r="AE24" i="3"/>
  <c r="AH30" i="3"/>
  <c r="AD29" i="3"/>
  <c r="AL29" i="3" s="1"/>
  <c r="AD28" i="3"/>
  <c r="AL28" i="3" s="1"/>
  <c r="AD27" i="3"/>
  <c r="AL27" i="3" s="1"/>
  <c r="AD26" i="3"/>
  <c r="AL26" i="3" s="1"/>
  <c r="AD25" i="3"/>
  <c r="AL25" i="3" s="1"/>
  <c r="AD24" i="3"/>
  <c r="AL24" i="3" s="1"/>
  <c r="AD23" i="3"/>
  <c r="AL23" i="3" s="1"/>
  <c r="AD22" i="3"/>
  <c r="AL22" i="3" s="1"/>
  <c r="Y19" i="3"/>
  <c r="X7" i="4"/>
  <c r="T8" i="4"/>
  <c r="AE8" i="4" s="1"/>
  <c r="Z10" i="4"/>
  <c r="AK10" i="4" s="1"/>
  <c r="AJ11" i="4"/>
  <c r="V12" i="4"/>
  <c r="AG12" i="4" s="1"/>
  <c r="U13" i="4"/>
  <c r="AF13" i="4" s="1"/>
  <c r="AJ15" i="4"/>
  <c r="U23" i="4"/>
  <c r="T25" i="4"/>
  <c r="T32" i="4"/>
  <c r="AA7" i="44"/>
  <c r="AH27" i="44"/>
  <c r="AH14" i="44"/>
  <c r="AH22" i="44"/>
  <c r="AJ18" i="44"/>
  <c r="AJ7" i="44"/>
  <c r="AI13" i="44"/>
  <c r="AF29" i="3"/>
  <c r="AE29" i="3"/>
  <c r="AE26" i="3"/>
  <c r="AE21" i="3"/>
  <c r="AH29" i="3"/>
  <c r="AH28" i="3"/>
  <c r="AH27" i="3"/>
  <c r="AH26" i="3"/>
  <c r="AH25" i="3"/>
  <c r="AH24" i="3"/>
  <c r="AH23" i="3"/>
  <c r="AH22" i="3"/>
  <c r="E21" i="3"/>
  <c r="V19" i="3"/>
  <c r="AG19" i="3" s="1"/>
  <c r="Y7" i="4"/>
  <c r="AJ7" i="4" s="1"/>
  <c r="U8" i="4"/>
  <c r="AF8" i="4" s="1"/>
  <c r="W12" i="4"/>
  <c r="AH12" i="4" s="1"/>
  <c r="V13" i="4"/>
  <c r="AG13" i="4" s="1"/>
  <c r="S14" i="4"/>
  <c r="AA14" i="4" s="1"/>
  <c r="U25" i="4"/>
  <c r="S27" i="4"/>
  <c r="U32" i="4"/>
  <c r="AI28" i="44"/>
  <c r="AH33" i="44"/>
  <c r="AD10" i="44"/>
  <c r="AL10" i="44" s="1"/>
  <c r="AA33" i="44"/>
  <c r="AE17" i="44"/>
  <c r="AJ33" i="44"/>
  <c r="AF27" i="3"/>
  <c r="AK16" i="3"/>
  <c r="AA11" i="4"/>
  <c r="AE13" i="44"/>
  <c r="AF31" i="44"/>
  <c r="AE31" i="44"/>
  <c r="AG33" i="44"/>
  <c r="AK8" i="4"/>
  <c r="AJ15" i="3"/>
  <c r="AJ14" i="3"/>
  <c r="AJ13" i="3"/>
  <c r="AJ12" i="3"/>
  <c r="AJ11" i="3"/>
  <c r="AJ10" i="3"/>
  <c r="AJ9" i="3"/>
  <c r="AJ8" i="3"/>
  <c r="AJ7" i="3"/>
  <c r="W8" i="4"/>
  <c r="AH8" i="4" s="1"/>
  <c r="AE9" i="4"/>
  <c r="X13" i="4"/>
  <c r="AI13" i="4" s="1"/>
  <c r="U14" i="4"/>
  <c r="AE15" i="4"/>
  <c r="E82" i="4"/>
  <c r="W18" i="4"/>
  <c r="AH21" i="4"/>
  <c r="U27" i="4"/>
  <c r="AG12" i="44"/>
  <c r="AJ31" i="44"/>
  <c r="AE33" i="44"/>
  <c r="AE29" i="44"/>
  <c r="AA30" i="3"/>
  <c r="AK12" i="4"/>
  <c r="AJ13" i="4"/>
  <c r="AG13" i="44"/>
  <c r="AH28" i="44"/>
  <c r="AG19" i="44"/>
  <c r="AF32" i="44"/>
  <c r="AK20" i="44"/>
  <c r="B82" i="3"/>
  <c r="V33" i="3"/>
  <c r="V32" i="3"/>
  <c r="X31" i="3"/>
  <c r="Z30" i="3"/>
  <c r="AK30" i="3" s="1"/>
  <c r="AA29" i="3"/>
  <c r="AA28" i="3"/>
  <c r="AA27" i="3"/>
  <c r="AA26" i="3"/>
  <c r="AA25" i="3"/>
  <c r="AA24" i="3"/>
  <c r="AA23" i="3"/>
  <c r="AA22" i="3"/>
  <c r="X20" i="3"/>
  <c r="W17" i="3"/>
  <c r="U15" i="3"/>
  <c r="AF15" i="3" s="1"/>
  <c r="U14" i="3"/>
  <c r="AF14" i="3" s="1"/>
  <c r="U13" i="3"/>
  <c r="AF13" i="3" s="1"/>
  <c r="U12" i="3"/>
  <c r="AF12" i="3" s="1"/>
  <c r="U11" i="3"/>
  <c r="AF11" i="3" s="1"/>
  <c r="U10" i="3"/>
  <c r="AF10" i="3" s="1"/>
  <c r="U9" i="3"/>
  <c r="AF9" i="3" s="1"/>
  <c r="U8" i="3"/>
  <c r="AF8" i="3" s="1"/>
  <c r="U7" i="3"/>
  <c r="AF7" i="3" s="1"/>
  <c r="S21" i="4"/>
  <c r="AG21" i="4" s="1"/>
  <c r="T22" i="4"/>
  <c r="T24" i="4"/>
  <c r="T31" i="4"/>
  <c r="S33" i="4"/>
  <c r="AF10" i="44"/>
  <c r="AJ26" i="44"/>
  <c r="AG10" i="44"/>
  <c r="AG31" i="44"/>
  <c r="AJ13" i="44"/>
  <c r="AF33" i="44"/>
  <c r="F59" i="2"/>
  <c r="F63" i="2" s="1"/>
  <c r="D59" i="2"/>
  <c r="G59" i="2"/>
  <c r="G63" i="2" s="1"/>
  <c r="AF8" i="44"/>
  <c r="AD8" i="44"/>
  <c r="AL8" i="44" s="1"/>
  <c r="AH20" i="44"/>
  <c r="AJ32" i="44"/>
  <c r="AK18" i="44"/>
  <c r="AK19" i="44"/>
  <c r="AD27" i="44"/>
  <c r="AL27" i="44" s="1"/>
  <c r="AA27" i="44"/>
  <c r="AD17" i="44"/>
  <c r="AA17" i="44"/>
  <c r="AG26" i="44"/>
  <c r="AF30" i="44"/>
  <c r="AJ28" i="44"/>
  <c r="AJ21" i="44"/>
  <c r="AI24" i="44"/>
  <c r="AE24" i="44"/>
  <c r="AF26" i="44"/>
  <c r="AE30" i="44"/>
  <c r="AD26" i="44"/>
  <c r="AL26" i="44" s="1"/>
  <c r="AA26" i="44"/>
  <c r="AH8" i="44"/>
  <c r="AK27" i="44"/>
  <c r="AJ19" i="44"/>
  <c r="AJ24" i="44"/>
  <c r="AF21" i="44"/>
  <c r="AD23" i="44"/>
  <c r="AL23" i="44" s="1"/>
  <c r="AA23" i="44"/>
  <c r="AF22" i="44"/>
  <c r="AE26" i="44"/>
  <c r="AH24" i="44"/>
  <c r="AF28" i="44"/>
  <c r="AD24" i="44"/>
  <c r="AL24" i="44" s="1"/>
  <c r="AA24" i="44"/>
  <c r="AD30" i="44"/>
  <c r="AL30" i="44" s="1"/>
  <c r="AA30" i="44"/>
  <c r="AG21" i="44"/>
  <c r="AG7" i="44"/>
  <c r="AD7" i="44"/>
  <c r="AL7" i="44" s="1"/>
  <c r="AG22" i="44"/>
  <c r="AE22" i="44"/>
  <c r="AD22" i="44"/>
  <c r="AL22" i="44" s="1"/>
  <c r="AA22" i="44"/>
  <c r="AK24" i="44"/>
  <c r="AK26" i="44"/>
  <c r="AF19" i="44"/>
  <c r="AD19" i="44"/>
  <c r="AF17" i="44"/>
  <c r="AH15" i="44"/>
  <c r="AE18" i="44"/>
  <c r="AG18" i="44"/>
  <c r="AE20" i="44"/>
  <c r="AE19" i="44"/>
  <c r="AK30" i="44"/>
  <c r="AG17" i="44"/>
  <c r="AD32" i="44"/>
  <c r="AL32" i="44" s="1"/>
  <c r="AA32" i="44"/>
  <c r="AI14" i="44"/>
  <c r="AE27" i="44"/>
  <c r="AG20" i="44"/>
  <c r="AH18" i="44"/>
  <c r="AH16" i="44"/>
  <c r="AF18" i="44"/>
  <c r="AI31" i="44"/>
  <c r="AJ17" i="44"/>
  <c r="AH17" i="44"/>
  <c r="AJ16" i="44"/>
  <c r="AF27" i="44"/>
  <c r="AI8" i="44"/>
  <c r="AE16" i="44"/>
  <c r="AL16" i="44" s="1"/>
  <c r="AG15" i="44"/>
  <c r="AD15" i="44"/>
  <c r="AI27" i="44"/>
  <c r="AK15" i="44"/>
  <c r="AH19" i="44"/>
  <c r="AE15" i="44"/>
  <c r="AH30" i="44"/>
  <c r="AH23" i="44"/>
  <c r="AK22" i="44"/>
  <c r="AG32" i="44"/>
  <c r="AI30" i="44"/>
  <c r="AK14" i="44"/>
  <c r="AD28" i="44"/>
  <c r="AL28" i="44" s="1"/>
  <c r="AA28" i="44"/>
  <c r="AK13" i="44"/>
  <c r="AD31" i="44"/>
  <c r="AL31" i="44" s="1"/>
  <c r="AA31" i="44"/>
  <c r="AD18" i="44"/>
  <c r="AH7" i="44"/>
  <c r="AF24" i="44"/>
  <c r="AG27" i="44"/>
  <c r="AD21" i="44"/>
  <c r="AA21" i="44"/>
  <c r="AG30" i="44"/>
  <c r="AH13" i="44"/>
  <c r="AF14" i="44"/>
  <c r="AD14" i="44"/>
  <c r="AL14" i="44" s="1"/>
  <c r="AK16" i="44"/>
  <c r="AK28" i="44"/>
  <c r="AK21" i="44"/>
  <c r="C70" i="44"/>
  <c r="C69" i="44"/>
  <c r="C74" i="44"/>
  <c r="AF9" i="4"/>
  <c r="AF11" i="4"/>
  <c r="E22" i="4"/>
  <c r="E16" i="4"/>
  <c r="AD21" i="4"/>
  <c r="AL21" i="4" s="1"/>
  <c r="AA21" i="4"/>
  <c r="AJ21" i="4"/>
  <c r="AA27" i="4"/>
  <c r="E33" i="4"/>
  <c r="AH14" i="4"/>
  <c r="E17" i="4"/>
  <c r="E77" i="4"/>
  <c r="E15" i="4"/>
  <c r="E13" i="4"/>
  <c r="E12" i="4"/>
  <c r="E11" i="4"/>
  <c r="E10" i="4"/>
  <c r="E9" i="4"/>
  <c r="E19" i="4"/>
  <c r="E20" i="4"/>
  <c r="E21" i="4"/>
  <c r="AH10" i="4"/>
  <c r="AI14" i="4"/>
  <c r="AE10" i="4"/>
  <c r="U16" i="4"/>
  <c r="E30" i="4"/>
  <c r="D96" i="4" s="1"/>
  <c r="B82" i="4"/>
  <c r="AE12" i="4"/>
  <c r="AE14" i="4"/>
  <c r="AK15" i="4"/>
  <c r="V16" i="4"/>
  <c r="S19" i="4"/>
  <c r="Z19" i="4"/>
  <c r="Y19" i="4"/>
  <c r="W19" i="4"/>
  <c r="V19" i="4"/>
  <c r="U19" i="4"/>
  <c r="T19" i="4"/>
  <c r="AA23" i="4"/>
  <c r="E29" i="4"/>
  <c r="B81" i="4"/>
  <c r="AF10" i="4"/>
  <c r="AF12" i="4"/>
  <c r="AF14" i="4"/>
  <c r="W16" i="4"/>
  <c r="E18" i="4"/>
  <c r="AA22" i="4"/>
  <c r="E28" i="4"/>
  <c r="T20" i="4"/>
  <c r="Z20" i="4"/>
  <c r="X20" i="4"/>
  <c r="W20" i="4"/>
  <c r="V20" i="4"/>
  <c r="U20" i="4"/>
  <c r="AF20" i="4" s="1"/>
  <c r="E83" i="4"/>
  <c r="X16" i="4"/>
  <c r="H81" i="4"/>
  <c r="E81" i="4"/>
  <c r="T16" i="4"/>
  <c r="S16" i="4"/>
  <c r="H83" i="4"/>
  <c r="AD10" i="4"/>
  <c r="AL10" i="4" s="1"/>
  <c r="AD12" i="4"/>
  <c r="AL12" i="4" s="1"/>
  <c r="AD14" i="4"/>
  <c r="AL14" i="4" s="1"/>
  <c r="S20" i="4"/>
  <c r="AJ20" i="4" s="1"/>
  <c r="Y16" i="4"/>
  <c r="X19" i="4"/>
  <c r="E27" i="4"/>
  <c r="AA33" i="4"/>
  <c r="H82" i="4"/>
  <c r="Z16" i="4"/>
  <c r="Z18" i="4"/>
  <c r="X18" i="4"/>
  <c r="V18" i="4"/>
  <c r="AG18" i="4" s="1"/>
  <c r="U18" i="4"/>
  <c r="T18" i="4"/>
  <c r="S18" i="4"/>
  <c r="AJ18" i="4" s="1"/>
  <c r="E26" i="4"/>
  <c r="AA32" i="4"/>
  <c r="B83" i="4"/>
  <c r="AI12" i="4"/>
  <c r="AF7" i="4"/>
  <c r="AH9" i="4"/>
  <c r="AH11" i="4"/>
  <c r="AH13" i="4"/>
  <c r="AH18" i="4"/>
  <c r="AF21" i="4"/>
  <c r="E25" i="4"/>
  <c r="AD28" i="4"/>
  <c r="AL28" i="4" s="1"/>
  <c r="AA31" i="4"/>
  <c r="E24" i="4"/>
  <c r="E14" i="4"/>
  <c r="E8" i="4"/>
  <c r="E23" i="4"/>
  <c r="D95" i="4" s="1"/>
  <c r="AD26" i="4"/>
  <c r="AL26" i="4" s="1"/>
  <c r="AF15" i="4"/>
  <c r="W22" i="4"/>
  <c r="W23" i="4"/>
  <c r="W24" i="4"/>
  <c r="W25" i="4"/>
  <c r="W26" i="4"/>
  <c r="AH26" i="4" s="1"/>
  <c r="W27" i="4"/>
  <c r="W28" i="4"/>
  <c r="W29" i="4"/>
  <c r="W30" i="4"/>
  <c r="AH30" i="4" s="1"/>
  <c r="W31" i="4"/>
  <c r="W32" i="4"/>
  <c r="W33" i="4"/>
  <c r="S17" i="4"/>
  <c r="AG17" i="4" s="1"/>
  <c r="X22" i="4"/>
  <c r="X23" i="4"/>
  <c r="X24" i="4"/>
  <c r="X25" i="4"/>
  <c r="X26" i="4"/>
  <c r="X27" i="4"/>
  <c r="X28" i="4"/>
  <c r="X29" i="4"/>
  <c r="X30" i="4"/>
  <c r="X31" i="4"/>
  <c r="X32" i="4"/>
  <c r="X33" i="4"/>
  <c r="Y22" i="4"/>
  <c r="AJ22" i="4" s="1"/>
  <c r="Y23" i="4"/>
  <c r="AJ23" i="4" s="1"/>
  <c r="Y24" i="4"/>
  <c r="AJ24" i="4" s="1"/>
  <c r="Y25" i="4"/>
  <c r="AJ25" i="4" s="1"/>
  <c r="Y26" i="4"/>
  <c r="AE26" i="4" s="1"/>
  <c r="Y27" i="4"/>
  <c r="AG27" i="4" s="1"/>
  <c r="Y28" i="4"/>
  <c r="Y29" i="4"/>
  <c r="AJ29" i="4" s="1"/>
  <c r="Y30" i="4"/>
  <c r="AE30" i="4" s="1"/>
  <c r="Y31" i="4"/>
  <c r="Y32" i="4"/>
  <c r="AF32" i="4" s="1"/>
  <c r="Y33" i="4"/>
  <c r="AJ33" i="4" s="1"/>
  <c r="U17" i="4"/>
  <c r="Z22" i="4"/>
  <c r="Z23" i="4"/>
  <c r="Z24" i="4"/>
  <c r="Z25" i="4"/>
  <c r="Z26" i="4"/>
  <c r="Z27" i="4"/>
  <c r="Z28" i="4"/>
  <c r="AK28" i="4" s="1"/>
  <c r="Z29" i="4"/>
  <c r="Z30" i="4"/>
  <c r="AK30" i="4" s="1"/>
  <c r="Z31" i="4"/>
  <c r="AK31" i="4" s="1"/>
  <c r="Z32" i="4"/>
  <c r="Z33" i="4"/>
  <c r="AF31" i="3"/>
  <c r="AG31" i="3"/>
  <c r="AI31" i="3"/>
  <c r="AJ31" i="3"/>
  <c r="AD33" i="3"/>
  <c r="AL33" i="3" s="1"/>
  <c r="AJ20" i="3"/>
  <c r="AD31" i="3"/>
  <c r="AL31" i="3" s="1"/>
  <c r="AA20" i="3"/>
  <c r="AD20" i="3"/>
  <c r="AL20" i="3" s="1"/>
  <c r="AE20" i="3"/>
  <c r="AK20" i="3"/>
  <c r="AG18" i="3"/>
  <c r="AH31" i="3"/>
  <c r="AK33" i="3"/>
  <c r="AF33" i="3"/>
  <c r="AG33" i="3"/>
  <c r="AI33" i="3"/>
  <c r="AJ33" i="3"/>
  <c r="AK32" i="3"/>
  <c r="AG32" i="3"/>
  <c r="AF32" i="3"/>
  <c r="AI32" i="3"/>
  <c r="AJ32" i="3"/>
  <c r="AK31" i="3"/>
  <c r="AH19" i="3"/>
  <c r="W21" i="3"/>
  <c r="AH21" i="3" s="1"/>
  <c r="V20" i="3"/>
  <c r="AG20" i="3" s="1"/>
  <c r="U19" i="3"/>
  <c r="AF19" i="3" s="1"/>
  <c r="S17" i="3"/>
  <c r="AD15" i="3"/>
  <c r="AL15" i="3" s="1"/>
  <c r="AD14" i="3"/>
  <c r="AL14" i="3" s="1"/>
  <c r="AD13" i="3"/>
  <c r="AL13" i="3" s="1"/>
  <c r="AD12" i="3"/>
  <c r="AL12" i="3" s="1"/>
  <c r="AD11" i="3"/>
  <c r="AL11" i="3" s="1"/>
  <c r="AD10" i="3"/>
  <c r="AL10" i="3" s="1"/>
  <c r="AD9" i="3"/>
  <c r="AL9" i="3" s="1"/>
  <c r="AD8" i="3"/>
  <c r="AL8" i="3" s="1"/>
  <c r="AD7" i="3"/>
  <c r="AL7" i="3" s="1"/>
  <c r="H83" i="3"/>
  <c r="AJ30" i="3"/>
  <c r="AJ29" i="3"/>
  <c r="AJ28" i="3"/>
  <c r="AJ27" i="3"/>
  <c r="AJ26" i="3"/>
  <c r="AJ25" i="3"/>
  <c r="AJ24" i="3"/>
  <c r="AJ23" i="3"/>
  <c r="AJ22" i="3"/>
  <c r="V21" i="3"/>
  <c r="AG21" i="3" s="1"/>
  <c r="U20" i="3"/>
  <c r="AF20" i="3" s="1"/>
  <c r="T19" i="3"/>
  <c r="AE19" i="3" s="1"/>
  <c r="S18" i="3"/>
  <c r="AD16" i="3"/>
  <c r="AL16" i="3" s="1"/>
  <c r="AI30" i="3"/>
  <c r="AI26" i="3"/>
  <c r="AI24" i="3"/>
  <c r="AI22" i="3"/>
  <c r="S19" i="3"/>
  <c r="AI29" i="3"/>
  <c r="AI28" i="3"/>
  <c r="AI27" i="3"/>
  <c r="AI25" i="3"/>
  <c r="AI23" i="3"/>
  <c r="U21" i="3"/>
  <c r="AF21" i="3" s="1"/>
  <c r="B83" i="3"/>
  <c r="AA16" i="3"/>
  <c r="E16" i="3"/>
  <c r="C74" i="3" s="1"/>
  <c r="Z15" i="3"/>
  <c r="AK15" i="3" s="1"/>
  <c r="Z14" i="3"/>
  <c r="AK14" i="3" s="1"/>
  <c r="Z13" i="3"/>
  <c r="AK13" i="3" s="1"/>
  <c r="Z12" i="3"/>
  <c r="AK12" i="3" s="1"/>
  <c r="Z11" i="3"/>
  <c r="AK11" i="3" s="1"/>
  <c r="Z10" i="3"/>
  <c r="AK10" i="3" s="1"/>
  <c r="Z9" i="3"/>
  <c r="AK9" i="3" s="1"/>
  <c r="Z8" i="3"/>
  <c r="AK8" i="3" s="1"/>
  <c r="Z7" i="3"/>
  <c r="AK7" i="3" s="1"/>
  <c r="AG29" i="3"/>
  <c r="AG27" i="3"/>
  <c r="AG23" i="3"/>
  <c r="AG22" i="3"/>
  <c r="AG24" i="3"/>
  <c r="AF30" i="3"/>
  <c r="AF28" i="3"/>
  <c r="AF26" i="3"/>
  <c r="AF25" i="3"/>
  <c r="Z17" i="3"/>
  <c r="X15" i="3"/>
  <c r="X14" i="3"/>
  <c r="AI14" i="3" s="1"/>
  <c r="X13" i="3"/>
  <c r="AI13" i="3" s="1"/>
  <c r="X12" i="3"/>
  <c r="AI12" i="3" s="1"/>
  <c r="X11" i="3"/>
  <c r="AI11" i="3" s="1"/>
  <c r="X10" i="3"/>
  <c r="AI10" i="3" s="1"/>
  <c r="X9" i="3"/>
  <c r="AI9" i="3" s="1"/>
  <c r="X8" i="3"/>
  <c r="AI8" i="3" s="1"/>
  <c r="X7" i="3"/>
  <c r="AI7" i="3" s="1"/>
  <c r="H81" i="3"/>
  <c r="Z19" i="3"/>
  <c r="AK19" i="3" s="1"/>
  <c r="AJ16" i="3"/>
  <c r="X19" i="3"/>
  <c r="C39" i="2"/>
  <c r="C45" i="2"/>
  <c r="C47" i="2"/>
  <c r="C56" i="2"/>
  <c r="C44" i="2"/>
  <c r="C49" i="2"/>
  <c r="C38" i="2"/>
  <c r="C53" i="2"/>
  <c r="C42" i="2"/>
  <c r="C51" i="2"/>
  <c r="C52" i="2"/>
  <c r="C55" i="2"/>
  <c r="C43" i="2"/>
  <c r="C40" i="2"/>
  <c r="AF24" i="4" l="1"/>
  <c r="AK33" i="4"/>
  <c r="AF17" i="4"/>
  <c r="AI22" i="4"/>
  <c r="AH23" i="4"/>
  <c r="AG16" i="4"/>
  <c r="AF29" i="4"/>
  <c r="AG7" i="4"/>
  <c r="AD7" i="4"/>
  <c r="AL7" i="4" s="1"/>
  <c r="AA7" i="4"/>
  <c r="C72" i="3"/>
  <c r="D86" i="3" s="1"/>
  <c r="AL18" i="44"/>
  <c r="AD32" i="3"/>
  <c r="AL32" i="3" s="1"/>
  <c r="AA32" i="3"/>
  <c r="AK7" i="4"/>
  <c r="C71" i="3"/>
  <c r="C75" i="3"/>
  <c r="C73" i="3"/>
  <c r="AK18" i="4"/>
  <c r="AK20" i="4"/>
  <c r="AH20" i="4"/>
  <c r="AK27" i="4"/>
  <c r="AE20" i="4"/>
  <c r="AH33" i="4"/>
  <c r="AD27" i="4"/>
  <c r="AL27" i="4" s="1"/>
  <c r="AK16" i="4"/>
  <c r="AI7" i="4"/>
  <c r="AH7" i="4"/>
  <c r="AH32" i="3"/>
  <c r="AD21" i="3"/>
  <c r="AL21" i="3" s="1"/>
  <c r="AA21" i="3"/>
  <c r="AK14" i="4"/>
  <c r="AE33" i="3"/>
  <c r="AG14" i="4"/>
  <c r="AH27" i="4"/>
  <c r="AD23" i="4"/>
  <c r="AL23" i="4" s="1"/>
  <c r="AL15" i="44"/>
  <c r="AL20" i="44"/>
  <c r="AK21" i="3"/>
  <c r="AD13" i="4"/>
  <c r="AL13" i="4" s="1"/>
  <c r="AA13" i="4"/>
  <c r="AJ21" i="3"/>
  <c r="AH33" i="3"/>
  <c r="AH24" i="4"/>
  <c r="AD33" i="4"/>
  <c r="AL33" i="4" s="1"/>
  <c r="AK24" i="4"/>
  <c r="AJ19" i="4"/>
  <c r="AL19" i="44"/>
  <c r="AE32" i="3"/>
  <c r="AE21" i="4"/>
  <c r="D63" i="2"/>
  <c r="C65" i="2"/>
  <c r="C66" i="2"/>
  <c r="C62" i="2"/>
  <c r="C58" i="2"/>
  <c r="C60" i="2" s="1"/>
  <c r="C61" i="2"/>
  <c r="D89" i="44"/>
  <c r="D87" i="44"/>
  <c r="D88" i="44" s="1"/>
  <c r="AL21" i="44"/>
  <c r="AL17" i="44"/>
  <c r="D92" i="44"/>
  <c r="D90" i="44"/>
  <c r="D85" i="44"/>
  <c r="D91" i="44"/>
  <c r="D94" i="44"/>
  <c r="AK22" i="4"/>
  <c r="AI23" i="4"/>
  <c r="AA19" i="4"/>
  <c r="AD19" i="4"/>
  <c r="AL19" i="4" s="1"/>
  <c r="AE23" i="4"/>
  <c r="AG33" i="4"/>
  <c r="AK32" i="4"/>
  <c r="AI33" i="4"/>
  <c r="AD17" i="4"/>
  <c r="AL17" i="4" s="1"/>
  <c r="AE17" i="4"/>
  <c r="AJ17" i="4"/>
  <c r="AK17" i="4"/>
  <c r="AA17" i="4"/>
  <c r="AH22" i="4"/>
  <c r="AE29" i="4"/>
  <c r="AE33" i="4"/>
  <c r="C73" i="4"/>
  <c r="C72" i="4"/>
  <c r="C71" i="4"/>
  <c r="C69" i="4"/>
  <c r="C70" i="4"/>
  <c r="C75" i="4"/>
  <c r="C74" i="4"/>
  <c r="AD25" i="4"/>
  <c r="AL25" i="4" s="1"/>
  <c r="AG24" i="4"/>
  <c r="AI32" i="4"/>
  <c r="AJ31" i="4"/>
  <c r="AG31" i="4"/>
  <c r="AF31" i="4"/>
  <c r="AI31" i="4"/>
  <c r="AH32" i="4"/>
  <c r="AD16" i="4"/>
  <c r="AL16" i="4" s="1"/>
  <c r="AA16" i="4"/>
  <c r="AE32" i="4"/>
  <c r="AD22" i="4"/>
  <c r="AL22" i="4" s="1"/>
  <c r="AJ32" i="4"/>
  <c r="AG32" i="4"/>
  <c r="AD32" i="4"/>
  <c r="AL32" i="4" s="1"/>
  <c r="AG22" i="4"/>
  <c r="AK29" i="4"/>
  <c r="AJ30" i="4"/>
  <c r="AF30" i="4"/>
  <c r="AG30" i="4"/>
  <c r="AI30" i="4"/>
  <c r="AH31" i="4"/>
  <c r="AD29" i="4"/>
  <c r="AL29" i="4" s="1"/>
  <c r="AE31" i="4"/>
  <c r="AE16" i="4"/>
  <c r="AD31" i="4"/>
  <c r="AL31" i="4" s="1"/>
  <c r="AG29" i="4"/>
  <c r="AI29" i="4"/>
  <c r="AD30" i="4"/>
  <c r="AL30" i="4" s="1"/>
  <c r="AE19" i="4"/>
  <c r="AJ28" i="4"/>
  <c r="AG28" i="4"/>
  <c r="AI28" i="4"/>
  <c r="AH29" i="4"/>
  <c r="AH17" i="4"/>
  <c r="AA18" i="4"/>
  <c r="AD18" i="4"/>
  <c r="AL18" i="4" s="1"/>
  <c r="AF19" i="4"/>
  <c r="AE22" i="4"/>
  <c r="AE25" i="4"/>
  <c r="AF28" i="4"/>
  <c r="AF25" i="4"/>
  <c r="AK26" i="4"/>
  <c r="AJ27" i="4"/>
  <c r="AF27" i="4"/>
  <c r="AI27" i="4"/>
  <c r="AH28" i="4"/>
  <c r="AE27" i="4"/>
  <c r="AE18" i="4"/>
  <c r="AG19" i="4"/>
  <c r="AF16" i="4"/>
  <c r="AD24" i="4"/>
  <c r="AL24" i="4" s="1"/>
  <c r="AF33" i="4"/>
  <c r="AF23" i="4"/>
  <c r="AK25" i="4"/>
  <c r="AJ26" i="4"/>
  <c r="AF26" i="4"/>
  <c r="AI26" i="4"/>
  <c r="AE28" i="4"/>
  <c r="AF18" i="4"/>
  <c r="AJ16" i="4"/>
  <c r="AH16" i="4"/>
  <c r="AH19" i="4"/>
  <c r="AG26" i="4"/>
  <c r="AI25" i="4"/>
  <c r="AG25" i="4"/>
  <c r="AK23" i="4"/>
  <c r="AI24" i="4"/>
  <c r="AH25" i="4"/>
  <c r="AA20" i="4"/>
  <c r="AD20" i="4"/>
  <c r="AL20" i="4" s="1"/>
  <c r="AG20" i="4"/>
  <c r="AK19" i="4"/>
  <c r="AE24" i="4"/>
  <c r="AF22" i="4"/>
  <c r="AG23" i="4"/>
  <c r="AJ17" i="3"/>
  <c r="AA17" i="3"/>
  <c r="AD17" i="3"/>
  <c r="AL17" i="3" s="1"/>
  <c r="AG17" i="3"/>
  <c r="AH17" i="3"/>
  <c r="AK17" i="3"/>
  <c r="AE17" i="3"/>
  <c r="AA19" i="3"/>
  <c r="AD19" i="3"/>
  <c r="AL19" i="3" s="1"/>
  <c r="AJ19" i="3"/>
  <c r="AF17" i="3"/>
  <c r="AH18" i="3"/>
  <c r="AK18" i="3"/>
  <c r="AA18" i="3"/>
  <c r="AD18" i="3"/>
  <c r="AL18" i="3" s="1"/>
  <c r="AE18" i="3"/>
  <c r="AF18" i="3"/>
  <c r="C69" i="3"/>
  <c r="D91" i="3" s="1"/>
  <c r="C70" i="3"/>
  <c r="AJ18" i="3"/>
  <c r="C22" i="2"/>
  <c r="C28" i="2"/>
  <c r="C18" i="2"/>
  <c r="C34" i="2"/>
  <c r="C26" i="2"/>
  <c r="C10" i="2"/>
  <c r="C23" i="2"/>
  <c r="C32" i="2"/>
  <c r="C19" i="2"/>
  <c r="C29" i="2"/>
  <c r="C17" i="2"/>
  <c r="C16" i="2"/>
  <c r="C11" i="2"/>
  <c r="C30" i="2"/>
  <c r="C33" i="2"/>
  <c r="C24" i="2"/>
  <c r="C21" i="2"/>
  <c r="C13" i="2"/>
  <c r="C12" i="2"/>
  <c r="C9" i="2"/>
  <c r="C25" i="2"/>
  <c r="C20" i="2"/>
  <c r="C14" i="2"/>
  <c r="C35" i="2" l="1"/>
  <c r="C59" i="2"/>
  <c r="C63" i="2" s="1"/>
  <c r="D86" i="4"/>
  <c r="D91" i="4"/>
  <c r="D89" i="4"/>
  <c r="D87" i="4"/>
  <c r="D90" i="4"/>
  <c r="D85" i="4"/>
  <c r="D94" i="4"/>
  <c r="D92" i="4"/>
  <c r="D90" i="3"/>
  <c r="D92" i="3"/>
  <c r="D94" i="3"/>
  <c r="D85" i="3"/>
  <c r="D87" i="3"/>
  <c r="D88" i="3" s="1"/>
  <c r="D89" i="3"/>
  <c r="D88" i="4" l="1"/>
  <c r="E49" i="2"/>
  <c r="E42" i="2"/>
  <c r="E38" i="2"/>
  <c r="E56" i="2"/>
  <c r="E44" i="2"/>
  <c r="E43" i="2"/>
  <c r="E47" i="2"/>
  <c r="E48" i="2"/>
  <c r="E40" i="2"/>
  <c r="E55" i="2"/>
  <c r="E39" i="2"/>
  <c r="E62" i="2" l="1"/>
  <c r="E61" i="2"/>
  <c r="E66" i="2"/>
  <c r="E65" i="2"/>
  <c r="E58" i="2"/>
  <c r="E59" i="2" s="1"/>
  <c r="E60" i="2" l="1"/>
  <c r="E63" i="2" s="1"/>
</calcChain>
</file>

<file path=xl/sharedStrings.xml><?xml version="1.0" encoding="utf-8"?>
<sst xmlns="http://schemas.openxmlformats.org/spreadsheetml/2006/main" count="1100" uniqueCount="129">
  <si>
    <t>Lithics (%)</t>
  </si>
  <si>
    <t>Dense Juvenile (%)</t>
  </si>
  <si>
    <t>Pumices (%)</t>
  </si>
  <si>
    <t>Crystals (%)</t>
  </si>
  <si>
    <t>Juvenile (%)</t>
  </si>
  <si>
    <t>Fine ash (%)</t>
  </si>
  <si>
    <t>Coarse ash (%)</t>
  </si>
  <si>
    <t>Lapilli (%)</t>
  </si>
  <si>
    <t>F2</t>
  </si>
  <si>
    <t>F1</t>
  </si>
  <si>
    <t>MΦ</t>
  </si>
  <si>
    <t>Graphic mean</t>
  </si>
  <si>
    <t>Graphic kurtosis</t>
  </si>
  <si>
    <t>Inclusive graphic skewness</t>
  </si>
  <si>
    <t>Inclusive graphic standard deviation</t>
  </si>
  <si>
    <t>aΦ</t>
  </si>
  <si>
    <t>σΦ</t>
  </si>
  <si>
    <t>MdΦ</t>
  </si>
  <si>
    <t>MzΦ</t>
  </si>
  <si>
    <t>Φ95%</t>
  </si>
  <si>
    <t>Φ84%</t>
  </si>
  <si>
    <t>Φ75%</t>
  </si>
  <si>
    <t>Φ50%</t>
  </si>
  <si>
    <t>Φ25%</t>
  </si>
  <si>
    <t>Φ16%</t>
  </si>
  <si>
    <t>Φ5%</t>
  </si>
  <si>
    <t>Sample name</t>
  </si>
  <si>
    <t>Graphical Parameters</t>
  </si>
  <si>
    <t>Mean diameter MΦ (Φ16+Φ84)/2</t>
  </si>
  <si>
    <t>Graphic mean =</t>
  </si>
  <si>
    <t>Graphic kurtosis =</t>
  </si>
  <si>
    <t>Inclusive graphic skewness =</t>
  </si>
  <si>
    <t>Inclusive graphic standard deviation =</t>
  </si>
  <si>
    <r>
      <t>aΦ (</t>
    </r>
    <r>
      <rPr>
        <b/>
        <i/>
        <sz val="10"/>
        <color indexed="8"/>
        <rFont val="Calibri Light"/>
        <family val="2"/>
        <scheme val="major"/>
      </rPr>
      <t>skewness</t>
    </r>
    <r>
      <rPr>
        <b/>
        <sz val="10"/>
        <color indexed="8"/>
        <rFont val="Calibri Light"/>
        <family val="2"/>
        <scheme val="major"/>
      </rPr>
      <t>) = (Φ84 + Φ16-Mdf)/σΦ</t>
    </r>
  </si>
  <si>
    <t>σΦ (sorting) = (Φ84- Φ16)/2</t>
  </si>
  <si>
    <t>MdΦ (mean) = Φ50</t>
  </si>
  <si>
    <t>Mz</t>
  </si>
  <si>
    <t>Mixed (%)</t>
  </si>
  <si>
    <t>Ash</t>
  </si>
  <si>
    <t>Lapilli</t>
  </si>
  <si>
    <t>Block and bombs</t>
  </si>
  <si>
    <t>Φ</t>
  </si>
  <si>
    <t>(totale)</t>
  </si>
  <si>
    <t>&gt;6</t>
  </si>
  <si>
    <t>&lt;32</t>
  </si>
  <si>
    <t>45 - 31</t>
  </si>
  <si>
    <t xml:space="preserve"> 63 - 45</t>
  </si>
  <si>
    <t xml:space="preserve"> 90 - 63</t>
  </si>
  <si>
    <t>125-90</t>
  </si>
  <si>
    <t xml:space="preserve"> 180 - 125</t>
  </si>
  <si>
    <t>250-180</t>
  </si>
  <si>
    <t xml:space="preserve"> 355 - 250</t>
  </si>
  <si>
    <t>500-355</t>
  </si>
  <si>
    <t>710-500</t>
  </si>
  <si>
    <t>1000-710</t>
  </si>
  <si>
    <t xml:space="preserve"> 1400 - 1000</t>
  </si>
  <si>
    <t>2000-1400</t>
  </si>
  <si>
    <t xml:space="preserve"> 2800 - 2000</t>
  </si>
  <si>
    <t xml:space="preserve"> 4000 - 2800</t>
  </si>
  <si>
    <t>5,66-4</t>
  </si>
  <si>
    <t>8-5,66</t>
  </si>
  <si>
    <t>11.3-8</t>
  </si>
  <si>
    <t>16-11.3</t>
  </si>
  <si>
    <t>22,6-16</t>
  </si>
  <si>
    <t>32-22.6</t>
  </si>
  <si>
    <t>45.3-32</t>
  </si>
  <si>
    <t>64-45.3</t>
  </si>
  <si>
    <t>&gt;64</t>
  </si>
  <si>
    <t>128-90,5</t>
  </si>
  <si>
    <t>181-128</t>
  </si>
  <si>
    <t>256-181</t>
  </si>
  <si>
    <t>%Cum</t>
  </si>
  <si>
    <t>% Wt</t>
  </si>
  <si>
    <t>Wt</t>
  </si>
  <si>
    <t>F</t>
  </si>
  <si>
    <t xml:space="preserve">  Diameters (mm/μ)</t>
  </si>
  <si>
    <t>Total</t>
  </si>
  <si>
    <t>Crystals</t>
  </si>
  <si>
    <t>Accretionnary lapilli</t>
  </si>
  <si>
    <t>Aggregate</t>
  </si>
  <si>
    <t>Mafic clasts</t>
  </si>
  <si>
    <t>Coral fragments</t>
  </si>
  <si>
    <t>Obsidian</t>
  </si>
  <si>
    <t>Dense juveniles</t>
  </si>
  <si>
    <t>Pumices</t>
  </si>
  <si>
    <t>Grain size (phi)</t>
  </si>
  <si>
    <t>Total weight (g)</t>
  </si>
  <si>
    <t>Lithics</t>
  </si>
  <si>
    <t>Juveniles</t>
  </si>
  <si>
    <t>Location : Airport Beach</t>
  </si>
  <si>
    <t>Sample :</t>
  </si>
  <si>
    <t>Grain size analysis of sample</t>
  </si>
  <si>
    <t>Granulometry</t>
  </si>
  <si>
    <t>Componentry</t>
  </si>
  <si>
    <t>done at 53.44 renormalized at 109.55</t>
  </si>
  <si>
    <t>done at 50.59 renormalized at 104.8</t>
  </si>
  <si>
    <t>done at 18.25 renormalized at 86.71</t>
  </si>
  <si>
    <t>done at 28.23 renormalized at 69.12</t>
  </si>
  <si>
    <t>Done at 22.16 renormlized at 77.94</t>
  </si>
  <si>
    <t>Done at 15.84 renormlized at 64.04</t>
  </si>
  <si>
    <t>Done at 9.12 renormlized at 41.37</t>
  </si>
  <si>
    <t>Presence of mixed ?</t>
  </si>
  <si>
    <t>Presence of obsidian ?</t>
  </si>
  <si>
    <t>Aggr wt%</t>
  </si>
  <si>
    <t>Aggreagte (wt%)</t>
  </si>
  <si>
    <t>aggregates wt%</t>
  </si>
  <si>
    <t>Dense/Pumice ratio</t>
  </si>
  <si>
    <t>Dense</t>
  </si>
  <si>
    <t>Non juveniles</t>
  </si>
  <si>
    <t>Mixed</t>
  </si>
  <si>
    <t>Ratio Juv/(Juv+Lit)</t>
  </si>
  <si>
    <t>Ratio Ponce/(J1+J2)</t>
  </si>
  <si>
    <t>Only Aggregates</t>
  </si>
  <si>
    <t>MAY190405_2_no_aggr</t>
  </si>
  <si>
    <t>total</t>
  </si>
  <si>
    <t>MAY190407_2_no_aggr</t>
  </si>
  <si>
    <t>Denses</t>
  </si>
  <si>
    <t>Phi</t>
  </si>
  <si>
    <t>&gt;4.0</t>
  </si>
  <si>
    <t>Uncounted</t>
  </si>
  <si>
    <t>SUM</t>
  </si>
  <si>
    <t>phi</t>
  </si>
  <si>
    <t>LN(Dcm)</t>
  </si>
  <si>
    <t>FACIES</t>
  </si>
  <si>
    <t>Fb</t>
  </si>
  <si>
    <t>Pa</t>
  </si>
  <si>
    <t>Coral</t>
  </si>
  <si>
    <t>Mafics</t>
  </si>
  <si>
    <t>Xenolith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</si>
</sst>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1"/>
      <color theme="1"/>
      <name val="Calibri Light"/>
      <family val="2"/>
      <scheme val="major"/>
    </font>
    <font>
      <sz val="10"/>
      <name val="Helv"/>
    </font>
    <font>
      <b/>
      <sz val="10"/>
      <name val="Calibri Light"/>
      <family val="2"/>
      <scheme val="major"/>
    </font>
    <font>
      <sz val="10"/>
      <name val="Calibri Light"/>
      <family val="2"/>
      <scheme val="major"/>
    </font>
    <font>
      <sz val="8"/>
      <name val="Calibri Light"/>
      <family val="2"/>
      <scheme val="major"/>
    </font>
    <font>
      <b/>
      <sz val="10"/>
      <color indexed="8"/>
      <name val="Calibri Light"/>
      <family val="2"/>
      <scheme val="major"/>
    </font>
    <font>
      <b/>
      <i/>
      <sz val="10"/>
      <color indexed="8"/>
      <name val="Calibri Light"/>
      <family val="2"/>
      <scheme val="major"/>
    </font>
    <font>
      <b/>
      <sz val="11"/>
      <color theme="1"/>
      <name val="Calibri Light"/>
      <family val="2"/>
      <scheme val="major"/>
    </font>
    <font>
      <sz val="11"/>
      <name val="Calibri Light"/>
      <family val="2"/>
      <scheme val="major"/>
    </font>
    <font>
      <b/>
      <sz val="11"/>
      <name val="Calibri Light"/>
      <family val="2"/>
      <scheme val="major"/>
    </font>
    <font>
      <b/>
      <sz val="11"/>
      <name val="Calibri"/>
      <family val="2"/>
    </font>
    <font>
      <sz val="11"/>
      <name val="Calibri"/>
      <family val="2"/>
    </font>
    <font>
      <b/>
      <sz val="8"/>
      <name val="Calibri Light"/>
      <family val="2"/>
      <scheme val="major"/>
    </font>
    <font>
      <b/>
      <sz val="10"/>
      <name val="Arial"/>
      <family val="2"/>
    </font>
    <font>
      <sz val="10"/>
      <color theme="1"/>
      <name val="Calibri Light"/>
      <family val="2"/>
      <scheme val="major"/>
    </font>
    <font>
      <sz val="10"/>
      <name val="Arial"/>
      <family val="2"/>
    </font>
    <font>
      <b/>
      <i/>
      <sz val="10"/>
      <name val="Calibri Light"/>
      <family val="2"/>
      <scheme val="major"/>
    </font>
    <font>
      <sz val="11"/>
      <name val="Calibri"/>
      <family val="2"/>
      <scheme val="minor"/>
    </font>
    <font>
      <b/>
      <i/>
      <sz val="11"/>
      <name val="Calibri"/>
      <family val="2"/>
      <scheme val="minor"/>
    </font>
    <font>
      <i/>
      <sz val="10"/>
      <name val="Calibri Light"/>
      <family val="2"/>
      <scheme val="major"/>
    </font>
    <font>
      <b/>
      <sz val="10"/>
      <color theme="1"/>
      <name val="Calibri Light"/>
      <family val="2"/>
      <scheme val="major"/>
    </font>
    <font>
      <i/>
      <sz val="11"/>
      <color theme="1"/>
      <name val="Calibri"/>
      <family val="2"/>
      <scheme val="minor"/>
    </font>
    <font>
      <sz val="8"/>
      <color rgb="FF0A010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2" fillId="2" borderId="0" applyNumberFormat="0" applyBorder="0" applyAlignment="0" applyProtection="0"/>
    <xf numFmtId="0" fontId="8" fillId="0" borderId="0"/>
  </cellStyleXfs>
  <cellXfs count="164">
    <xf numFmtId="0" fontId="0" fillId="0" borderId="0" xfId="0"/>
    <xf numFmtId="2" fontId="7" fillId="0" borderId="0" xfId="0" applyNumberFormat="1" applyFont="1"/>
    <xf numFmtId="0" fontId="7" fillId="0" borderId="0" xfId="0" applyFont="1"/>
    <xf numFmtId="0" fontId="9" fillId="0" borderId="0" xfId="3" applyFont="1" applyAlignment="1">
      <alignment horizontal="left"/>
    </xf>
    <xf numFmtId="2" fontId="9" fillId="0" borderId="0" xfId="3" applyNumberFormat="1" applyFont="1"/>
    <xf numFmtId="0" fontId="9" fillId="0" borderId="0" xfId="3" applyFont="1" applyAlignment="1">
      <alignment horizontal="centerContinuous"/>
    </xf>
    <xf numFmtId="0" fontId="9" fillId="0" borderId="0" xfId="3" applyFont="1"/>
    <xf numFmtId="2" fontId="10" fillId="0" borderId="0" xfId="3" applyNumberFormat="1" applyFont="1" applyAlignment="1">
      <alignment horizontal="center" vertical="center"/>
    </xf>
    <xf numFmtId="2" fontId="11" fillId="0" borderId="0" xfId="3" applyNumberFormat="1" applyFont="1"/>
    <xf numFmtId="0" fontId="11" fillId="0" borderId="0" xfId="3" applyFont="1" applyAlignment="1">
      <alignment horizontal="right"/>
    </xf>
    <xf numFmtId="0" fontId="11" fillId="0" borderId="0" xfId="3" applyFont="1" applyAlignment="1">
      <alignment horizontal="left"/>
    </xf>
    <xf numFmtId="0" fontId="11" fillId="0" borderId="0" xfId="3" applyFont="1"/>
    <xf numFmtId="2" fontId="11" fillId="0" borderId="0" xfId="3" applyNumberFormat="1" applyFont="1" applyAlignment="1">
      <alignment horizontal="right"/>
    </xf>
    <xf numFmtId="2" fontId="10" fillId="0" borderId="0" xfId="0" applyNumberFormat="1" applyFont="1" applyAlignment="1">
      <alignment horizontal="center" vertical="center"/>
    </xf>
    <xf numFmtId="0" fontId="9" fillId="0" borderId="0" xfId="0" applyFont="1"/>
    <xf numFmtId="0" fontId="12" fillId="0" borderId="0" xfId="0" applyFont="1"/>
    <xf numFmtId="0" fontId="14" fillId="0" borderId="0" xfId="0" applyFont="1"/>
    <xf numFmtId="0" fontId="4" fillId="0" borderId="0" xfId="0" applyFont="1"/>
    <xf numFmtId="2" fontId="15" fillId="0" borderId="0" xfId="3" applyNumberFormat="1" applyFont="1"/>
    <xf numFmtId="0" fontId="16" fillId="0" borderId="0" xfId="3" applyFont="1"/>
    <xf numFmtId="0" fontId="4" fillId="0" borderId="0" xfId="0" applyFont="1" applyAlignment="1">
      <alignment horizontal="left"/>
    </xf>
    <xf numFmtId="2" fontId="17" fillId="0" borderId="0" xfId="3" applyNumberFormat="1" applyFont="1" applyAlignment="1">
      <alignment horizontal="left"/>
    </xf>
    <xf numFmtId="0" fontId="15" fillId="0" borderId="0" xfId="3" applyFont="1"/>
    <xf numFmtId="0" fontId="0" fillId="0" borderId="0" xfId="0" applyAlignment="1">
      <alignment horizontal="left"/>
    </xf>
    <xf numFmtId="2" fontId="18" fillId="0" borderId="0" xfId="3" applyNumberFormat="1" applyFont="1" applyAlignment="1">
      <alignment horizontal="right"/>
    </xf>
    <xf numFmtId="0" fontId="11" fillId="0" borderId="0" xfId="3" applyFont="1" applyAlignment="1">
      <alignment horizontal="centerContinuous"/>
    </xf>
    <xf numFmtId="0" fontId="19" fillId="0" borderId="0" xfId="3" applyFont="1" applyAlignment="1">
      <alignment horizontal="centerContinuous"/>
    </xf>
    <xf numFmtId="0" fontId="20" fillId="0" borderId="0" xfId="3" applyFont="1"/>
    <xf numFmtId="164" fontId="5" fillId="0" borderId="0" xfId="0" applyNumberFormat="1" applyFont="1" applyAlignment="1">
      <alignment horizontal="center"/>
    </xf>
    <xf numFmtId="0" fontId="0" fillId="0" borderId="3" xfId="1" applyNumberFormat="1" applyFont="1" applyBorder="1" applyAlignment="1">
      <alignment horizontal="center"/>
    </xf>
    <xf numFmtId="0" fontId="0" fillId="0" borderId="4" xfId="1" applyNumberFormat="1" applyFont="1" applyBorder="1" applyAlignment="1">
      <alignment horizontal="center"/>
    </xf>
    <xf numFmtId="0" fontId="0" fillId="0" borderId="5" xfId="1" applyNumberFormat="1" applyFont="1" applyBorder="1" applyAlignment="1">
      <alignment horizontal="center"/>
    </xf>
    <xf numFmtId="0" fontId="0" fillId="0" borderId="6" xfId="1" applyNumberFormat="1" applyFont="1" applyBorder="1" applyAlignment="1">
      <alignment horizontal="center"/>
    </xf>
    <xf numFmtId="164" fontId="5" fillId="0" borderId="6" xfId="0" applyNumberFormat="1" applyFont="1" applyBorder="1" applyAlignment="1">
      <alignment horizontal="center"/>
    </xf>
    <xf numFmtId="0" fontId="0" fillId="0" borderId="3" xfId="0" applyBorder="1"/>
    <xf numFmtId="2" fontId="0" fillId="0" borderId="3" xfId="0" applyNumberFormat="1" applyBorder="1"/>
    <xf numFmtId="2" fontId="0" fillId="0" borderId="5" xfId="0" applyNumberFormat="1" applyBorder="1" applyAlignment="1">
      <alignment horizontal="center"/>
    </xf>
    <xf numFmtId="2" fontId="0" fillId="0" borderId="4" xfId="0" applyNumberFormat="1" applyBorder="1" applyAlignment="1">
      <alignment horizontal="center"/>
    </xf>
    <xf numFmtId="2" fontId="0" fillId="0" borderId="6" xfId="0" applyNumberFormat="1" applyBorder="1" applyAlignment="1">
      <alignment horizontal="center"/>
    </xf>
    <xf numFmtId="2" fontId="21" fillId="0" borderId="7" xfId="0" applyNumberFormat="1" applyFont="1" applyBorder="1"/>
    <xf numFmtId="2" fontId="21" fillId="0" borderId="8" xfId="0" applyNumberFormat="1" applyFont="1" applyBorder="1"/>
    <xf numFmtId="2" fontId="22" fillId="0" borderId="9" xfId="0" applyNumberFormat="1" applyFont="1" applyBorder="1"/>
    <xf numFmtId="164" fontId="23" fillId="0" borderId="7" xfId="3" applyNumberFormat="1" applyFont="1" applyBorder="1" applyAlignment="1">
      <alignment horizontal="center"/>
    </xf>
    <xf numFmtId="0" fontId="23" fillId="0" borderId="6" xfId="3" applyFont="1" applyBorder="1" applyAlignment="1">
      <alignment horizontal="center"/>
    </xf>
    <xf numFmtId="0" fontId="0" fillId="0" borderId="10" xfId="1" applyNumberFormat="1" applyFont="1" applyBorder="1" applyAlignment="1">
      <alignment horizontal="center"/>
    </xf>
    <xf numFmtId="0" fontId="0" fillId="0" borderId="11" xfId="1" applyNumberFormat="1" applyFont="1" applyBorder="1" applyAlignment="1">
      <alignment horizontal="center"/>
    </xf>
    <xf numFmtId="0" fontId="0" fillId="0" borderId="0" xfId="1" applyNumberFormat="1" applyFont="1" applyBorder="1" applyAlignment="1">
      <alignment horizontal="center"/>
    </xf>
    <xf numFmtId="0" fontId="0" fillId="0" borderId="12" xfId="1" applyNumberFormat="1" applyFont="1" applyBorder="1" applyAlignment="1">
      <alignment horizontal="center"/>
    </xf>
    <xf numFmtId="164" fontId="5" fillId="0" borderId="12" xfId="0" applyNumberFormat="1" applyFont="1" applyBorder="1" applyAlignment="1">
      <alignment horizontal="center"/>
    </xf>
    <xf numFmtId="0" fontId="0" fillId="0" borderId="10" xfId="0" applyBorder="1"/>
    <xf numFmtId="2" fontId="0" fillId="0" borderId="10" xfId="0" applyNumberFormat="1" applyBorder="1"/>
    <xf numFmtId="2" fontId="24" fillId="0" borderId="11" xfId="0" applyNumberFormat="1" applyFont="1" applyBorder="1" applyAlignment="1">
      <alignment horizontal="center"/>
    </xf>
    <xf numFmtId="2" fontId="24" fillId="0" borderId="0" xfId="0" applyNumberFormat="1" applyFont="1" applyAlignment="1">
      <alignment horizontal="center"/>
    </xf>
    <xf numFmtId="2" fontId="24" fillId="0" borderId="12" xfId="0" applyNumberFormat="1" applyFont="1" applyBorder="1" applyAlignment="1">
      <alignment horizontal="center"/>
    </xf>
    <xf numFmtId="2" fontId="21" fillId="0" borderId="13" xfId="0" applyNumberFormat="1" applyFont="1" applyBorder="1"/>
    <xf numFmtId="2" fontId="21" fillId="0" borderId="1" xfId="0" applyNumberFormat="1" applyFont="1" applyBorder="1"/>
    <xf numFmtId="2" fontId="22" fillId="0" borderId="0" xfId="0" applyNumberFormat="1" applyFont="1"/>
    <xf numFmtId="164" fontId="23" fillId="0" borderId="13" xfId="3" applyNumberFormat="1" applyFont="1" applyBorder="1" applyAlignment="1">
      <alignment horizontal="center"/>
    </xf>
    <xf numFmtId="0" fontId="23" fillId="0" borderId="12" xfId="3" applyFont="1" applyBorder="1" applyAlignment="1">
      <alignment horizontal="center"/>
    </xf>
    <xf numFmtId="2" fontId="0" fillId="0" borderId="11" xfId="0" applyNumberFormat="1" applyBorder="1" applyAlignment="1">
      <alignment horizontal="center"/>
    </xf>
    <xf numFmtId="2" fontId="0" fillId="0" borderId="0" xfId="0" applyNumberFormat="1" applyAlignment="1">
      <alignment horizontal="center"/>
    </xf>
    <xf numFmtId="2" fontId="0" fillId="0" borderId="12" xfId="0" applyNumberFormat="1" applyBorder="1" applyAlignment="1">
      <alignment horizontal="center"/>
    </xf>
    <xf numFmtId="0" fontId="0" fillId="0" borderId="14" xfId="0" applyBorder="1"/>
    <xf numFmtId="2" fontId="0" fillId="0" borderId="14" xfId="0" applyNumberFormat="1" applyBorder="1"/>
    <xf numFmtId="2" fontId="0" fillId="0" borderId="10" xfId="1" applyNumberFormat="1" applyFont="1" applyBorder="1" applyAlignment="1">
      <alignment horizontal="center"/>
    </xf>
    <xf numFmtId="2" fontId="0" fillId="0" borderId="11" xfId="1" applyNumberFormat="1" applyFont="1" applyBorder="1" applyAlignment="1">
      <alignment horizontal="center"/>
    </xf>
    <xf numFmtId="2" fontId="0" fillId="0" borderId="0" xfId="1" applyNumberFormat="1" applyFont="1" applyBorder="1" applyAlignment="1">
      <alignment horizontal="center"/>
    </xf>
    <xf numFmtId="2" fontId="0" fillId="0" borderId="12" xfId="1" applyNumberFormat="1" applyFont="1" applyBorder="1" applyAlignment="1">
      <alignment horizontal="center"/>
    </xf>
    <xf numFmtId="0" fontId="24" fillId="0" borderId="0" xfId="2" applyFont="1" applyFill="1" applyBorder="1"/>
    <xf numFmtId="2" fontId="24" fillId="0" borderId="10" xfId="0" applyNumberFormat="1" applyFont="1" applyBorder="1"/>
    <xf numFmtId="164" fontId="25" fillId="0" borderId="12" xfId="0" applyNumberFormat="1" applyFont="1" applyBorder="1" applyAlignment="1">
      <alignment horizontal="center"/>
    </xf>
    <xf numFmtId="16" fontId="23" fillId="0" borderId="12" xfId="3" applyNumberFormat="1" applyFont="1" applyBorder="1" applyAlignment="1">
      <alignment horizontal="center"/>
    </xf>
    <xf numFmtId="0" fontId="0" fillId="0" borderId="15" xfId="0" applyBorder="1"/>
    <xf numFmtId="0" fontId="21" fillId="0" borderId="13" xfId="0" applyFont="1" applyBorder="1"/>
    <xf numFmtId="164" fontId="23" fillId="0" borderId="13" xfId="3" applyNumberFormat="1" applyFont="1" applyBorder="1" applyAlignment="1">
      <alignment horizontal="center" vertical="center"/>
    </xf>
    <xf numFmtId="0" fontId="23" fillId="0" borderId="12" xfId="3" applyFont="1" applyBorder="1" applyAlignment="1">
      <alignment horizontal="center" vertical="center"/>
    </xf>
    <xf numFmtId="0" fontId="0" fillId="0" borderId="11" xfId="0" applyBorder="1"/>
    <xf numFmtId="0" fontId="0" fillId="0" borderId="12" xfId="0" applyBorder="1"/>
    <xf numFmtId="0" fontId="21" fillId="0" borderId="1" xfId="0" applyFont="1" applyBorder="1"/>
    <xf numFmtId="0" fontId="21" fillId="0" borderId="16" xfId="0" applyFont="1" applyBorder="1"/>
    <xf numFmtId="0" fontId="10" fillId="0" borderId="17" xfId="3" applyFont="1" applyBorder="1" applyAlignment="1">
      <alignment horizontal="center" vertical="center"/>
    </xf>
    <xf numFmtId="0" fontId="26" fillId="0" borderId="18" xfId="3" applyFont="1" applyBorder="1" applyAlignment="1">
      <alignment horizontal="center" vertical="center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2" fontId="0" fillId="0" borderId="20" xfId="0" applyNumberFormat="1" applyBorder="1" applyAlignment="1">
      <alignment horizontal="center"/>
    </xf>
    <xf numFmtId="2" fontId="0" fillId="0" borderId="21" xfId="0" applyNumberFormat="1" applyBorder="1" applyAlignment="1">
      <alignment horizontal="center"/>
    </xf>
    <xf numFmtId="2" fontId="0" fillId="0" borderId="22" xfId="0" applyNumberFormat="1" applyBorder="1" applyAlignment="1">
      <alignment horizontal="center"/>
    </xf>
    <xf numFmtId="0" fontId="27" fillId="0" borderId="23" xfId="0" applyFont="1" applyBorder="1" applyAlignment="1">
      <alignment horizontal="center" vertical="center"/>
    </xf>
    <xf numFmtId="0" fontId="27" fillId="0" borderId="24" xfId="0" applyFont="1" applyBorder="1" applyAlignment="1">
      <alignment horizontal="center" vertical="center"/>
    </xf>
    <xf numFmtId="0" fontId="27" fillId="0" borderId="22" xfId="0" applyFont="1" applyBorder="1" applyAlignment="1">
      <alignment horizontal="center" vertical="center"/>
    </xf>
    <xf numFmtId="0" fontId="9" fillId="0" borderId="25" xfId="3" applyFont="1" applyBorder="1" applyAlignment="1">
      <alignment horizontal="center" vertical="center"/>
    </xf>
    <xf numFmtId="0" fontId="9" fillId="0" borderId="22" xfId="3" applyFont="1" applyBorder="1" applyAlignment="1">
      <alignment horizontal="center" vertical="center"/>
    </xf>
    <xf numFmtId="0" fontId="0" fillId="0" borderId="26" xfId="0" applyBorder="1" applyAlignment="1">
      <alignment horizontal="center"/>
    </xf>
    <xf numFmtId="0" fontId="0" fillId="0" borderId="27" xfId="0" applyBorder="1" applyAlignment="1">
      <alignment horizontal="center"/>
    </xf>
    <xf numFmtId="0" fontId="0" fillId="0" borderId="28" xfId="0" applyBorder="1" applyAlignment="1">
      <alignment horizontal="center"/>
    </xf>
    <xf numFmtId="0" fontId="5" fillId="0" borderId="29" xfId="0" applyFont="1" applyBorder="1" applyAlignment="1">
      <alignment horizontal="center"/>
    </xf>
    <xf numFmtId="0" fontId="21" fillId="0" borderId="26" xfId="0" applyFont="1" applyBorder="1"/>
    <xf numFmtId="0" fontId="21" fillId="0" borderId="27" xfId="0" applyFont="1" applyBorder="1"/>
    <xf numFmtId="0" fontId="0" fillId="0" borderId="28" xfId="0" applyBorder="1"/>
    <xf numFmtId="0" fontId="9" fillId="0" borderId="30" xfId="0" applyFont="1" applyBorder="1"/>
    <xf numFmtId="0" fontId="9" fillId="0" borderId="28" xfId="0" applyFont="1" applyBorder="1"/>
    <xf numFmtId="0" fontId="0" fillId="3" borderId="29" xfId="0" applyFill="1" applyBorder="1"/>
    <xf numFmtId="0" fontId="21" fillId="0" borderId="4" xfId="0" applyFont="1" applyBorder="1"/>
    <xf numFmtId="0" fontId="21" fillId="0" borderId="5" xfId="0" applyFont="1" applyBorder="1"/>
    <xf numFmtId="0" fontId="21" fillId="0" borderId="6" xfId="0" applyFont="1" applyBorder="1"/>
    <xf numFmtId="0" fontId="4" fillId="0" borderId="26" xfId="0" applyFont="1" applyBorder="1"/>
    <xf numFmtId="0" fontId="4" fillId="0" borderId="27" xfId="0" applyFont="1" applyBorder="1"/>
    <xf numFmtId="0" fontId="4" fillId="0" borderId="28" xfId="0" applyFont="1" applyBorder="1"/>
    <xf numFmtId="0" fontId="29" fillId="0" borderId="0" xfId="0" applyFont="1"/>
    <xf numFmtId="0" fontId="3" fillId="0" borderId="0" xfId="0" applyFont="1"/>
    <xf numFmtId="0" fontId="6" fillId="4" borderId="0" xfId="0" applyFont="1" applyFill="1"/>
    <xf numFmtId="0" fontId="0" fillId="4" borderId="0" xfId="0" applyFill="1"/>
    <xf numFmtId="0" fontId="4" fillId="4" borderId="0" xfId="0" applyFont="1" applyFill="1"/>
    <xf numFmtId="0" fontId="5" fillId="4" borderId="1" xfId="0" applyFont="1" applyFill="1" applyBorder="1" applyAlignment="1">
      <alignment horizontal="center" vertical="center"/>
    </xf>
    <xf numFmtId="0" fontId="0" fillId="4" borderId="2" xfId="0" applyFill="1" applyBorder="1"/>
    <xf numFmtId="2" fontId="0" fillId="4" borderId="1" xfId="0" applyNumberFormat="1" applyFill="1" applyBorder="1" applyAlignment="1">
      <alignment horizontal="center" vertical="center"/>
    </xf>
    <xf numFmtId="2" fontId="0" fillId="4" borderId="0" xfId="0" applyNumberFormat="1" applyFill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4" fillId="4" borderId="0" xfId="0" applyFont="1" applyFill="1" applyAlignment="1">
      <alignment vertical="center" wrapText="1"/>
    </xf>
    <xf numFmtId="0" fontId="4" fillId="4" borderId="0" xfId="0" applyFont="1" applyFill="1" applyAlignment="1">
      <alignment wrapText="1"/>
    </xf>
    <xf numFmtId="2" fontId="17" fillId="4" borderId="0" xfId="3" applyNumberFormat="1" applyFont="1" applyFill="1" applyAlignment="1">
      <alignment horizontal="left"/>
    </xf>
    <xf numFmtId="0" fontId="16" fillId="4" borderId="0" xfId="3" applyFont="1" applyFill="1"/>
    <xf numFmtId="0" fontId="4" fillId="4" borderId="0" xfId="0" applyFont="1" applyFill="1" applyAlignment="1">
      <alignment horizontal="left"/>
    </xf>
    <xf numFmtId="0" fontId="14" fillId="4" borderId="0" xfId="0" applyFont="1" applyFill="1"/>
    <xf numFmtId="0" fontId="4" fillId="4" borderId="2" xfId="0" applyFont="1" applyFill="1" applyBorder="1"/>
    <xf numFmtId="0" fontId="4" fillId="4" borderId="14" xfId="0" applyFont="1" applyFill="1" applyBorder="1"/>
    <xf numFmtId="2" fontId="0" fillId="4" borderId="0" xfId="0" applyNumberFormat="1" applyFill="1"/>
    <xf numFmtId="2" fontId="0" fillId="4" borderId="2" xfId="0" applyNumberFormat="1" applyFill="1" applyBorder="1"/>
    <xf numFmtId="0" fontId="0" fillId="0" borderId="31" xfId="0" applyBorder="1"/>
    <xf numFmtId="2" fontId="0" fillId="0" borderId="31" xfId="0" applyNumberFormat="1" applyBorder="1"/>
    <xf numFmtId="2" fontId="22" fillId="0" borderId="12" xfId="0" applyNumberFormat="1" applyFont="1" applyBorder="1"/>
    <xf numFmtId="2" fontId="22" fillId="0" borderId="32" xfId="0" applyNumberFormat="1" applyFont="1" applyBorder="1"/>
    <xf numFmtId="2" fontId="0" fillId="0" borderId="0" xfId="0" applyNumberFormat="1"/>
    <xf numFmtId="0" fontId="0" fillId="0" borderId="0" xfId="0" applyAlignment="1">
      <alignment horizontal="center"/>
    </xf>
    <xf numFmtId="2" fontId="0" fillId="4" borderId="2" xfId="0" applyNumberFormat="1" applyFill="1" applyBorder="1" applyAlignment="1">
      <alignment horizontal="center" vertical="center"/>
    </xf>
    <xf numFmtId="2" fontId="0" fillId="4" borderId="0" xfId="0" applyNumberFormat="1" applyFill="1" applyAlignment="1">
      <alignment horizontal="center"/>
    </xf>
    <xf numFmtId="164" fontId="0" fillId="0" borderId="0" xfId="0" applyNumberFormat="1"/>
    <xf numFmtId="2" fontId="0" fillId="0" borderId="2" xfId="0" applyNumberFormat="1" applyBorder="1"/>
    <xf numFmtId="164" fontId="0" fillId="0" borderId="12" xfId="0" applyNumberFormat="1" applyBorder="1"/>
    <xf numFmtId="2" fontId="0" fillId="0" borderId="33" xfId="0" applyNumberFormat="1" applyBorder="1"/>
    <xf numFmtId="2" fontId="0" fillId="0" borderId="11" xfId="0" applyNumberFormat="1" applyBorder="1"/>
    <xf numFmtId="164" fontId="0" fillId="0" borderId="6" xfId="0" applyNumberFormat="1" applyBorder="1"/>
    <xf numFmtId="2" fontId="0" fillId="0" borderId="5" xfId="0" applyNumberFormat="1" applyBorder="1"/>
    <xf numFmtId="2" fontId="0" fillId="0" borderId="4" xfId="0" applyNumberFormat="1" applyBorder="1"/>
    <xf numFmtId="2" fontId="0" fillId="0" borderId="18" xfId="0" applyNumberFormat="1" applyBorder="1"/>
    <xf numFmtId="2" fontId="0" fillId="0" borderId="12" xfId="0" applyNumberFormat="1" applyBorder="1"/>
    <xf numFmtId="2" fontId="0" fillId="0" borderId="6" xfId="0" applyNumberFormat="1" applyBorder="1"/>
    <xf numFmtId="164" fontId="0" fillId="0" borderId="34" xfId="0" applyNumberFormat="1" applyBorder="1"/>
    <xf numFmtId="2" fontId="0" fillId="0" borderId="34" xfId="0" applyNumberFormat="1" applyBorder="1"/>
    <xf numFmtId="164" fontId="0" fillId="0" borderId="34" xfId="0" applyNumberFormat="1" applyBorder="1" applyAlignment="1">
      <alignment horizontal="right"/>
    </xf>
    <xf numFmtId="164" fontId="0" fillId="0" borderId="10" xfId="0" applyNumberFormat="1" applyBorder="1" applyAlignment="1">
      <alignment horizontal="right"/>
    </xf>
    <xf numFmtId="164" fontId="0" fillId="0" borderId="3" xfId="0" applyNumberFormat="1" applyBorder="1" applyAlignment="1">
      <alignment horizontal="right"/>
    </xf>
    <xf numFmtId="0" fontId="28" fillId="0" borderId="22" xfId="0" applyFont="1" applyBorder="1" applyAlignment="1">
      <alignment horizontal="center"/>
    </xf>
    <xf numFmtId="0" fontId="28" fillId="0" borderId="21" xfId="0" applyFont="1" applyBorder="1" applyAlignment="1">
      <alignment horizontal="center"/>
    </xf>
    <xf numFmtId="0" fontId="28" fillId="0" borderId="20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7" xfId="0" applyFont="1" applyBorder="1" applyAlignment="1">
      <alignment horizontal="left"/>
    </xf>
    <xf numFmtId="0" fontId="9" fillId="0" borderId="26" xfId="0" applyFont="1" applyBorder="1" applyAlignment="1">
      <alignment horizontal="left"/>
    </xf>
    <xf numFmtId="0" fontId="4" fillId="0" borderId="28" xfId="0" applyFont="1" applyBorder="1" applyAlignment="1">
      <alignment horizontal="center"/>
    </xf>
    <xf numFmtId="0" fontId="4" fillId="0" borderId="27" xfId="0" applyFont="1" applyBorder="1" applyAlignment="1">
      <alignment horizontal="center"/>
    </xf>
    <xf numFmtId="0" fontId="4" fillId="0" borderId="26" xfId="0" applyFont="1" applyBorder="1" applyAlignment="1">
      <alignment horizontal="center"/>
    </xf>
  </cellXfs>
  <cellStyles count="4">
    <cellStyle name="Insatisfaisant" xfId="2" builtinId="27"/>
    <cellStyle name="Normal" xfId="0" builtinId="0"/>
    <cellStyle name="Normale_cdo14_1d" xfId="3" xr:uid="{00000000-0005-0000-0000-000002000000}"/>
    <cellStyle name="Pourcentage" xfId="1" builtinId="5"/>
  </cellStyles>
  <dxfs count="0"/>
  <tableStyles count="0" defaultTableStyle="TableStyleMedium2" defaultPivotStyle="PivotStyleLight16"/>
  <colors>
    <mruColors>
      <color rgb="FFFF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barChart>
        <c:barDir val="col"/>
        <c:grouping val="percentStacked"/>
        <c:varyColors val="0"/>
        <c:ser>
          <c:idx val="0"/>
          <c:order val="0"/>
          <c:tx>
            <c:v>Juveniles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Resume!$E$3:$G$3</c:f>
              <c:strCache>
                <c:ptCount val="3"/>
                <c:pt idx="0">
                  <c:v>MAY190405_2</c:v>
                </c:pt>
                <c:pt idx="1">
                  <c:v>MAY190407_4</c:v>
                </c:pt>
                <c:pt idx="2">
                  <c:v>MAY190407_5</c:v>
                </c:pt>
              </c:strCache>
            </c:strRef>
          </c:cat>
          <c:val>
            <c:numRef>
              <c:f>Resume!$E$38:$G$38</c:f>
              <c:numCache>
                <c:formatCode>0.00</c:formatCode>
                <c:ptCount val="3"/>
                <c:pt idx="0">
                  <c:v>91.738475211561507</c:v>
                </c:pt>
                <c:pt idx="1">
                  <c:v>78.33940128565726</c:v>
                </c:pt>
                <c:pt idx="2">
                  <c:v>81.377036773106539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8C8-4B0E-AD51-56011777A064}"/>
            </c:ext>
          </c:extLst>
        </c:ser>
        <c:ser>
          <c:idx val="1"/>
          <c:order val="1"/>
          <c:tx>
            <c:v>Non juvenile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Resume!$E$3:$G$3</c:f>
              <c:strCache>
                <c:ptCount val="3"/>
                <c:pt idx="0">
                  <c:v>MAY190405_2</c:v>
                </c:pt>
                <c:pt idx="1">
                  <c:v>MAY190407_4</c:v>
                </c:pt>
                <c:pt idx="2">
                  <c:v>MAY190407_5</c:v>
                </c:pt>
              </c:strCache>
            </c:strRef>
          </c:cat>
          <c:val>
            <c:numRef>
              <c:f>Resume!$E$39:$G$39</c:f>
              <c:numCache>
                <c:formatCode>0.00</c:formatCode>
                <c:ptCount val="3"/>
                <c:pt idx="0">
                  <c:v>2.2296070172726923</c:v>
                </c:pt>
                <c:pt idx="1">
                  <c:v>21.660598714342722</c:v>
                </c:pt>
                <c:pt idx="2">
                  <c:v>7.0027409166244556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8C8-4B0E-AD51-56011777A0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571161872"/>
        <c:axId val="571152360"/>
      </c:barChart>
      <c:catAx>
        <c:axId val="5711618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71152360"/>
        <c:crosses val="autoZero"/>
        <c:auto val="1"/>
        <c:lblAlgn val="ctr"/>
        <c:lblOffset val="100"/>
        <c:noMultiLvlLbl val="0"/>
      </c:catAx>
      <c:valAx>
        <c:axId val="5711523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71161872"/>
        <c:crosses val="autoZero"/>
        <c:crossBetween val="between"/>
        <c:majorUnit val="0.25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barChart>
        <c:barDir val="col"/>
        <c:grouping val="percentStacked"/>
        <c:varyColors val="0"/>
        <c:ser>
          <c:idx val="1"/>
          <c:order val="0"/>
          <c:tx>
            <c:v>Juveniles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Resume!$E$3:$G$3</c:f>
              <c:strCache>
                <c:ptCount val="3"/>
                <c:pt idx="0">
                  <c:v>MAY190405_2</c:v>
                </c:pt>
                <c:pt idx="1">
                  <c:v>MAY190407_4</c:v>
                </c:pt>
                <c:pt idx="2">
                  <c:v>MAY190407_5</c:v>
                </c:pt>
              </c:strCache>
            </c:strRef>
          </c:cat>
          <c:val>
            <c:numRef>
              <c:f>Resume!$E$43:$G$43</c:f>
              <c:numCache>
                <c:formatCode>0.00</c:formatCode>
                <c:ptCount val="3"/>
                <c:pt idx="0">
                  <c:v>2.2296070172726923</c:v>
                </c:pt>
                <c:pt idx="1">
                  <c:v>21.660598714342722</c:v>
                </c:pt>
                <c:pt idx="2">
                  <c:v>7.0027409166244556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DAA-4E91-B101-2DE93103EABD}"/>
            </c:ext>
          </c:extLst>
        </c:ser>
        <c:ser>
          <c:idx val="0"/>
          <c:order val="1"/>
          <c:tx>
            <c:v>Non-juvenile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Resume!$E$3:$G$3</c:f>
              <c:strCache>
                <c:ptCount val="3"/>
                <c:pt idx="0">
                  <c:v>MAY190405_2</c:v>
                </c:pt>
                <c:pt idx="1">
                  <c:v>MAY190407_4</c:v>
                </c:pt>
                <c:pt idx="2">
                  <c:v>MAY190407_5</c:v>
                </c:pt>
              </c:strCache>
            </c:strRef>
          </c:cat>
          <c:val>
            <c:numRef>
              <c:f>Resume!$E$42:$G$42</c:f>
              <c:numCache>
                <c:formatCode>0.00</c:formatCode>
                <c:ptCount val="3"/>
                <c:pt idx="0">
                  <c:v>91.738475211561507</c:v>
                </c:pt>
                <c:pt idx="1">
                  <c:v>78.33940128565726</c:v>
                </c:pt>
                <c:pt idx="2">
                  <c:v>81.377036773106539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DAA-4E91-B101-2DE93103EABD}"/>
            </c:ext>
          </c:extLst>
        </c:ser>
        <c:ser>
          <c:idx val="2"/>
          <c:order val="2"/>
          <c:tx>
            <c:v>Mixed</c:v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val>
            <c:numRef>
              <c:f>Resume!$E$44:$G$44</c:f>
              <c:numCache>
                <c:formatCode>0.00</c:formatCode>
                <c:ptCount val="3"/>
                <c:pt idx="0">
                  <c:v>6.0319177711658112</c:v>
                </c:pt>
                <c:pt idx="1">
                  <c:v>0</c:v>
                </c:pt>
                <c:pt idx="2">
                  <c:v>11.620222310269012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DAA-4E91-B101-2DE93103EAB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571161872"/>
        <c:axId val="571152360"/>
      </c:barChart>
      <c:catAx>
        <c:axId val="5711618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71152360"/>
        <c:crosses val="autoZero"/>
        <c:auto val="1"/>
        <c:lblAlgn val="ctr"/>
        <c:lblOffset val="100"/>
        <c:noMultiLvlLbl val="0"/>
      </c:catAx>
      <c:valAx>
        <c:axId val="5711523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71161872"/>
        <c:crosses val="autoZero"/>
        <c:crossBetween val="between"/>
        <c:majorUnit val="0.25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barChart>
        <c:barDir val="col"/>
        <c:grouping val="percentStacked"/>
        <c:varyColors val="0"/>
        <c:ser>
          <c:idx val="1"/>
          <c:order val="0"/>
          <c:tx>
            <c:v>Pumices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Resume!$E$3:$G$3</c:f>
              <c:strCache>
                <c:ptCount val="3"/>
                <c:pt idx="0">
                  <c:v>MAY190405_2</c:v>
                </c:pt>
                <c:pt idx="1">
                  <c:v>MAY190407_4</c:v>
                </c:pt>
                <c:pt idx="2">
                  <c:v>MAY190407_5</c:v>
                </c:pt>
              </c:strCache>
            </c:strRef>
          </c:cat>
          <c:val>
            <c:numRef>
              <c:f>Resume!$E$47:$G$47</c:f>
              <c:numCache>
                <c:formatCode>0.00</c:formatCode>
                <c:ptCount val="3"/>
                <c:pt idx="0">
                  <c:v>78.493297146146901</c:v>
                </c:pt>
                <c:pt idx="1">
                  <c:v>72.27299982947639</c:v>
                </c:pt>
                <c:pt idx="2">
                  <c:v>9.0818910097535106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388-420F-A085-4358B7DFC8DE}"/>
            </c:ext>
          </c:extLst>
        </c:ser>
        <c:ser>
          <c:idx val="0"/>
          <c:order val="1"/>
          <c:tx>
            <c:v>Dense juvenile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Resume!$E$3:$G$3</c:f>
              <c:strCache>
                <c:ptCount val="3"/>
                <c:pt idx="0">
                  <c:v>MAY190405_2</c:v>
                </c:pt>
                <c:pt idx="1">
                  <c:v>MAY190407_4</c:v>
                </c:pt>
                <c:pt idx="2">
                  <c:v>MAY190407_5</c:v>
                </c:pt>
              </c:strCache>
            </c:strRef>
          </c:cat>
          <c:val>
            <c:numRef>
              <c:f>Resume!$E$48:$G$48</c:f>
              <c:numCache>
                <c:formatCode>0.00</c:formatCode>
                <c:ptCount val="3"/>
                <c:pt idx="0">
                  <c:v>19.133974833456701</c:v>
                </c:pt>
                <c:pt idx="1">
                  <c:v>6.0664014561808877</c:v>
                </c:pt>
                <c:pt idx="2">
                  <c:v>82.994643804343326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388-420F-A085-4358B7DFC8DE}"/>
            </c:ext>
          </c:extLst>
        </c:ser>
        <c:ser>
          <c:idx val="2"/>
          <c:order val="2"/>
          <c:tx>
            <c:v>Non-juvenile</c:v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val>
            <c:numRef>
              <c:f>Resume!$E$49:$G$49</c:f>
              <c:numCache>
                <c:formatCode>0.00</c:formatCode>
                <c:ptCount val="3"/>
                <c:pt idx="0">
                  <c:v>2.3727280203964147</c:v>
                </c:pt>
                <c:pt idx="1">
                  <c:v>21.660598714342722</c:v>
                </c:pt>
                <c:pt idx="2">
                  <c:v>7.9234651859031739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388-420F-A085-4358B7DFC8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571161872"/>
        <c:axId val="571152360"/>
      </c:barChart>
      <c:catAx>
        <c:axId val="5711618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71152360"/>
        <c:crosses val="autoZero"/>
        <c:auto val="1"/>
        <c:lblAlgn val="ctr"/>
        <c:lblOffset val="100"/>
        <c:noMultiLvlLbl val="0"/>
      </c:catAx>
      <c:valAx>
        <c:axId val="5711523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71161872"/>
        <c:crosses val="autoZero"/>
        <c:crossBetween val="between"/>
        <c:majorUnit val="0.25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barChart>
        <c:barDir val="col"/>
        <c:grouping val="percentStacked"/>
        <c:varyColors val="0"/>
        <c:ser>
          <c:idx val="3"/>
          <c:order val="0"/>
          <c:tx>
            <c:v>Mixed</c:v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val>
            <c:numRef>
              <c:f>Resume!$E$62:$G$62</c:f>
              <c:numCache>
                <c:formatCode>0.00</c:formatCode>
                <c:ptCount val="3"/>
                <c:pt idx="0">
                  <c:v>6.0319177711658112</c:v>
                </c:pt>
                <c:pt idx="1">
                  <c:v>0</c:v>
                </c:pt>
                <c:pt idx="2">
                  <c:v>11.620222310269012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3952-4532-84F0-774A93FB384D}"/>
            </c:ext>
          </c:extLst>
        </c:ser>
        <c:ser>
          <c:idx val="1"/>
          <c:order val="1"/>
          <c:tx>
            <c:v>Pumices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Resume!$E$3:$G$3</c:f>
              <c:strCache>
                <c:ptCount val="3"/>
                <c:pt idx="0">
                  <c:v>MAY190405_2</c:v>
                </c:pt>
                <c:pt idx="1">
                  <c:v>MAY190407_4</c:v>
                </c:pt>
                <c:pt idx="2">
                  <c:v>MAY190407_5</c:v>
                </c:pt>
              </c:strCache>
            </c:strRef>
          </c:cat>
          <c:val>
            <c:numRef>
              <c:f>Resume!$E$60:$G$60</c:f>
              <c:numCache>
                <c:formatCode>0.00</c:formatCode>
                <c:ptCount val="3"/>
                <c:pt idx="0">
                  <c:v>73.75864600641448</c:v>
                </c:pt>
                <c:pt idx="1">
                  <c:v>72.272999829476376</c:v>
                </c:pt>
                <c:pt idx="2">
                  <c:v>8.0265550844438138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952-4532-84F0-774A93FB384D}"/>
            </c:ext>
          </c:extLst>
        </c:ser>
        <c:ser>
          <c:idx val="0"/>
          <c:order val="2"/>
          <c:tx>
            <c:v>Dense juvenile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Resume!$E$3:$G$3</c:f>
              <c:strCache>
                <c:ptCount val="3"/>
                <c:pt idx="0">
                  <c:v>MAY190405_2</c:v>
                </c:pt>
                <c:pt idx="1">
                  <c:v>MAY190407_4</c:v>
                </c:pt>
                <c:pt idx="2">
                  <c:v>MAY190407_5</c:v>
                </c:pt>
              </c:strCache>
            </c:strRef>
          </c:cat>
          <c:val>
            <c:numRef>
              <c:f>Resume!$E$59:$G$59</c:f>
              <c:numCache>
                <c:formatCode>0.00</c:formatCode>
                <c:ptCount val="3"/>
                <c:pt idx="0">
                  <c:v>17.979829205147031</c:v>
                </c:pt>
                <c:pt idx="1">
                  <c:v>6.0664014561808868</c:v>
                </c:pt>
                <c:pt idx="2">
                  <c:v>73.350481688662725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952-4532-84F0-774A93FB384D}"/>
            </c:ext>
          </c:extLst>
        </c:ser>
        <c:ser>
          <c:idx val="2"/>
          <c:order val="3"/>
          <c:tx>
            <c:v>Non-juvenile</c:v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val>
            <c:numRef>
              <c:f>Resume!$E$61:$G$61</c:f>
              <c:numCache>
                <c:formatCode>0.00</c:formatCode>
                <c:ptCount val="3"/>
                <c:pt idx="0">
                  <c:v>2.2296070172726923</c:v>
                </c:pt>
                <c:pt idx="1">
                  <c:v>21.660598714342722</c:v>
                </c:pt>
                <c:pt idx="2">
                  <c:v>7.0027409166244556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952-4532-84F0-774A93FB38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571161872"/>
        <c:axId val="571152360"/>
      </c:barChart>
      <c:catAx>
        <c:axId val="5711618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71152360"/>
        <c:crosses val="autoZero"/>
        <c:auto val="1"/>
        <c:lblAlgn val="ctr"/>
        <c:lblOffset val="100"/>
        <c:noMultiLvlLbl val="0"/>
      </c:catAx>
      <c:valAx>
        <c:axId val="5711523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71161872"/>
        <c:crosses val="autoZero"/>
        <c:crossBetween val="between"/>
        <c:majorUnit val="0.25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Resume!$I$55</c:f>
              <c:strCache>
                <c:ptCount val="1"/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yVal>
            <c:numRef>
              <c:f>Resume!$I$56</c:f>
              <c:numCache>
                <c:formatCode>General</c:formatCode>
                <c:ptCount val="1"/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8534-45A4-9A81-5456DFA62F92}"/>
            </c:ext>
          </c:extLst>
        </c:ser>
        <c:ser>
          <c:idx val="1"/>
          <c:order val="1"/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strRef>
              <c:f>Resume!$C$3:$G$3</c:f>
              <c:strCache>
                <c:ptCount val="5"/>
                <c:pt idx="0">
                  <c:v>MAY190407_2</c:v>
                </c:pt>
                <c:pt idx="1">
                  <c:v>MAY190407_3</c:v>
                </c:pt>
                <c:pt idx="2">
                  <c:v>MAY190405_2</c:v>
                </c:pt>
                <c:pt idx="3">
                  <c:v>MAY190407_4</c:v>
                </c:pt>
                <c:pt idx="4">
                  <c:v>MAY190407_5</c:v>
                </c:pt>
              </c:strCache>
            </c:strRef>
          </c:xVal>
          <c:yVal>
            <c:numRef>
              <c:f>Resume!$C$65:$G$65</c:f>
              <c:numCache>
                <c:formatCode>0.00</c:formatCode>
                <c:ptCount val="5"/>
                <c:pt idx="0">
                  <c:v>0.86480107889413349</c:v>
                </c:pt>
                <c:pt idx="1">
                  <c:v>0.7587041279684108</c:v>
                </c:pt>
                <c:pt idx="2">
                  <c:v>0.9762727197960358</c:v>
                </c:pt>
                <c:pt idx="3">
                  <c:v>0.78339401285657273</c:v>
                </c:pt>
                <c:pt idx="4">
                  <c:v>0.92076534814096822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8534-45A4-9A81-5456DFA62F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92944000"/>
        <c:axId val="592944656"/>
      </c:scatterChart>
      <c:valAx>
        <c:axId val="592944000"/>
        <c:scaling>
          <c:orientation val="minMax"/>
          <c:max val="5"/>
          <c:min val="1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92944656"/>
        <c:crosses val="autoZero"/>
        <c:crossBetween val="midCat"/>
      </c:valAx>
      <c:valAx>
        <c:axId val="592944656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9294400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Resume!$I$55</c:f>
              <c:strCache>
                <c:ptCount val="1"/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yVal>
            <c:numRef>
              <c:f>Resume!$I$56</c:f>
              <c:numCache>
                <c:formatCode>General</c:formatCode>
                <c:ptCount val="1"/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97E-4D49-BD33-706830F26572}"/>
            </c:ext>
          </c:extLst>
        </c:ser>
        <c:ser>
          <c:idx val="1"/>
          <c:order val="1"/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strRef>
              <c:f>Resume!$C$3:$G$3</c:f>
              <c:strCache>
                <c:ptCount val="5"/>
                <c:pt idx="0">
                  <c:v>MAY190407_2</c:v>
                </c:pt>
                <c:pt idx="1">
                  <c:v>MAY190407_3</c:v>
                </c:pt>
                <c:pt idx="2">
                  <c:v>MAY190405_2</c:v>
                </c:pt>
                <c:pt idx="3">
                  <c:v>MAY190407_4</c:v>
                </c:pt>
                <c:pt idx="4">
                  <c:v>MAY190407_5</c:v>
                </c:pt>
              </c:strCache>
            </c:strRef>
          </c:xVal>
          <c:yVal>
            <c:numRef>
              <c:f>Resume!$C$66:$G$66</c:f>
              <c:numCache>
                <c:formatCode>0.00</c:formatCode>
                <c:ptCount val="5"/>
                <c:pt idx="0">
                  <c:v>0.31968810916179347</c:v>
                </c:pt>
                <c:pt idx="1">
                  <c:v>0.63983919547120971</c:v>
                </c:pt>
                <c:pt idx="2">
                  <c:v>0.80400994060907294</c:v>
                </c:pt>
                <c:pt idx="3">
                  <c:v>0.92256257570746147</c:v>
                </c:pt>
                <c:pt idx="4">
                  <c:v>9.8634152860877233E-2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D97E-4D49-BD33-706830F265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92944000"/>
        <c:axId val="592944656"/>
      </c:scatterChart>
      <c:valAx>
        <c:axId val="592944000"/>
        <c:scaling>
          <c:orientation val="minMax"/>
          <c:max val="5"/>
          <c:min val="1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92944656"/>
        <c:crosses val="autoZero"/>
        <c:crossBetween val="midCat"/>
      </c:valAx>
      <c:valAx>
        <c:axId val="592944656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9294400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2930454735815426"/>
          <c:y val="3.3977357346377308E-2"/>
        </c:manualLayout>
      </c:layout>
      <c:overlay val="0"/>
      <c:txPr>
        <a:bodyPr/>
        <a:lstStyle/>
        <a:p>
          <a:pPr>
            <a:defRPr sz="1000" b="1"/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Blank!$D$2</c:f>
              <c:strCache>
                <c:ptCount val="1"/>
                <c:pt idx="0">
                  <c:v>Blank</c:v>
                </c:pt>
              </c:strCache>
            </c:strRef>
          </c:tx>
          <c:spPr>
            <a:pattFill prst="pct5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Blank!$B$7:$B$33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Blank!$D$7:$D$33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E34-4A74-8878-C6D754ED80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Blank!$D$2</c:f>
              <c:strCache>
                <c:ptCount val="1"/>
                <c:pt idx="0">
                  <c:v>Blank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Blank!$B$7:$B$33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Blank!$E$7:$E$33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0.00">
                  <c:v>0</c:v>
                </c:pt>
                <c:pt idx="4" formatCode="0.00">
                  <c:v>0</c:v>
                </c:pt>
                <c:pt idx="5" formatCode="0.00">
                  <c:v>0</c:v>
                </c:pt>
                <c:pt idx="6" formatCode="0.00">
                  <c:v>0</c:v>
                </c:pt>
                <c:pt idx="7" formatCode="0.00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 formatCode="0.00">
                  <c:v>0</c:v>
                </c:pt>
                <c:pt idx="16" formatCode="0.00">
                  <c:v>0</c:v>
                </c:pt>
                <c:pt idx="17" formatCode="0.00">
                  <c:v>0</c:v>
                </c:pt>
                <c:pt idx="18" formatCode="0.00">
                  <c:v>0</c:v>
                </c:pt>
                <c:pt idx="19" formatCode="0.00">
                  <c:v>0</c:v>
                </c:pt>
                <c:pt idx="20" formatCode="0.00">
                  <c:v>0</c:v>
                </c:pt>
                <c:pt idx="21" formatCode="0.00">
                  <c:v>0</c:v>
                </c:pt>
                <c:pt idx="22" formatCode="0.00">
                  <c:v>0</c:v>
                </c:pt>
                <c:pt idx="23" formatCode="0.00">
                  <c:v>0</c:v>
                </c:pt>
                <c:pt idx="24" formatCode="0.00">
                  <c:v>0</c:v>
                </c:pt>
                <c:pt idx="25" formatCode="0.00">
                  <c:v>0</c:v>
                </c:pt>
                <c:pt idx="26" formatCode="0.0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1D0-4CB3-B58C-7D69181018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Blank!$H$4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Blank!$B$7:$B$33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Blank!$H$7:$H$33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457-45FD-9651-5EE2A2EBBC59}"/>
            </c:ext>
          </c:extLst>
        </c:ser>
        <c:ser>
          <c:idx val="1"/>
          <c:order val="1"/>
          <c:tx>
            <c:strRef>
              <c:f>Blank!$I$4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Blank!$I$7:$I$33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457-45FD-9651-5EE2A2EBBC59}"/>
            </c:ext>
          </c:extLst>
        </c:ser>
        <c:ser>
          <c:idx val="2"/>
          <c:order val="2"/>
          <c:tx>
            <c:strRef>
              <c:f>Blank!$J$4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Blank!$J$7:$J$33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457-45FD-9651-5EE2A2EBBC59}"/>
            </c:ext>
          </c:extLst>
        </c:ser>
        <c:ser>
          <c:idx val="3"/>
          <c:order val="3"/>
          <c:tx>
            <c:strRef>
              <c:f>Blank!$K$4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Blank!$K$7:$K$33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457-45FD-9651-5EE2A2EBBC59}"/>
            </c:ext>
          </c:extLst>
        </c:ser>
        <c:ser>
          <c:idx val="4"/>
          <c:order val="4"/>
          <c:tx>
            <c:strRef>
              <c:f>Blank!$L$4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Blank!$L$7:$L$33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457-45FD-9651-5EE2A2EBBC59}"/>
            </c:ext>
          </c:extLst>
        </c:ser>
        <c:ser>
          <c:idx val="6"/>
          <c:order val="5"/>
          <c:tx>
            <c:strRef>
              <c:f>Blank!$N$4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Blank!$N$7:$N$33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457-45FD-9651-5EE2A2EBBC59}"/>
            </c:ext>
          </c:extLst>
        </c:ser>
        <c:ser>
          <c:idx val="7"/>
          <c:order val="6"/>
          <c:tx>
            <c:strRef>
              <c:f>Blank!$O$4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Blank!$O$7:$O$33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B457-45FD-9651-5EE2A2EBBC59}"/>
            </c:ext>
          </c:extLst>
        </c:ser>
        <c:ser>
          <c:idx val="5"/>
          <c:order val="7"/>
          <c:tx>
            <c:strRef>
              <c:f>Blank!$M$4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Blank!$M$7:$M$33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B457-45FD-9651-5EE2A2EBBC5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Blank!$H$4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Blank!$B$7:$B$33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Blank!$S$7:$S$33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D67-4D74-B26B-96B0E7779060}"/>
            </c:ext>
          </c:extLst>
        </c:ser>
        <c:ser>
          <c:idx val="1"/>
          <c:order val="1"/>
          <c:tx>
            <c:strRef>
              <c:f>Blank!$I$4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Blank!$T$7:$T$33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D67-4D74-B26B-96B0E7779060}"/>
            </c:ext>
          </c:extLst>
        </c:ser>
        <c:ser>
          <c:idx val="2"/>
          <c:order val="2"/>
          <c:tx>
            <c:strRef>
              <c:f>Blank!$J$4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Blank!$U$7:$U$33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D67-4D74-B26B-96B0E7779060}"/>
            </c:ext>
          </c:extLst>
        </c:ser>
        <c:ser>
          <c:idx val="3"/>
          <c:order val="3"/>
          <c:tx>
            <c:strRef>
              <c:f>Blank!$K$4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Blank!$V$7:$V$33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D67-4D74-B26B-96B0E7779060}"/>
            </c:ext>
          </c:extLst>
        </c:ser>
        <c:ser>
          <c:idx val="4"/>
          <c:order val="4"/>
          <c:tx>
            <c:strRef>
              <c:f>Blank!$L$4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Blank!$W$7:$W$33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D67-4D74-B26B-96B0E7779060}"/>
            </c:ext>
          </c:extLst>
        </c:ser>
        <c:ser>
          <c:idx val="6"/>
          <c:order val="5"/>
          <c:tx>
            <c:strRef>
              <c:f>Blank!$N$4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Blank!$Y$7:$Y$33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4D67-4D74-B26B-96B0E7779060}"/>
            </c:ext>
          </c:extLst>
        </c:ser>
        <c:ser>
          <c:idx val="7"/>
          <c:order val="6"/>
          <c:tx>
            <c:strRef>
              <c:f>Blank!$O$4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Blank!$Z$7:$Z$33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4D67-4D74-B26B-96B0E7779060}"/>
            </c:ext>
          </c:extLst>
        </c:ser>
        <c:ser>
          <c:idx val="5"/>
          <c:order val="7"/>
          <c:tx>
            <c:strRef>
              <c:f>Blank!$M$4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Blank!$X$7:$X$33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4D67-4D74-B26B-96B0E77790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Blank!$H$4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Blank!$B$7:$B$33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Blank!$AD$7:$AD$33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5C6-4D78-927F-0F1E68AF5E5E}"/>
            </c:ext>
          </c:extLst>
        </c:ser>
        <c:ser>
          <c:idx val="1"/>
          <c:order val="1"/>
          <c:tx>
            <c:strRef>
              <c:f>Blank!$I$4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Blank!$AE$7:$AE$33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5C6-4D78-927F-0F1E68AF5E5E}"/>
            </c:ext>
          </c:extLst>
        </c:ser>
        <c:ser>
          <c:idx val="2"/>
          <c:order val="2"/>
          <c:tx>
            <c:strRef>
              <c:f>Blank!$J$4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Blank!$AF$7:$AF$33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5C6-4D78-927F-0F1E68AF5E5E}"/>
            </c:ext>
          </c:extLst>
        </c:ser>
        <c:ser>
          <c:idx val="3"/>
          <c:order val="3"/>
          <c:tx>
            <c:strRef>
              <c:f>Blank!$K$4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Blank!$AG$7:$AG$33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5C6-4D78-927F-0F1E68AF5E5E}"/>
            </c:ext>
          </c:extLst>
        </c:ser>
        <c:ser>
          <c:idx val="4"/>
          <c:order val="4"/>
          <c:tx>
            <c:strRef>
              <c:f>Blank!$L$4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Blank!$AH$7:$AH$33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5C6-4D78-927F-0F1E68AF5E5E}"/>
            </c:ext>
          </c:extLst>
        </c:ser>
        <c:ser>
          <c:idx val="6"/>
          <c:order val="5"/>
          <c:tx>
            <c:strRef>
              <c:f>Blank!$N$4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Blank!$AJ$7:$AJ$33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5C6-4D78-927F-0F1E68AF5E5E}"/>
            </c:ext>
          </c:extLst>
        </c:ser>
        <c:ser>
          <c:idx val="7"/>
          <c:order val="6"/>
          <c:tx>
            <c:strRef>
              <c:f>Blank!$O$4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Blank!$AK$7:$AK$33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B5C6-4D78-927F-0F1E68AF5E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Blank!$H$4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Blank!$AC$15:$AC$21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Blank!$AD$15:$AD$21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E64-4972-998F-56F53D8F3124}"/>
            </c:ext>
          </c:extLst>
        </c:ser>
        <c:ser>
          <c:idx val="1"/>
          <c:order val="1"/>
          <c:tx>
            <c:strRef>
              <c:f>Blank!$I$4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Blank!$AC$15:$AC$21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Blank!$AE$15:$AE$21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E64-4972-998F-56F53D8F3124}"/>
            </c:ext>
          </c:extLst>
        </c:ser>
        <c:ser>
          <c:idx val="2"/>
          <c:order val="2"/>
          <c:tx>
            <c:strRef>
              <c:f>Blank!$J$4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Blank!$AC$15:$AC$21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Blank!$AF$15:$AF$21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E64-4972-998F-56F53D8F3124}"/>
            </c:ext>
          </c:extLst>
        </c:ser>
        <c:ser>
          <c:idx val="3"/>
          <c:order val="3"/>
          <c:tx>
            <c:strRef>
              <c:f>Blank!$K$4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Blank!$AC$15:$AC$21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Blank!$AG$15:$AG$21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DE64-4972-998F-56F53D8F3124}"/>
            </c:ext>
          </c:extLst>
        </c:ser>
        <c:ser>
          <c:idx val="4"/>
          <c:order val="4"/>
          <c:tx>
            <c:strRef>
              <c:f>Blank!$L$4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Blank!$AC$15:$AC$21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Blank!$AH$15:$AH$21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E64-4972-998F-56F53D8F3124}"/>
            </c:ext>
          </c:extLst>
        </c:ser>
        <c:ser>
          <c:idx val="6"/>
          <c:order val="5"/>
          <c:tx>
            <c:strRef>
              <c:f>Blank!$N$4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Blank!$AC$15:$AC$21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Blank!$AJ$15:$AJ$21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DE64-4972-998F-56F53D8F3124}"/>
            </c:ext>
          </c:extLst>
        </c:ser>
        <c:ser>
          <c:idx val="7"/>
          <c:order val="6"/>
          <c:tx>
            <c:strRef>
              <c:f>Blank!$O$4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Blank!$AC$15:$AC$21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Blank!$AK$15:$AK$21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DE64-4972-998F-56F53D8F31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2930454735815426"/>
          <c:y val="3.3977357346377308E-2"/>
        </c:manualLayout>
      </c:layout>
      <c:overlay val="0"/>
      <c:txPr>
        <a:bodyPr/>
        <a:lstStyle/>
        <a:p>
          <a:pPr>
            <a:defRPr sz="1000" b="1"/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MAY190405_2!$D$2</c:f>
              <c:strCache>
                <c:ptCount val="1"/>
                <c:pt idx="0">
                  <c:v>MAY190405_2</c:v>
                </c:pt>
              </c:strCache>
            </c:strRef>
          </c:tx>
          <c:spPr>
            <a:pattFill prst="pct5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MAY190405_2!$B$7:$B$33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MAY190405_2!$D$7:$D$33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2.384630508664999</c:v>
                </c:pt>
                <c:pt idx="8">
                  <c:v>8.2521135859337669</c:v>
                </c:pt>
                <c:pt idx="9">
                  <c:v>9.8924247956632829</c:v>
                </c:pt>
                <c:pt idx="10">
                  <c:v>13.614021290340697</c:v>
                </c:pt>
                <c:pt idx="11">
                  <c:v>11.420385922534612</c:v>
                </c:pt>
                <c:pt idx="12">
                  <c:v>11.302418335533519</c:v>
                </c:pt>
                <c:pt idx="13">
                  <c:v>9.5188607701598151</c:v>
                </c:pt>
                <c:pt idx="14">
                  <c:v>7.6482318905710169</c:v>
                </c:pt>
                <c:pt idx="15">
                  <c:v>4.5248995871134436</c:v>
                </c:pt>
                <c:pt idx="16">
                  <c:v>2.5868606578097344</c:v>
                </c:pt>
                <c:pt idx="17">
                  <c:v>1.3313484818695049</c:v>
                </c:pt>
                <c:pt idx="18">
                  <c:v>0.80330309243603037</c:v>
                </c:pt>
                <c:pt idx="19">
                  <c:v>0.76678931550711982</c:v>
                </c:pt>
                <c:pt idx="20">
                  <c:v>0.73308429064966407</c:v>
                </c:pt>
                <c:pt idx="21">
                  <c:v>0.88756565457966985</c:v>
                </c:pt>
                <c:pt idx="22">
                  <c:v>1.9773614583040746</c:v>
                </c:pt>
                <c:pt idx="23">
                  <c:v>3.5137488413897691</c:v>
                </c:pt>
                <c:pt idx="24">
                  <c:v>8.8419515209392436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908-4191-AC88-4CC7AF472DC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MAY190405_2!$D$2</c:f>
              <c:strCache>
                <c:ptCount val="1"/>
                <c:pt idx="0">
                  <c:v>MAY190405_2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MAY190405_2!$B$7:$B$33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MAY190405_2!$E$7:$E$33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0.00">
                  <c:v>0</c:v>
                </c:pt>
                <c:pt idx="4" formatCode="0.00">
                  <c:v>0</c:v>
                </c:pt>
                <c:pt idx="5" formatCode="0.00">
                  <c:v>0</c:v>
                </c:pt>
                <c:pt idx="6" formatCode="0.00">
                  <c:v>0</c:v>
                </c:pt>
                <c:pt idx="7" formatCode="0.00">
                  <c:v>2.384630508664999</c:v>
                </c:pt>
                <c:pt idx="8" formatCode="0.00">
                  <c:v>10.636744094598766</c:v>
                </c:pt>
                <c:pt idx="9" formatCode="0.00">
                  <c:v>20.529168890262049</c:v>
                </c:pt>
                <c:pt idx="10" formatCode="0.00">
                  <c:v>34.143190180602744</c:v>
                </c:pt>
                <c:pt idx="11" formatCode="0.00">
                  <c:v>45.563576103137358</c:v>
                </c:pt>
                <c:pt idx="12" formatCode="0.00">
                  <c:v>56.865994438670874</c:v>
                </c:pt>
                <c:pt idx="13" formatCode="0.00">
                  <c:v>66.384855208830686</c:v>
                </c:pt>
                <c:pt idx="14" formatCode="0.00">
                  <c:v>74.033087099401698</c:v>
                </c:pt>
                <c:pt idx="15" formatCode="0.00">
                  <c:v>78.557986686515136</c:v>
                </c:pt>
                <c:pt idx="16" formatCode="0.00">
                  <c:v>81.144847344324873</c:v>
                </c:pt>
                <c:pt idx="17" formatCode="0.00">
                  <c:v>82.476195826194385</c:v>
                </c:pt>
                <c:pt idx="18" formatCode="0.00">
                  <c:v>83.279498918630409</c:v>
                </c:pt>
                <c:pt idx="19" formatCode="0.00">
                  <c:v>84.046288234137535</c:v>
                </c:pt>
                <c:pt idx="20" formatCode="0.00">
                  <c:v>84.779372524787192</c:v>
                </c:pt>
                <c:pt idx="21" formatCode="0.00">
                  <c:v>85.666938179366866</c:v>
                </c:pt>
                <c:pt idx="22" formatCode="0.00">
                  <c:v>87.64429963767094</c:v>
                </c:pt>
                <c:pt idx="23" formatCode="0.00">
                  <c:v>91.15804847906071</c:v>
                </c:pt>
                <c:pt idx="24" formatCode="0.00">
                  <c:v>99.999999999999957</c:v>
                </c:pt>
                <c:pt idx="25" formatCode="0.00">
                  <c:v>99.999999999999957</c:v>
                </c:pt>
                <c:pt idx="26" formatCode="0.00">
                  <c:v>99.999999999999957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660-4EDA-88FD-174D4DA9D9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MAY190405_2!$H$37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MAY190405_2!$B$7:$B$33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MAY190405_2!$H$38:$H$52</c:f>
              <c:numCache>
                <c:formatCode>0.00</c:formatCode>
                <c:ptCount val="1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8.3699999999999992</c:v>
                </c:pt>
                <c:pt idx="8">
                  <c:v>29.12</c:v>
                </c:pt>
                <c:pt idx="9">
                  <c:v>32.4</c:v>
                </c:pt>
                <c:pt idx="10">
                  <c:v>42.68</c:v>
                </c:pt>
                <c:pt idx="11">
                  <c:v>27.18</c:v>
                </c:pt>
                <c:pt idx="12">
                  <c:v>24.39</c:v>
                </c:pt>
                <c:pt idx="13">
                  <c:v>13.8</c:v>
                </c:pt>
                <c:pt idx="14">
                  <c:v>12.94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918-4B73-9105-80D03ECAD200}"/>
            </c:ext>
          </c:extLst>
        </c:ser>
        <c:ser>
          <c:idx val="1"/>
          <c:order val="1"/>
          <c:tx>
            <c:strRef>
              <c:f>MAY190405_2!$I$37</c:f>
              <c:strCache>
                <c:ptCount val="1"/>
                <c:pt idx="0">
                  <c:v>Denses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MAY190405_2!$I$38:$I$52</c:f>
              <c:numCache>
                <c:formatCode>0.00</c:formatCode>
                <c:ptCount val="1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2.2200000000000002</c:v>
                </c:pt>
                <c:pt idx="10">
                  <c:v>4.4800000000000004</c:v>
                </c:pt>
                <c:pt idx="11">
                  <c:v>8.67</c:v>
                </c:pt>
                <c:pt idx="12">
                  <c:v>10.73</c:v>
                </c:pt>
                <c:pt idx="13">
                  <c:v>12.89</c:v>
                </c:pt>
                <c:pt idx="14">
                  <c:v>7.54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918-4B73-9105-80D03ECAD200}"/>
            </c:ext>
          </c:extLst>
        </c:ser>
        <c:ser>
          <c:idx val="2"/>
          <c:order val="2"/>
          <c:tx>
            <c:strRef>
              <c:f>MAY190405_2!$J$37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tx1">
                <a:lumMod val="85000"/>
                <a:lumOff val="1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MAY190405_2!$J$7:$J$33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918-4B73-9105-80D03ECAD200}"/>
            </c:ext>
          </c:extLst>
        </c:ser>
        <c:ser>
          <c:idx val="3"/>
          <c:order val="3"/>
          <c:tx>
            <c:strRef>
              <c:f>MAY190405_2!$K$37</c:f>
              <c:strCache>
                <c:ptCount val="1"/>
                <c:pt idx="0">
                  <c:v>Lithics</c:v>
                </c:pt>
              </c:strCache>
            </c:strRef>
          </c:tx>
          <c:spPr>
            <a:pattFill prst="pct8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MAY190405_2!$K$38:$K$52</c:f>
              <c:numCache>
                <c:formatCode>0.00</c:formatCode>
                <c:ptCount val="1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0.99</c:v>
                </c:pt>
                <c:pt idx="12">
                  <c:v>1.02</c:v>
                </c:pt>
                <c:pt idx="13">
                  <c:v>1.79</c:v>
                </c:pt>
                <c:pt idx="14">
                  <c:v>1.97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FAC-4AD3-ADCB-319CC4A48BEF}"/>
            </c:ext>
          </c:extLst>
        </c:ser>
        <c:ser>
          <c:idx val="4"/>
          <c:order val="4"/>
          <c:tx>
            <c:strRef>
              <c:f>MAY190405_2!$L$37</c:f>
              <c:strCache>
                <c:ptCount val="1"/>
                <c:pt idx="0">
                  <c:v>Mixed</c:v>
                </c:pt>
              </c:strCache>
            </c:strRef>
          </c:tx>
          <c:spPr>
            <a:pattFill prst="dkUpDiag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MAY190405_2!$L$38:$L$52</c:f>
              <c:numCache>
                <c:formatCode>0.00</c:formatCode>
                <c:ptCount val="1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2.27</c:v>
                </c:pt>
                <c:pt idx="12">
                  <c:v>3.82</c:v>
                </c:pt>
                <c:pt idx="13">
                  <c:v>5.07</c:v>
                </c:pt>
                <c:pt idx="14">
                  <c:v>4.45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FAC-4AD3-ADCB-319CC4A48B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10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96912583508866"/>
          <c:y val="3.3813652712305978E-2"/>
          <c:w val="0.17569161133370648"/>
          <c:h val="0.43573104006325625"/>
        </c:manualLayout>
      </c:layout>
      <c:overlay val="0"/>
      <c:spPr>
        <a:ln>
          <a:noFill/>
        </a:ln>
      </c:spPr>
      <c:txPr>
        <a:bodyPr/>
        <a:lstStyle/>
        <a:p>
          <a:pPr>
            <a:defRPr sz="1200"/>
          </a:pPr>
          <a:endParaRPr lang="fr-FR"/>
        </a:p>
      </c:tx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MAY190405_2!$H$4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MAY190405_2!$B$7:$B$33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MAY190405_2!$AD$7:$AD$33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100</c:v>
                </c:pt>
                <c:pt idx="8" formatCode="0.00">
                  <c:v>100</c:v>
                </c:pt>
                <c:pt idx="9" formatCode="0.00">
                  <c:v>93.587521663778162</c:v>
                </c:pt>
                <c:pt idx="10" formatCode="0.00">
                  <c:v>90.500424088210337</c:v>
                </c:pt>
                <c:pt idx="11" formatCode="0.00">
                  <c:v>73.778501628664486</c:v>
                </c:pt>
                <c:pt idx="12" formatCode="0.00">
                  <c:v>67.487548422800216</c:v>
                </c:pt>
                <c:pt idx="13" formatCode="0.00">
                  <c:v>48.455056179775276</c:v>
                </c:pt>
                <c:pt idx="14" formatCode="0.00">
                  <c:v>57.639198218262806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38B-4DDF-8708-6740012AE23A}"/>
            </c:ext>
          </c:extLst>
        </c:ser>
        <c:ser>
          <c:idx val="1"/>
          <c:order val="1"/>
          <c:tx>
            <c:strRef>
              <c:f>MAY190405_2!$I$4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MAY190405_2!$AE$7:$AE$33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6.412478336221838</c:v>
                </c:pt>
                <c:pt idx="10" formatCode="0.00">
                  <c:v>9.4995759117896519</c:v>
                </c:pt>
                <c:pt idx="11" formatCode="0.00">
                  <c:v>23.534201954397385</c:v>
                </c:pt>
                <c:pt idx="12" formatCode="0.00">
                  <c:v>29.690094078583289</c:v>
                </c:pt>
                <c:pt idx="13" formatCode="0.00">
                  <c:v>45.25983146067415</c:v>
                </c:pt>
                <c:pt idx="14" formatCode="0.00">
                  <c:v>33.585746102449896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38B-4DDF-8708-6740012AE23A}"/>
            </c:ext>
          </c:extLst>
        </c:ser>
        <c:ser>
          <c:idx val="2"/>
          <c:order val="2"/>
          <c:tx>
            <c:strRef>
              <c:f>MAY190405_2!$J$4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MAY190405_2!$AF$7:$AF$33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38B-4DDF-8708-6740012AE23A}"/>
            </c:ext>
          </c:extLst>
        </c:ser>
        <c:ser>
          <c:idx val="3"/>
          <c:order val="3"/>
          <c:tx>
            <c:strRef>
              <c:f>MAY190405_2!$K$4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MAY190405_2!$AG$7:$AG$33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2.6872964169381106</c:v>
                </c:pt>
                <c:pt idx="12" formatCode="0.00">
                  <c:v>2.822357498616491</c:v>
                </c:pt>
                <c:pt idx="13" formatCode="0.00">
                  <c:v>6.2851123595505607</c:v>
                </c:pt>
                <c:pt idx="14" formatCode="0.00">
                  <c:v>8.7750556792873056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038B-4DDF-8708-6740012AE23A}"/>
            </c:ext>
          </c:extLst>
        </c:ser>
        <c:ser>
          <c:idx val="4"/>
          <c:order val="4"/>
          <c:tx>
            <c:strRef>
              <c:f>MAY190405_2!$L$4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MAY190405_2!$AH$7:$AH$33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38B-4DDF-8708-6740012AE23A}"/>
            </c:ext>
          </c:extLst>
        </c:ser>
        <c:ser>
          <c:idx val="6"/>
          <c:order val="5"/>
          <c:tx>
            <c:strRef>
              <c:f>MAY190405_2!$N$4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MAY190405_2!$AJ$7:$AJ$33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038B-4DDF-8708-6740012AE23A}"/>
            </c:ext>
          </c:extLst>
        </c:ser>
        <c:ser>
          <c:idx val="7"/>
          <c:order val="6"/>
          <c:tx>
            <c:strRef>
              <c:f>MAY190405_2!$O$4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MAY190405_2!$AK$7:$AK$33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038B-4DDF-8708-6740012AE23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MAY190405_2!$H$4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MAY190405_2!$AC$15:$AC$21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MAY190405_2!$AD$15:$AD$21</c:f>
              <c:numCache>
                <c:formatCode>0.00</c:formatCode>
                <c:ptCount val="7"/>
                <c:pt idx="0">
                  <c:v>100</c:v>
                </c:pt>
                <c:pt idx="1">
                  <c:v>93.587521663778162</c:v>
                </c:pt>
                <c:pt idx="2">
                  <c:v>90.500424088210337</c:v>
                </c:pt>
                <c:pt idx="3">
                  <c:v>73.778501628664486</c:v>
                </c:pt>
                <c:pt idx="4">
                  <c:v>67.487548422800216</c:v>
                </c:pt>
                <c:pt idx="5">
                  <c:v>48.455056179775276</c:v>
                </c:pt>
                <c:pt idx="6">
                  <c:v>57.639198218262806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3C5-4ED8-AE1D-AF835D4B9279}"/>
            </c:ext>
          </c:extLst>
        </c:ser>
        <c:ser>
          <c:idx val="1"/>
          <c:order val="1"/>
          <c:tx>
            <c:strRef>
              <c:f>MAY190405_2!$I$4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MAY190405_2!$AC$15:$AC$21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MAY190405_2!$AE$15:$AE$21</c:f>
              <c:numCache>
                <c:formatCode>0.00</c:formatCode>
                <c:ptCount val="7"/>
                <c:pt idx="0">
                  <c:v>0</c:v>
                </c:pt>
                <c:pt idx="1">
                  <c:v>6.412478336221838</c:v>
                </c:pt>
                <c:pt idx="2">
                  <c:v>9.4995759117896519</c:v>
                </c:pt>
                <c:pt idx="3">
                  <c:v>23.534201954397385</c:v>
                </c:pt>
                <c:pt idx="4">
                  <c:v>29.690094078583289</c:v>
                </c:pt>
                <c:pt idx="5">
                  <c:v>45.25983146067415</c:v>
                </c:pt>
                <c:pt idx="6">
                  <c:v>33.585746102449896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3C5-4ED8-AE1D-AF835D4B9279}"/>
            </c:ext>
          </c:extLst>
        </c:ser>
        <c:ser>
          <c:idx val="2"/>
          <c:order val="2"/>
          <c:tx>
            <c:strRef>
              <c:f>MAY190405_2!$J$4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MAY190405_2!$AC$15:$AC$21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MAY190405_2!$AF$15:$AF$21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3C5-4ED8-AE1D-AF835D4B9279}"/>
            </c:ext>
          </c:extLst>
        </c:ser>
        <c:ser>
          <c:idx val="3"/>
          <c:order val="3"/>
          <c:tx>
            <c:strRef>
              <c:f>MAY190405_2!$K$4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MAY190405_2!$AC$15:$AC$21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MAY190405_2!$AG$15:$AG$21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2.6872964169381106</c:v>
                </c:pt>
                <c:pt idx="4">
                  <c:v>2.822357498616491</c:v>
                </c:pt>
                <c:pt idx="5">
                  <c:v>6.2851123595505607</c:v>
                </c:pt>
                <c:pt idx="6">
                  <c:v>8.7750556792873056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3C5-4ED8-AE1D-AF835D4B9279}"/>
            </c:ext>
          </c:extLst>
        </c:ser>
        <c:ser>
          <c:idx val="4"/>
          <c:order val="4"/>
          <c:tx>
            <c:strRef>
              <c:f>MAY190405_2!$L$4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MAY190405_2!$AC$15:$AC$21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MAY190405_2!$AH$15:$AH$21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3C5-4ED8-AE1D-AF835D4B9279}"/>
            </c:ext>
          </c:extLst>
        </c:ser>
        <c:ser>
          <c:idx val="6"/>
          <c:order val="5"/>
          <c:tx>
            <c:strRef>
              <c:f>MAY190405_2!$N$4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MAY190405_2!$AC$15:$AC$21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MAY190405_2!$AJ$15:$AJ$21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3C5-4ED8-AE1D-AF835D4B9279}"/>
            </c:ext>
          </c:extLst>
        </c:ser>
        <c:ser>
          <c:idx val="7"/>
          <c:order val="6"/>
          <c:tx>
            <c:strRef>
              <c:f>MAY190405_2!$O$4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MAY190405_2!$AC$15:$AC$21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MAY190405_2!$AK$15:$AK$21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B3C5-4ED8-AE1D-AF835D4B927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bar"/>
        <c:grouping val="clustered"/>
        <c:varyColors val="0"/>
        <c:ser>
          <c:idx val="2"/>
          <c:order val="0"/>
          <c:tx>
            <c:v>Mixed</c:v>
          </c:tx>
          <c:spPr>
            <a:pattFill prst="wdUpDiag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  <a:effectLst/>
          </c:spPr>
          <c:invertIfNegative val="0"/>
          <c:val>
            <c:numRef>
              <c:f>MAY190405_2!$W$63</c:f>
              <c:numCache>
                <c:formatCode>0.00</c:formatCode>
                <c:ptCount val="1"/>
                <c:pt idx="0">
                  <c:v>4.384461983540711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AAF-46A9-9C31-0D005D5E927A}"/>
            </c:ext>
          </c:extLst>
        </c:ser>
        <c:ser>
          <c:idx val="1"/>
          <c:order val="1"/>
          <c:tx>
            <c:v>Lithics</c:v>
          </c:tx>
          <c:spPr>
            <a:pattFill prst="pct1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  <a:effectLst/>
          </c:spPr>
          <c:invertIfNegative val="0"/>
          <c:val>
            <c:numRef>
              <c:f>MAY190405_2!$V$63</c:f>
              <c:numCache>
                <c:formatCode>0.00</c:formatCode>
                <c:ptCount val="1"/>
                <c:pt idx="0">
                  <c:v>1.6206499452293341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AAF-46A9-9C31-0D005D5E927A}"/>
            </c:ext>
          </c:extLst>
        </c:ser>
        <c:ser>
          <c:idx val="0"/>
          <c:order val="2"/>
          <c:tx>
            <c:v>Juvenile</c:v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  <a:effectLst/>
          </c:spPr>
          <c:invertIfNegative val="0"/>
          <c:val>
            <c:numRef>
              <c:f>MAY190405_2!$S$63</c:f>
              <c:numCache>
                <c:formatCode>0.00</c:formatCode>
                <c:ptCount val="1"/>
                <c:pt idx="0">
                  <c:v>66.682582928404869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AAF-46A9-9C31-0D005D5E92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96906568"/>
        <c:axId val="596908536"/>
      </c:barChart>
      <c:catAx>
        <c:axId val="596906568"/>
        <c:scaling>
          <c:orientation val="minMax"/>
        </c:scaling>
        <c:delete val="1"/>
        <c:axPos val="l"/>
        <c:majorTickMark val="none"/>
        <c:minorTickMark val="none"/>
        <c:tickLblPos val="nextTo"/>
        <c:crossAx val="596908536"/>
        <c:crosses val="autoZero"/>
        <c:auto val="1"/>
        <c:lblAlgn val="ctr"/>
        <c:lblOffset val="100"/>
        <c:noMultiLvlLbl val="0"/>
      </c:catAx>
      <c:valAx>
        <c:axId val="596908536"/>
        <c:scaling>
          <c:orientation val="minMax"/>
        </c:scaling>
        <c:delete val="0"/>
        <c:axPos val="b"/>
        <c:numFmt formatCode="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96906568"/>
        <c:crosses val="autoZero"/>
        <c:crossBetween val="between"/>
      </c:valAx>
      <c:spPr>
        <a:solidFill>
          <a:srgbClr val="FFFFFF"/>
        </a:solidFill>
        <a:ln>
          <a:solidFill>
            <a:schemeClr val="tx1"/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MAY190405_2!$H$37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MAY190405_2!$R$7:$R$31</c:f>
              <c:strCache>
                <c:ptCount val="25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&gt;4.0</c:v>
                </c:pt>
              </c:strCache>
            </c:strRef>
          </c:cat>
          <c:val>
            <c:numRef>
              <c:f>MAY190405_2!$S$38:$S$52</c:f>
              <c:numCache>
                <c:formatCode>0.00</c:formatCode>
                <c:ptCount val="1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2.3509254838075431</c:v>
                </c:pt>
                <c:pt idx="8">
                  <c:v>8.1790860320759453</c:v>
                </c:pt>
                <c:pt idx="9">
                  <c:v>9.1003567115130704</c:v>
                </c:pt>
                <c:pt idx="10">
                  <c:v>11.987753840968454</c:v>
                </c:pt>
                <c:pt idx="11">
                  <c:v>7.6341881302137429</c:v>
                </c:pt>
                <c:pt idx="12">
                  <c:v>6.8505463022778947</c:v>
                </c:pt>
                <c:pt idx="13">
                  <c:v>3.8760778586074194</c:v>
                </c:pt>
                <c:pt idx="14">
                  <c:v>3.6345251804623189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F5A-4FC4-9D5D-D716EB25F005}"/>
            </c:ext>
          </c:extLst>
        </c:ser>
        <c:ser>
          <c:idx val="1"/>
          <c:order val="1"/>
          <c:tx>
            <c:strRef>
              <c:f>MAY190405_2!$I$37</c:f>
              <c:strCache>
                <c:ptCount val="1"/>
                <c:pt idx="0">
                  <c:v>Denses</c:v>
                </c:pt>
              </c:strCache>
            </c:strRef>
          </c:tx>
          <c:spPr>
            <a:solidFill>
              <a:schemeClr val="bg2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MAY190405_2!$R$7:$R$31</c:f>
              <c:strCache>
                <c:ptCount val="25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&gt;4.0</c:v>
                </c:pt>
              </c:strCache>
            </c:strRef>
          </c:cat>
          <c:val>
            <c:numRef>
              <c:f>MAY190405_2!$T$38:$T$52</c:f>
              <c:numCache>
                <c:formatCode>0.00</c:formatCode>
                <c:ptCount val="1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0.62354295986293273</c:v>
                </c:pt>
                <c:pt idx="10">
                  <c:v>1.258320928011684</c:v>
                </c:pt>
                <c:pt idx="11">
                  <c:v>2.4351880459511825</c:v>
                </c:pt>
                <c:pt idx="12">
                  <c:v>3.0137909726708414</c:v>
                </c:pt>
                <c:pt idx="13">
                  <c:v>3.6204814201050461</c:v>
                </c:pt>
                <c:pt idx="14">
                  <c:v>2.1177990618768074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F5A-4FC4-9D5D-D716EB25F005}"/>
            </c:ext>
          </c:extLst>
        </c:ser>
        <c:ser>
          <c:idx val="2"/>
          <c:order val="2"/>
          <c:tx>
            <c:strRef>
              <c:f>MAY190405_2!$J$37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MAY190405_2!$R$7:$R$31</c:f>
              <c:strCache>
                <c:ptCount val="25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&gt;4.0</c:v>
                </c:pt>
              </c:strCache>
            </c:strRef>
          </c:cat>
          <c:val>
            <c:numRef>
              <c:f>MAY190405_2!$U$7:$U$31</c:f>
              <c:numCache>
                <c:formatCode>General</c:formatCode>
                <c:ptCount val="2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F5A-4FC4-9D5D-D716EB25F005}"/>
            </c:ext>
          </c:extLst>
        </c:ser>
        <c:ser>
          <c:idx val="3"/>
          <c:order val="3"/>
          <c:tx>
            <c:strRef>
              <c:f>MAY190405_2!$K$37</c:f>
              <c:strCache>
                <c:ptCount val="1"/>
                <c:pt idx="0">
                  <c:v>Lithics</c:v>
                </c:pt>
              </c:strCache>
            </c:strRef>
          </c:tx>
          <c:spPr>
            <a:pattFill prst="pct1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MAY190405_2!$R$7:$R$31</c:f>
              <c:strCache>
                <c:ptCount val="25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&gt;4.0</c:v>
                </c:pt>
              </c:strCache>
            </c:strRef>
          </c:cat>
          <c:val>
            <c:numRef>
              <c:f>MAY190405_2!$V$38:$V$52</c:f>
              <c:numCache>
                <c:formatCode>0.00</c:formatCode>
                <c:ptCount val="1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0.27806645507401051</c:v>
                </c:pt>
                <c:pt idx="12">
                  <c:v>0.28649271128837445</c:v>
                </c:pt>
                <c:pt idx="13">
                  <c:v>0.50276662079038259</c:v>
                </c:pt>
                <c:pt idx="14">
                  <c:v>0.55332415807656632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F5A-4FC4-9D5D-D716EB25F005}"/>
            </c:ext>
          </c:extLst>
        </c:ser>
        <c:ser>
          <c:idx val="4"/>
          <c:order val="4"/>
          <c:tx>
            <c:strRef>
              <c:f>MAY190405_2!$L$37</c:f>
              <c:strCache>
                <c:ptCount val="1"/>
                <c:pt idx="0">
                  <c:v>Mixed</c:v>
                </c:pt>
              </c:strCache>
            </c:strRef>
          </c:tx>
          <c:spPr>
            <a:pattFill prst="wdUpDiag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MAY190405_2!$R$7:$R$31</c:f>
              <c:strCache>
                <c:ptCount val="25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&gt;4.0</c:v>
                </c:pt>
              </c:strCache>
            </c:strRef>
          </c:cat>
          <c:val>
            <c:numRef>
              <c:f>MAY190405_2!$W$38:$W$52</c:f>
              <c:numCache>
                <c:formatCode>0.00</c:formatCode>
                <c:ptCount val="1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0.6375867202202059</c:v>
                </c:pt>
                <c:pt idx="12">
                  <c:v>1.0729432912956769</c:v>
                </c:pt>
                <c:pt idx="13">
                  <c:v>1.4240373002275084</c:v>
                </c:pt>
                <c:pt idx="14">
                  <c:v>1.2498946717973201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F5A-4FC4-9D5D-D716EB25F005}"/>
            </c:ext>
          </c:extLst>
        </c:ser>
        <c:ser>
          <c:idx val="5"/>
          <c:order val="5"/>
          <c:tx>
            <c:v>Uncounted</c:v>
          </c:tx>
          <c:spPr>
            <a:pattFill prst="ltDnDiag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MAY190405_2!$X$38:$X$62</c:f>
              <c:numCache>
                <c:formatCode>0.00</c:formatCode>
                <c:ptCount val="2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4.5248995871134436</c:v>
                </c:pt>
                <c:pt idx="16">
                  <c:v>2.5868606578097344</c:v>
                </c:pt>
                <c:pt idx="17">
                  <c:v>1.3313484818695049</c:v>
                </c:pt>
                <c:pt idx="18">
                  <c:v>0.80330309243603037</c:v>
                </c:pt>
                <c:pt idx="19">
                  <c:v>0.76678931550711982</c:v>
                </c:pt>
                <c:pt idx="20">
                  <c:v>0.73308429064966407</c:v>
                </c:pt>
                <c:pt idx="21">
                  <c:v>0.88756565457966985</c:v>
                </c:pt>
                <c:pt idx="22">
                  <c:v>1.9773614583040746</c:v>
                </c:pt>
                <c:pt idx="23">
                  <c:v>3.5137488413897691</c:v>
                </c:pt>
                <c:pt idx="24">
                  <c:v>8.8419515209392436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F5A-4FC4-9D5D-D716EB25F0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10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11683684374109968"/>
          <c:y val="5.081081833456149E-2"/>
          <c:w val="0.15905980052615395"/>
          <c:h val="0.3931629102038402"/>
        </c:manualLayout>
      </c:layout>
      <c:overlay val="0"/>
      <c:spPr>
        <a:ln>
          <a:noFill/>
        </a:ln>
      </c:spPr>
      <c:txPr>
        <a:bodyPr/>
        <a:lstStyle/>
        <a:p>
          <a:pPr>
            <a:defRPr sz="1200"/>
          </a:pPr>
          <a:endParaRPr lang="fr-FR"/>
        </a:p>
      </c:tx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'MAY190405_2 aggr'!$D$2</c:f>
              <c:strCache>
                <c:ptCount val="1"/>
                <c:pt idx="0">
                  <c:v>MAY190405_2 aggr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bg1"/>
              </a:solidFill>
            </a:ln>
          </c:spPr>
          <c:invertIfNegative val="0"/>
          <c:cat>
            <c:strRef>
              <c:f>'MAY190405_2 aggr'!$B$7:$B$33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'MAY190405_2 aggr'!$D$7:$D$33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2.4939780271429406</c:v>
                </c:pt>
                <c:pt idx="8">
                  <c:v>8.6305152458727434</c:v>
                </c:pt>
                <c:pt idx="9">
                  <c:v>10.346043123200749</c:v>
                </c:pt>
                <c:pt idx="10">
                  <c:v>14.23829387227542</c:v>
                </c:pt>
                <c:pt idx="11">
                  <c:v>11.277245755243518</c:v>
                </c:pt>
                <c:pt idx="12">
                  <c:v>10.698548851418833</c:v>
                </c:pt>
                <c:pt idx="13">
                  <c:v>8.4660125727043045</c:v>
                </c:pt>
                <c:pt idx="14">
                  <c:v>6.6917337406732846</c:v>
                </c:pt>
                <c:pt idx="15">
                  <c:v>4.7323894013277705</c:v>
                </c:pt>
                <c:pt idx="16">
                  <c:v>2.7054814640737908</c:v>
                </c:pt>
                <c:pt idx="17">
                  <c:v>1.3923976264614297</c:v>
                </c:pt>
                <c:pt idx="18">
                  <c:v>0.84013865225309892</c:v>
                </c:pt>
                <c:pt idx="19">
                  <c:v>0.80195053169613995</c:v>
                </c:pt>
                <c:pt idx="20">
                  <c:v>0.76669995887433151</c:v>
                </c:pt>
                <c:pt idx="21">
                  <c:v>0.92826508430761989</c:v>
                </c:pt>
                <c:pt idx="22">
                  <c:v>2.0680336055460895</c:v>
                </c:pt>
                <c:pt idx="23">
                  <c:v>3.6748722166735202</c:v>
                </c:pt>
                <c:pt idx="24">
                  <c:v>9.2474002702543903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20D-4F14-A99F-14D1E894C2D2}"/>
            </c:ext>
          </c:extLst>
        </c:ser>
        <c:ser>
          <c:idx val="1"/>
          <c:order val="1"/>
          <c:spPr>
            <a:solidFill>
              <a:schemeClr val="bg2">
                <a:lumMod val="75000"/>
              </a:schemeClr>
            </a:solidFill>
            <a:ln>
              <a:solidFill>
                <a:schemeClr val="bg1"/>
              </a:solidFill>
            </a:ln>
          </c:spPr>
          <c:invertIfNegative val="0"/>
          <c:val>
            <c:numRef>
              <c:f>'MAY190405_2 aggr'!$R$7:$R$33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0.6375867202202059</c:v>
                </c:pt>
                <c:pt idx="12">
                  <c:v>1.0729432912956769</c:v>
                </c:pt>
                <c:pt idx="13">
                  <c:v>1.4240373002275084</c:v>
                </c:pt>
                <c:pt idx="14">
                  <c:v>1.2498946717973201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20D-4F14-A99F-14D1E894C2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'MAY190405_2 aggr'!$D$2</c:f>
              <c:strCache>
                <c:ptCount val="1"/>
                <c:pt idx="0">
                  <c:v>MAY190405_2 aggr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'MAY190405_2 aggr'!$B$7:$B$33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'MAY190405_2 aggr'!$E$7:$E$33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0.00">
                  <c:v>0</c:v>
                </c:pt>
                <c:pt idx="4" formatCode="0.00">
                  <c:v>0</c:v>
                </c:pt>
                <c:pt idx="5" formatCode="0.00">
                  <c:v>0</c:v>
                </c:pt>
                <c:pt idx="6" formatCode="0.00">
                  <c:v>0</c:v>
                </c:pt>
                <c:pt idx="7" formatCode="0.00">
                  <c:v>2.4939780271429406</c:v>
                </c:pt>
                <c:pt idx="8" formatCode="0.00">
                  <c:v>11.124493273015684</c:v>
                </c:pt>
                <c:pt idx="9" formatCode="0.00">
                  <c:v>21.470536396216431</c:v>
                </c:pt>
                <c:pt idx="10" formatCode="0.00">
                  <c:v>35.708830268491852</c:v>
                </c:pt>
                <c:pt idx="11" formatCode="0.00">
                  <c:v>46.986076023735372</c:v>
                </c:pt>
                <c:pt idx="12" formatCode="0.00">
                  <c:v>57.684624875154206</c:v>
                </c:pt>
                <c:pt idx="13" formatCode="0.00">
                  <c:v>66.150637447858514</c:v>
                </c:pt>
                <c:pt idx="14" formatCode="0.00">
                  <c:v>72.8423711885318</c:v>
                </c:pt>
                <c:pt idx="15" formatCode="0.00">
                  <c:v>77.574760589859565</c:v>
                </c:pt>
                <c:pt idx="16" formatCode="0.00">
                  <c:v>80.28024205393335</c:v>
                </c:pt>
                <c:pt idx="17" formatCode="0.00">
                  <c:v>81.672639680394781</c:v>
                </c:pt>
                <c:pt idx="18" formatCode="0.00">
                  <c:v>82.512778332647883</c:v>
                </c:pt>
                <c:pt idx="19" formatCode="0.00">
                  <c:v>83.314728864344019</c:v>
                </c:pt>
                <c:pt idx="20" formatCode="0.00">
                  <c:v>84.081428823218346</c:v>
                </c:pt>
                <c:pt idx="21" formatCode="0.00">
                  <c:v>85.009693907525971</c:v>
                </c:pt>
                <c:pt idx="22" formatCode="0.00">
                  <c:v>87.077727513072062</c:v>
                </c:pt>
                <c:pt idx="23" formatCode="0.00">
                  <c:v>90.752599729745583</c:v>
                </c:pt>
                <c:pt idx="24" formatCode="0.00">
                  <c:v>99.999999999999972</c:v>
                </c:pt>
                <c:pt idx="25" formatCode="0.00">
                  <c:v>99.999999999999972</c:v>
                </c:pt>
                <c:pt idx="26" formatCode="0.00">
                  <c:v>99.999999999999972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0EE-4B4A-B72D-398E32F20CE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'MAY190405_2 aggr'!$H$4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'MAY190405_2 aggr'!$B$7:$B$33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'MAY190405_2 aggr'!$H$7:$H$33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8.3699999999999992</c:v>
                </c:pt>
                <c:pt idx="8">
                  <c:v>29.12</c:v>
                </c:pt>
                <c:pt idx="9">
                  <c:v>32.4</c:v>
                </c:pt>
                <c:pt idx="10">
                  <c:v>42.68</c:v>
                </c:pt>
                <c:pt idx="11">
                  <c:v>27.18</c:v>
                </c:pt>
                <c:pt idx="12">
                  <c:v>24.39</c:v>
                </c:pt>
                <c:pt idx="13">
                  <c:v>13.8</c:v>
                </c:pt>
                <c:pt idx="14">
                  <c:v>12.94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94B-461C-A53A-8520FA4A035D}"/>
            </c:ext>
          </c:extLst>
        </c:ser>
        <c:ser>
          <c:idx val="1"/>
          <c:order val="1"/>
          <c:tx>
            <c:strRef>
              <c:f>'MAY190405_2 aggr'!$I$4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'MAY190405_2 aggr'!$I$7:$I$33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2.2200000000000002</c:v>
                </c:pt>
                <c:pt idx="10">
                  <c:v>4.4800000000000004</c:v>
                </c:pt>
                <c:pt idx="11">
                  <c:v>8.67</c:v>
                </c:pt>
                <c:pt idx="12">
                  <c:v>10.73</c:v>
                </c:pt>
                <c:pt idx="13">
                  <c:v>12.89</c:v>
                </c:pt>
                <c:pt idx="14">
                  <c:v>7.54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94B-461C-A53A-8520FA4A035D}"/>
            </c:ext>
          </c:extLst>
        </c:ser>
        <c:ser>
          <c:idx val="2"/>
          <c:order val="2"/>
          <c:tx>
            <c:strRef>
              <c:f>'MAY190405_2 aggr'!$J$4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'MAY190405_2 aggr'!$J$7:$J$33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94B-461C-A53A-8520FA4A035D}"/>
            </c:ext>
          </c:extLst>
        </c:ser>
        <c:ser>
          <c:idx val="3"/>
          <c:order val="3"/>
          <c:tx>
            <c:strRef>
              <c:f>'MAY190405_2 aggr'!$K$4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'MAY190405_2 aggr'!$K$7:$K$33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0.99</c:v>
                </c:pt>
                <c:pt idx="12">
                  <c:v>1.02</c:v>
                </c:pt>
                <c:pt idx="13">
                  <c:v>1.79</c:v>
                </c:pt>
                <c:pt idx="14">
                  <c:v>1.97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94B-461C-A53A-8520FA4A035D}"/>
            </c:ext>
          </c:extLst>
        </c:ser>
        <c:ser>
          <c:idx val="4"/>
          <c:order val="4"/>
          <c:tx>
            <c:strRef>
              <c:f>'MAY190405_2 aggr'!$L$4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'MAY190405_2 aggr'!$L$7:$L$33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94B-461C-A53A-8520FA4A035D}"/>
            </c:ext>
          </c:extLst>
        </c:ser>
        <c:ser>
          <c:idx val="6"/>
          <c:order val="5"/>
          <c:tx>
            <c:strRef>
              <c:f>'MAY190405_2 aggr'!$N$4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'MAY190405_2 aggr'!$N$7:$N$33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694B-461C-A53A-8520FA4A035D}"/>
            </c:ext>
          </c:extLst>
        </c:ser>
        <c:ser>
          <c:idx val="7"/>
          <c:order val="6"/>
          <c:tx>
            <c:strRef>
              <c:f>'MAY190405_2 aggr'!$O$4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'MAY190405_2 aggr'!$O$7:$O$33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694B-461C-A53A-8520FA4A035D}"/>
            </c:ext>
          </c:extLst>
        </c:ser>
        <c:ser>
          <c:idx val="5"/>
          <c:order val="7"/>
          <c:tx>
            <c:strRef>
              <c:f>'MAY190405_2 aggr'!$M$4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'MAY190405_2 aggr'!$M$7:$M$33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2.27</c:v>
                </c:pt>
                <c:pt idx="12">
                  <c:v>3.82</c:v>
                </c:pt>
                <c:pt idx="13">
                  <c:v>5.07</c:v>
                </c:pt>
                <c:pt idx="14">
                  <c:v>4.45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694B-461C-A53A-8520FA4A03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'MAY190405_2 aggr'!$H$4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'MAY190405_2 aggr'!$B$7:$B$33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'MAY190405_2 aggr'!$U$7:$U$33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100</c:v>
                </c:pt>
                <c:pt idx="8" formatCode="0.00">
                  <c:v>100</c:v>
                </c:pt>
                <c:pt idx="9" formatCode="0.00">
                  <c:v>93.587521663778176</c:v>
                </c:pt>
                <c:pt idx="10" formatCode="0.00">
                  <c:v>90.500424088210352</c:v>
                </c:pt>
                <c:pt idx="11" formatCode="0.00">
                  <c:v>69.496292508309878</c:v>
                </c:pt>
                <c:pt idx="12" formatCode="0.00">
                  <c:v>61.036036036036023</c:v>
                </c:pt>
                <c:pt idx="13" formatCode="0.00">
                  <c:v>41.132637853949333</c:v>
                </c:pt>
                <c:pt idx="14" formatCode="0.00">
                  <c:v>48.104089219330859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D2E-4990-B0B2-F08C03513C4B}"/>
            </c:ext>
          </c:extLst>
        </c:ser>
        <c:ser>
          <c:idx val="1"/>
          <c:order val="1"/>
          <c:tx>
            <c:strRef>
              <c:f>'MAY190405_2 aggr'!$I$4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'MAY190405_2 aggr'!$V$7:$V$33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6.412478336221838</c:v>
                </c:pt>
                <c:pt idx="10" formatCode="0.00">
                  <c:v>9.4995759117896537</c:v>
                </c:pt>
                <c:pt idx="11" formatCode="0.00">
                  <c:v>22.168243416006131</c:v>
                </c:pt>
                <c:pt idx="12" formatCode="0.00">
                  <c:v>26.851851851851848</c:v>
                </c:pt>
                <c:pt idx="13" formatCode="0.00">
                  <c:v>38.420268256333834</c:v>
                </c:pt>
                <c:pt idx="14" formatCode="0.00">
                  <c:v>28.029739776951676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D2E-4990-B0B2-F08C03513C4B}"/>
            </c:ext>
          </c:extLst>
        </c:ser>
        <c:ser>
          <c:idx val="2"/>
          <c:order val="2"/>
          <c:tx>
            <c:strRef>
              <c:f>'MAY190405_2 aggr'!$J$4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'MAY190405_2 aggr'!$W$7:$W$33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D2E-4990-B0B2-F08C03513C4B}"/>
            </c:ext>
          </c:extLst>
        </c:ser>
        <c:ser>
          <c:idx val="3"/>
          <c:order val="3"/>
          <c:tx>
            <c:strRef>
              <c:f>'MAY190405_2 aggr'!$K$4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'MAY190405_2 aggr'!$X$7:$X$33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2.5313219125543336</c:v>
                </c:pt>
                <c:pt idx="12" formatCode="0.00">
                  <c:v>2.5525525525525521</c:v>
                </c:pt>
                <c:pt idx="13" formatCode="0.00">
                  <c:v>5.3353204172876305</c:v>
                </c:pt>
                <c:pt idx="14" formatCode="0.00">
                  <c:v>7.3234200743494426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8D2E-4990-B0B2-F08C03513C4B}"/>
            </c:ext>
          </c:extLst>
        </c:ser>
        <c:ser>
          <c:idx val="4"/>
          <c:order val="4"/>
          <c:tx>
            <c:strRef>
              <c:f>'MAY190405_2 aggr'!$L$4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'MAY190405_2 aggr'!$Y$7:$Y$33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8D2E-4990-B0B2-F08C03513C4B}"/>
            </c:ext>
          </c:extLst>
        </c:ser>
        <c:ser>
          <c:idx val="6"/>
          <c:order val="5"/>
          <c:tx>
            <c:strRef>
              <c:f>'MAY190405_2 aggr'!$N$4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'MAY190405_2 aggr'!$AA$7:$AA$33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8D2E-4990-B0B2-F08C03513C4B}"/>
            </c:ext>
          </c:extLst>
        </c:ser>
        <c:ser>
          <c:idx val="7"/>
          <c:order val="6"/>
          <c:tx>
            <c:strRef>
              <c:f>'MAY190405_2 aggr'!$O$4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'MAY190405_2 aggr'!$AB$7:$AB$33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8D2E-4990-B0B2-F08C03513C4B}"/>
            </c:ext>
          </c:extLst>
        </c:ser>
        <c:ser>
          <c:idx val="5"/>
          <c:order val="7"/>
          <c:tx>
            <c:strRef>
              <c:f>'MAY190405_2 aggr'!$M$4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'MAY190405_2 aggr'!$Z$7:$Z$33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5.804142163129633</c:v>
                </c:pt>
                <c:pt idx="12" formatCode="0.00">
                  <c:v>9.5595595595595579</c:v>
                </c:pt>
                <c:pt idx="13" formatCode="0.00">
                  <c:v>15.111773472429212</c:v>
                </c:pt>
                <c:pt idx="14" formatCode="0.00">
                  <c:v>16.542750929368029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8D2E-4990-B0B2-F08C03513C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'MAY190405_2 aggr'!$H$4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'MAY190405_2 aggr'!$B$7:$B$33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'MAY190405_2 aggr'!$AF$7:$AF$33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100</c:v>
                </c:pt>
                <c:pt idx="8" formatCode="0.00">
                  <c:v>100</c:v>
                </c:pt>
                <c:pt idx="9" formatCode="0.00">
                  <c:v>93.587521663778162</c:v>
                </c:pt>
                <c:pt idx="10" formatCode="0.00">
                  <c:v>90.500424088210352</c:v>
                </c:pt>
                <c:pt idx="11" formatCode="0.00">
                  <c:v>73.7785016286645</c:v>
                </c:pt>
                <c:pt idx="12" formatCode="0.00">
                  <c:v>67.487548422800216</c:v>
                </c:pt>
                <c:pt idx="13" formatCode="0.00">
                  <c:v>48.455056179775276</c:v>
                </c:pt>
                <c:pt idx="14" formatCode="0.00">
                  <c:v>57.639198218262813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032-4B29-972E-E4715CB52D9B}"/>
            </c:ext>
          </c:extLst>
        </c:ser>
        <c:ser>
          <c:idx val="1"/>
          <c:order val="1"/>
          <c:tx>
            <c:strRef>
              <c:f>'MAY190405_2 aggr'!$I$4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'MAY190405_2 aggr'!$AG$7:$AG$33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6.412478336221838</c:v>
                </c:pt>
                <c:pt idx="10" formatCode="0.00">
                  <c:v>9.4995759117896537</c:v>
                </c:pt>
                <c:pt idx="11" formatCode="0.00">
                  <c:v>23.534201954397393</c:v>
                </c:pt>
                <c:pt idx="12" formatCode="0.00">
                  <c:v>29.690094078583286</c:v>
                </c:pt>
                <c:pt idx="13" formatCode="0.00">
                  <c:v>45.25983146067415</c:v>
                </c:pt>
                <c:pt idx="14" formatCode="0.00">
                  <c:v>33.585746102449889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032-4B29-972E-E4715CB52D9B}"/>
            </c:ext>
          </c:extLst>
        </c:ser>
        <c:ser>
          <c:idx val="2"/>
          <c:order val="2"/>
          <c:tx>
            <c:strRef>
              <c:f>'MAY190405_2 aggr'!$J$4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'MAY190405_2 aggr'!$AH$7:$AH$33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032-4B29-972E-E4715CB52D9B}"/>
            </c:ext>
          </c:extLst>
        </c:ser>
        <c:ser>
          <c:idx val="3"/>
          <c:order val="3"/>
          <c:tx>
            <c:strRef>
              <c:f>'MAY190405_2 aggr'!$K$4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'MAY190405_2 aggr'!$AI$7:$AI$33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2.6872964169381111</c:v>
                </c:pt>
                <c:pt idx="12" formatCode="0.00">
                  <c:v>2.8223574986164914</c:v>
                </c:pt>
                <c:pt idx="13" formatCode="0.00">
                  <c:v>6.2851123595505607</c:v>
                </c:pt>
                <c:pt idx="14" formatCode="0.00">
                  <c:v>8.7750556792873038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032-4B29-972E-E4715CB52D9B}"/>
            </c:ext>
          </c:extLst>
        </c:ser>
        <c:ser>
          <c:idx val="4"/>
          <c:order val="4"/>
          <c:tx>
            <c:strRef>
              <c:f>'MAY190405_2 aggr'!$L$4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'MAY190405_2 aggr'!$AJ$7:$AJ$33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032-4B29-972E-E4715CB52D9B}"/>
            </c:ext>
          </c:extLst>
        </c:ser>
        <c:ser>
          <c:idx val="6"/>
          <c:order val="5"/>
          <c:tx>
            <c:strRef>
              <c:f>'MAY190405_2 aggr'!$N$4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'MAY190405_2 aggr'!$AL$7:$AL$33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6032-4B29-972E-E4715CB52D9B}"/>
            </c:ext>
          </c:extLst>
        </c:ser>
        <c:ser>
          <c:idx val="7"/>
          <c:order val="6"/>
          <c:tx>
            <c:strRef>
              <c:f>'MAY190405_2 aggr'!$O$4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'MAY190405_2 aggr'!$AM$7:$AM$33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6032-4B29-972E-E4715CB52D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'MAY190405_2 aggr'!$H$4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'MAY190405_2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'MAY190405_2 aggr'!$AF$15:$AF$21</c:f>
              <c:numCache>
                <c:formatCode>0.00</c:formatCode>
                <c:ptCount val="7"/>
                <c:pt idx="0">
                  <c:v>100</c:v>
                </c:pt>
                <c:pt idx="1">
                  <c:v>93.587521663778162</c:v>
                </c:pt>
                <c:pt idx="2">
                  <c:v>90.500424088210352</c:v>
                </c:pt>
                <c:pt idx="3">
                  <c:v>73.7785016286645</c:v>
                </c:pt>
                <c:pt idx="4">
                  <c:v>67.487548422800216</c:v>
                </c:pt>
                <c:pt idx="5">
                  <c:v>48.455056179775276</c:v>
                </c:pt>
                <c:pt idx="6">
                  <c:v>57.639198218262813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7B1-4DD0-9844-5D0117D6B4DE}"/>
            </c:ext>
          </c:extLst>
        </c:ser>
        <c:ser>
          <c:idx val="1"/>
          <c:order val="1"/>
          <c:tx>
            <c:strRef>
              <c:f>'MAY190405_2 aggr'!$I$4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'MAY190405_2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'MAY190405_2 aggr'!$AG$15:$AG$21</c:f>
              <c:numCache>
                <c:formatCode>0.00</c:formatCode>
                <c:ptCount val="7"/>
                <c:pt idx="0">
                  <c:v>0</c:v>
                </c:pt>
                <c:pt idx="1">
                  <c:v>6.412478336221838</c:v>
                </c:pt>
                <c:pt idx="2">
                  <c:v>9.4995759117896537</c:v>
                </c:pt>
                <c:pt idx="3">
                  <c:v>23.534201954397393</c:v>
                </c:pt>
                <c:pt idx="4">
                  <c:v>29.690094078583286</c:v>
                </c:pt>
                <c:pt idx="5">
                  <c:v>45.25983146067415</c:v>
                </c:pt>
                <c:pt idx="6">
                  <c:v>33.585746102449889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7B1-4DD0-9844-5D0117D6B4DE}"/>
            </c:ext>
          </c:extLst>
        </c:ser>
        <c:ser>
          <c:idx val="2"/>
          <c:order val="2"/>
          <c:tx>
            <c:strRef>
              <c:f>'MAY190405_2 aggr'!$J$4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'MAY190405_2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'MAY190405_2 aggr'!$AH$15:$AH$21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7B1-4DD0-9844-5D0117D6B4DE}"/>
            </c:ext>
          </c:extLst>
        </c:ser>
        <c:ser>
          <c:idx val="3"/>
          <c:order val="3"/>
          <c:tx>
            <c:strRef>
              <c:f>'MAY190405_2 aggr'!$K$4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'MAY190405_2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'MAY190405_2 aggr'!$AI$15:$AI$21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2.6872964169381111</c:v>
                </c:pt>
                <c:pt idx="4">
                  <c:v>2.8223574986164914</c:v>
                </c:pt>
                <c:pt idx="5">
                  <c:v>6.2851123595505607</c:v>
                </c:pt>
                <c:pt idx="6">
                  <c:v>8.7750556792873038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7B1-4DD0-9844-5D0117D6B4DE}"/>
            </c:ext>
          </c:extLst>
        </c:ser>
        <c:ser>
          <c:idx val="4"/>
          <c:order val="4"/>
          <c:tx>
            <c:strRef>
              <c:f>'MAY190405_2 aggr'!$L$4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'MAY190405_2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'MAY190405_2 aggr'!$AJ$15:$AJ$21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E7B1-4DD0-9844-5D0117D6B4DE}"/>
            </c:ext>
          </c:extLst>
        </c:ser>
        <c:ser>
          <c:idx val="6"/>
          <c:order val="5"/>
          <c:tx>
            <c:strRef>
              <c:f>'MAY190405_2 aggr'!$N$4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'MAY190405_2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'MAY190405_2 aggr'!$AL$15:$AL$21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7B1-4DD0-9844-5D0117D6B4DE}"/>
            </c:ext>
          </c:extLst>
        </c:ser>
        <c:ser>
          <c:idx val="7"/>
          <c:order val="6"/>
          <c:tx>
            <c:strRef>
              <c:f>'MAY190405_2 aggr'!$O$4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'MAY190405_2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'MAY190405_2 aggr'!$AM$15:$AM$21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E7B1-4DD0-9844-5D0117D6B4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2930454735815426"/>
          <c:y val="3.3977357346377308E-2"/>
        </c:manualLayout>
      </c:layout>
      <c:overlay val="0"/>
      <c:txPr>
        <a:bodyPr/>
        <a:lstStyle/>
        <a:p>
          <a:pPr>
            <a:defRPr sz="1000" b="1"/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MAY190405_2_no_aggr!$D$2</c:f>
              <c:strCache>
                <c:ptCount val="1"/>
                <c:pt idx="0">
                  <c:v>MAY190405_2_no_aggr</c:v>
                </c:pt>
              </c:strCache>
            </c:strRef>
          </c:tx>
          <c:spPr>
            <a:pattFill prst="pct5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MAY190405_2_no_aggr!$B$7:$B$33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MAY190405_2_no_aggr!$D$7:$D$33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2.4939780271429406</c:v>
                </c:pt>
                <c:pt idx="8">
                  <c:v>8.6305152458727434</c:v>
                </c:pt>
                <c:pt idx="9">
                  <c:v>10.346043123200749</c:v>
                </c:pt>
                <c:pt idx="10">
                  <c:v>14.23829387227542</c:v>
                </c:pt>
                <c:pt idx="11">
                  <c:v>11.277245755243518</c:v>
                </c:pt>
                <c:pt idx="12">
                  <c:v>10.698548851418833</c:v>
                </c:pt>
                <c:pt idx="13">
                  <c:v>8.4660125727043045</c:v>
                </c:pt>
                <c:pt idx="14">
                  <c:v>6.6917337406732846</c:v>
                </c:pt>
                <c:pt idx="15">
                  <c:v>4.7323894013277705</c:v>
                </c:pt>
                <c:pt idx="16">
                  <c:v>2.7054814640737908</c:v>
                </c:pt>
                <c:pt idx="17">
                  <c:v>1.3923976264614297</c:v>
                </c:pt>
                <c:pt idx="18">
                  <c:v>0.84013865225309892</c:v>
                </c:pt>
                <c:pt idx="19">
                  <c:v>0.80195053169613995</c:v>
                </c:pt>
                <c:pt idx="20">
                  <c:v>0.76669995887433151</c:v>
                </c:pt>
                <c:pt idx="21">
                  <c:v>0.92826508430761989</c:v>
                </c:pt>
                <c:pt idx="22">
                  <c:v>2.0680336055460895</c:v>
                </c:pt>
                <c:pt idx="23">
                  <c:v>3.6748722166735202</c:v>
                </c:pt>
                <c:pt idx="24">
                  <c:v>9.2474002702543903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603-41D4-A5A0-83869821DA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MAY190405_2_no_aggr!$D$2</c:f>
              <c:strCache>
                <c:ptCount val="1"/>
                <c:pt idx="0">
                  <c:v>MAY190405_2_no_aggr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MAY190405_2_no_aggr!$B$7:$B$33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MAY190405_2_no_aggr!$E$7:$E$33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0.00">
                  <c:v>0</c:v>
                </c:pt>
                <c:pt idx="4" formatCode="0.00">
                  <c:v>0</c:v>
                </c:pt>
                <c:pt idx="5" formatCode="0.00">
                  <c:v>0</c:v>
                </c:pt>
                <c:pt idx="6" formatCode="0.00">
                  <c:v>0</c:v>
                </c:pt>
                <c:pt idx="7" formatCode="0.00">
                  <c:v>2.4939780271429406</c:v>
                </c:pt>
                <c:pt idx="8" formatCode="0.00">
                  <c:v>11.124493273015684</c:v>
                </c:pt>
                <c:pt idx="9" formatCode="0.00">
                  <c:v>21.470536396216431</c:v>
                </c:pt>
                <c:pt idx="10" formatCode="0.00">
                  <c:v>35.708830268491852</c:v>
                </c:pt>
                <c:pt idx="11" formatCode="0.00">
                  <c:v>46.986076023735372</c:v>
                </c:pt>
                <c:pt idx="12" formatCode="0.00">
                  <c:v>57.684624875154206</c:v>
                </c:pt>
                <c:pt idx="13" formatCode="0.00">
                  <c:v>66.150637447858514</c:v>
                </c:pt>
                <c:pt idx="14" formatCode="0.00">
                  <c:v>72.8423711885318</c:v>
                </c:pt>
                <c:pt idx="15" formatCode="0.00">
                  <c:v>77.574760589859565</c:v>
                </c:pt>
                <c:pt idx="16" formatCode="0.00">
                  <c:v>80.28024205393335</c:v>
                </c:pt>
                <c:pt idx="17" formatCode="0.00">
                  <c:v>81.672639680394781</c:v>
                </c:pt>
                <c:pt idx="18" formatCode="0.00">
                  <c:v>82.512778332647883</c:v>
                </c:pt>
                <c:pt idx="19" formatCode="0.00">
                  <c:v>83.314728864344019</c:v>
                </c:pt>
                <c:pt idx="20" formatCode="0.00">
                  <c:v>84.081428823218346</c:v>
                </c:pt>
                <c:pt idx="21" formatCode="0.00">
                  <c:v>85.009693907525971</c:v>
                </c:pt>
                <c:pt idx="22" formatCode="0.00">
                  <c:v>87.077727513072062</c:v>
                </c:pt>
                <c:pt idx="23" formatCode="0.00">
                  <c:v>90.752599729745583</c:v>
                </c:pt>
                <c:pt idx="24" formatCode="0.00">
                  <c:v>99.999999999999972</c:v>
                </c:pt>
                <c:pt idx="25" formatCode="0.00">
                  <c:v>99.999999999999972</c:v>
                </c:pt>
                <c:pt idx="26" formatCode="0.00">
                  <c:v>99.999999999999972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162-4207-9A52-34889094FC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MAY190405_2_no_aggr!$H$4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MAY190405_2_no_aggr!$B$7:$B$33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MAY190405_2_no_aggr!$H$7:$H$33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8.3699999999999992</c:v>
                </c:pt>
                <c:pt idx="8">
                  <c:v>29.12</c:v>
                </c:pt>
                <c:pt idx="9">
                  <c:v>32.4</c:v>
                </c:pt>
                <c:pt idx="10">
                  <c:v>42.68</c:v>
                </c:pt>
                <c:pt idx="11">
                  <c:v>27.18</c:v>
                </c:pt>
                <c:pt idx="12">
                  <c:v>24.39</c:v>
                </c:pt>
                <c:pt idx="13">
                  <c:v>13.8</c:v>
                </c:pt>
                <c:pt idx="14">
                  <c:v>12.94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38E-432B-A2BB-94796EFD9151}"/>
            </c:ext>
          </c:extLst>
        </c:ser>
        <c:ser>
          <c:idx val="1"/>
          <c:order val="1"/>
          <c:tx>
            <c:strRef>
              <c:f>MAY190405_2_no_aggr!$I$4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MAY190405_2_no_aggr!$I$7:$I$33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2.2200000000000002</c:v>
                </c:pt>
                <c:pt idx="10">
                  <c:v>4.4800000000000004</c:v>
                </c:pt>
                <c:pt idx="11">
                  <c:v>8.67</c:v>
                </c:pt>
                <c:pt idx="12">
                  <c:v>10.73</c:v>
                </c:pt>
                <c:pt idx="13">
                  <c:v>12.89</c:v>
                </c:pt>
                <c:pt idx="14">
                  <c:v>7.54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38E-432B-A2BB-94796EFD9151}"/>
            </c:ext>
          </c:extLst>
        </c:ser>
        <c:ser>
          <c:idx val="2"/>
          <c:order val="2"/>
          <c:tx>
            <c:strRef>
              <c:f>MAY190405_2_no_aggr!$J$4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MAY190405_2_no_aggr!$J$7:$J$33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38E-432B-A2BB-94796EFD9151}"/>
            </c:ext>
          </c:extLst>
        </c:ser>
        <c:ser>
          <c:idx val="3"/>
          <c:order val="3"/>
          <c:tx>
            <c:strRef>
              <c:f>MAY190405_2_no_aggr!$K$4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MAY190405_2_no_aggr!$K$7:$K$33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0.99</c:v>
                </c:pt>
                <c:pt idx="12">
                  <c:v>1.02</c:v>
                </c:pt>
                <c:pt idx="13">
                  <c:v>1.79</c:v>
                </c:pt>
                <c:pt idx="14">
                  <c:v>1.97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38E-432B-A2BB-94796EFD9151}"/>
            </c:ext>
          </c:extLst>
        </c:ser>
        <c:ser>
          <c:idx val="4"/>
          <c:order val="4"/>
          <c:tx>
            <c:strRef>
              <c:f>MAY190405_2_no_aggr!$L$4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MAY190405_2_no_aggr!$L$7:$L$33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738E-432B-A2BB-94796EFD9151}"/>
            </c:ext>
          </c:extLst>
        </c:ser>
        <c:ser>
          <c:idx val="6"/>
          <c:order val="5"/>
          <c:tx>
            <c:strRef>
              <c:f>MAY190405_2_no_aggr!$N$4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MAY190405_2_no_aggr!$N$7:$N$33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738E-432B-A2BB-94796EFD9151}"/>
            </c:ext>
          </c:extLst>
        </c:ser>
        <c:ser>
          <c:idx val="7"/>
          <c:order val="6"/>
          <c:tx>
            <c:strRef>
              <c:f>MAY190405_2_no_aggr!$O$4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MAY190405_2_no_aggr!$O$7:$O$33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738E-432B-A2BB-94796EFD9151}"/>
            </c:ext>
          </c:extLst>
        </c:ser>
        <c:ser>
          <c:idx val="5"/>
          <c:order val="7"/>
          <c:tx>
            <c:strRef>
              <c:f>MAY190405_2_no_aggr!$M$4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MAY190405_2_no_aggr!$M$7:$M$33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738E-432B-A2BB-94796EFD91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MAY190405_2_no_aggr!$H$4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MAY190405_2_no_aggr!$B$7:$B$33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MAY190405_2_no_aggr!$S$7:$S$33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100</c:v>
                </c:pt>
                <c:pt idx="8" formatCode="0.00">
                  <c:v>100</c:v>
                </c:pt>
                <c:pt idx="9" formatCode="0.00">
                  <c:v>93.587521663778176</c:v>
                </c:pt>
                <c:pt idx="10" formatCode="0.00">
                  <c:v>90.500424088210352</c:v>
                </c:pt>
                <c:pt idx="11" formatCode="0.00">
                  <c:v>73.778501628664486</c:v>
                </c:pt>
                <c:pt idx="12" formatCode="0.00">
                  <c:v>67.487548422800202</c:v>
                </c:pt>
                <c:pt idx="13" formatCode="0.00">
                  <c:v>48.455056179775283</c:v>
                </c:pt>
                <c:pt idx="14" formatCode="0.00">
                  <c:v>57.639198218262806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1C5-4CCD-8BBA-2113C100C294}"/>
            </c:ext>
          </c:extLst>
        </c:ser>
        <c:ser>
          <c:idx val="1"/>
          <c:order val="1"/>
          <c:tx>
            <c:strRef>
              <c:f>MAY190405_2_no_aggr!$I$4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MAY190405_2_no_aggr!$T$7:$T$33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6.412478336221838</c:v>
                </c:pt>
                <c:pt idx="10" formatCode="0.00">
                  <c:v>9.4995759117896537</c:v>
                </c:pt>
                <c:pt idx="11" formatCode="0.00">
                  <c:v>23.534201954397393</c:v>
                </c:pt>
                <c:pt idx="12" formatCode="0.00">
                  <c:v>29.690094078583282</c:v>
                </c:pt>
                <c:pt idx="13" formatCode="0.00">
                  <c:v>45.259831460674157</c:v>
                </c:pt>
                <c:pt idx="14" formatCode="0.00">
                  <c:v>33.585746102449889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1C5-4CCD-8BBA-2113C100C294}"/>
            </c:ext>
          </c:extLst>
        </c:ser>
        <c:ser>
          <c:idx val="2"/>
          <c:order val="2"/>
          <c:tx>
            <c:strRef>
              <c:f>MAY190405_2_no_aggr!$J$4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MAY190405_2_no_aggr!$U$7:$U$33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1C5-4CCD-8BBA-2113C100C294}"/>
            </c:ext>
          </c:extLst>
        </c:ser>
        <c:ser>
          <c:idx val="3"/>
          <c:order val="3"/>
          <c:tx>
            <c:strRef>
              <c:f>MAY190405_2_no_aggr!$K$4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MAY190405_2_no_aggr!$V$7:$V$33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2.6872964169381106</c:v>
                </c:pt>
                <c:pt idx="12" formatCode="0.00">
                  <c:v>2.822357498616491</c:v>
                </c:pt>
                <c:pt idx="13" formatCode="0.00">
                  <c:v>6.2851123595505616</c:v>
                </c:pt>
                <c:pt idx="14" formatCode="0.00">
                  <c:v>8.7750556792873056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1C5-4CCD-8BBA-2113C100C294}"/>
            </c:ext>
          </c:extLst>
        </c:ser>
        <c:ser>
          <c:idx val="4"/>
          <c:order val="4"/>
          <c:tx>
            <c:strRef>
              <c:f>MAY190405_2_no_aggr!$L$4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MAY190405_2_no_aggr!$W$7:$W$33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1C5-4CCD-8BBA-2113C100C294}"/>
            </c:ext>
          </c:extLst>
        </c:ser>
        <c:ser>
          <c:idx val="6"/>
          <c:order val="5"/>
          <c:tx>
            <c:strRef>
              <c:f>MAY190405_2_no_aggr!$N$4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MAY190405_2_no_aggr!$Y$7:$Y$33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61C5-4CCD-8BBA-2113C100C294}"/>
            </c:ext>
          </c:extLst>
        </c:ser>
        <c:ser>
          <c:idx val="7"/>
          <c:order val="6"/>
          <c:tx>
            <c:strRef>
              <c:f>MAY190405_2_no_aggr!$O$4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MAY190405_2_no_aggr!$Z$7:$Z$33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61C5-4CCD-8BBA-2113C100C294}"/>
            </c:ext>
          </c:extLst>
        </c:ser>
        <c:ser>
          <c:idx val="5"/>
          <c:order val="7"/>
          <c:tx>
            <c:strRef>
              <c:f>MAY190405_2_no_aggr!$M$4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MAY190405_2_no_aggr!$X$7:$X$33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61C5-4CCD-8BBA-2113C100C2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MAY190405_2_no_aggr!$H$4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MAY190405_2_no_aggr!$B$7:$B$33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MAY190405_2_no_aggr!$AD$7:$AD$33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100</c:v>
                </c:pt>
                <c:pt idx="8" formatCode="0.00">
                  <c:v>100</c:v>
                </c:pt>
                <c:pt idx="9" formatCode="0.00">
                  <c:v>93.587521663778162</c:v>
                </c:pt>
                <c:pt idx="10" formatCode="0.00">
                  <c:v>90.500424088210352</c:v>
                </c:pt>
                <c:pt idx="11" formatCode="0.00">
                  <c:v>73.7785016286645</c:v>
                </c:pt>
                <c:pt idx="12" formatCode="0.00">
                  <c:v>67.487548422800216</c:v>
                </c:pt>
                <c:pt idx="13" formatCode="0.00">
                  <c:v>48.455056179775283</c:v>
                </c:pt>
                <c:pt idx="14" formatCode="0.00">
                  <c:v>57.639198218262806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BF6-4650-9A92-449ED80FA3B5}"/>
            </c:ext>
          </c:extLst>
        </c:ser>
        <c:ser>
          <c:idx val="1"/>
          <c:order val="1"/>
          <c:tx>
            <c:strRef>
              <c:f>MAY190405_2_no_aggr!$I$4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MAY190405_2_no_aggr!$AE$7:$AE$33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6.412478336221838</c:v>
                </c:pt>
                <c:pt idx="10" formatCode="0.00">
                  <c:v>9.4995759117896537</c:v>
                </c:pt>
                <c:pt idx="11" formatCode="0.00">
                  <c:v>23.5342019543974</c:v>
                </c:pt>
                <c:pt idx="12" formatCode="0.00">
                  <c:v>29.690094078583289</c:v>
                </c:pt>
                <c:pt idx="13" formatCode="0.00">
                  <c:v>45.259831460674157</c:v>
                </c:pt>
                <c:pt idx="14" formatCode="0.00">
                  <c:v>33.585746102449889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BF6-4650-9A92-449ED80FA3B5}"/>
            </c:ext>
          </c:extLst>
        </c:ser>
        <c:ser>
          <c:idx val="2"/>
          <c:order val="2"/>
          <c:tx>
            <c:strRef>
              <c:f>MAY190405_2_no_aggr!$J$4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MAY190405_2_no_aggr!$AF$7:$AF$33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BF6-4650-9A92-449ED80FA3B5}"/>
            </c:ext>
          </c:extLst>
        </c:ser>
        <c:ser>
          <c:idx val="3"/>
          <c:order val="3"/>
          <c:tx>
            <c:strRef>
              <c:f>MAY190405_2_no_aggr!$K$4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MAY190405_2_no_aggr!$AG$7:$AG$33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2.6872964169381111</c:v>
                </c:pt>
                <c:pt idx="12" formatCode="0.00">
                  <c:v>2.8223574986164914</c:v>
                </c:pt>
                <c:pt idx="13" formatCode="0.00">
                  <c:v>6.2851123595505616</c:v>
                </c:pt>
                <c:pt idx="14" formatCode="0.00">
                  <c:v>8.7750556792873056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BF6-4650-9A92-449ED80FA3B5}"/>
            </c:ext>
          </c:extLst>
        </c:ser>
        <c:ser>
          <c:idx val="4"/>
          <c:order val="4"/>
          <c:tx>
            <c:strRef>
              <c:f>MAY190405_2_no_aggr!$L$4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MAY190405_2_no_aggr!$AH$7:$AH$33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BF6-4650-9A92-449ED80FA3B5}"/>
            </c:ext>
          </c:extLst>
        </c:ser>
        <c:ser>
          <c:idx val="6"/>
          <c:order val="5"/>
          <c:tx>
            <c:strRef>
              <c:f>MAY190405_2_no_aggr!$N$4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MAY190405_2_no_aggr!$AJ$7:$AJ$33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4BF6-4650-9A92-449ED80FA3B5}"/>
            </c:ext>
          </c:extLst>
        </c:ser>
        <c:ser>
          <c:idx val="7"/>
          <c:order val="6"/>
          <c:tx>
            <c:strRef>
              <c:f>MAY190405_2_no_aggr!$O$4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MAY190405_2_no_aggr!$AK$7:$AK$33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4BF6-4650-9A92-449ED80FA3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MAY190405_2_no_aggr!$H$4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MAY190405_2_no_aggr!$AC$15:$AC$21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MAY190405_2_no_aggr!$AD$15:$AD$21</c:f>
              <c:numCache>
                <c:formatCode>0.00</c:formatCode>
                <c:ptCount val="7"/>
                <c:pt idx="0">
                  <c:v>100</c:v>
                </c:pt>
                <c:pt idx="1">
                  <c:v>93.587521663778162</c:v>
                </c:pt>
                <c:pt idx="2">
                  <c:v>90.500424088210352</c:v>
                </c:pt>
                <c:pt idx="3">
                  <c:v>73.7785016286645</c:v>
                </c:pt>
                <c:pt idx="4">
                  <c:v>67.487548422800216</c:v>
                </c:pt>
                <c:pt idx="5">
                  <c:v>48.455056179775283</c:v>
                </c:pt>
                <c:pt idx="6">
                  <c:v>57.639198218262806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8F6-47AE-A948-12103C8952B6}"/>
            </c:ext>
          </c:extLst>
        </c:ser>
        <c:ser>
          <c:idx val="1"/>
          <c:order val="1"/>
          <c:tx>
            <c:strRef>
              <c:f>MAY190405_2_no_aggr!$I$4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MAY190405_2_no_aggr!$AC$15:$AC$21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MAY190405_2_no_aggr!$AE$15:$AE$21</c:f>
              <c:numCache>
                <c:formatCode>0.00</c:formatCode>
                <c:ptCount val="7"/>
                <c:pt idx="0">
                  <c:v>0</c:v>
                </c:pt>
                <c:pt idx="1">
                  <c:v>6.412478336221838</c:v>
                </c:pt>
                <c:pt idx="2">
                  <c:v>9.4995759117896537</c:v>
                </c:pt>
                <c:pt idx="3">
                  <c:v>23.5342019543974</c:v>
                </c:pt>
                <c:pt idx="4">
                  <c:v>29.690094078583289</c:v>
                </c:pt>
                <c:pt idx="5">
                  <c:v>45.259831460674157</c:v>
                </c:pt>
                <c:pt idx="6">
                  <c:v>33.585746102449889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8F6-47AE-A948-12103C8952B6}"/>
            </c:ext>
          </c:extLst>
        </c:ser>
        <c:ser>
          <c:idx val="2"/>
          <c:order val="2"/>
          <c:tx>
            <c:strRef>
              <c:f>MAY190405_2_no_aggr!$J$4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MAY190405_2_no_aggr!$AC$15:$AC$21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MAY190405_2_no_aggr!$AF$15:$AF$21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8F6-47AE-A948-12103C8952B6}"/>
            </c:ext>
          </c:extLst>
        </c:ser>
        <c:ser>
          <c:idx val="3"/>
          <c:order val="3"/>
          <c:tx>
            <c:strRef>
              <c:f>MAY190405_2_no_aggr!$K$4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MAY190405_2_no_aggr!$AC$15:$AC$21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MAY190405_2_no_aggr!$AG$15:$AG$21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2.6872964169381111</c:v>
                </c:pt>
                <c:pt idx="4">
                  <c:v>2.8223574986164914</c:v>
                </c:pt>
                <c:pt idx="5">
                  <c:v>6.2851123595505616</c:v>
                </c:pt>
                <c:pt idx="6">
                  <c:v>8.7750556792873056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8F6-47AE-A948-12103C8952B6}"/>
            </c:ext>
          </c:extLst>
        </c:ser>
        <c:ser>
          <c:idx val="4"/>
          <c:order val="4"/>
          <c:tx>
            <c:strRef>
              <c:f>MAY190405_2_no_aggr!$L$4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MAY190405_2_no_aggr!$AC$15:$AC$21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MAY190405_2_no_aggr!$AH$15:$AH$21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8F6-47AE-A948-12103C8952B6}"/>
            </c:ext>
          </c:extLst>
        </c:ser>
        <c:ser>
          <c:idx val="6"/>
          <c:order val="5"/>
          <c:tx>
            <c:strRef>
              <c:f>MAY190405_2_no_aggr!$N$4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MAY190405_2_no_aggr!$AC$15:$AC$21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MAY190405_2_no_aggr!$AJ$15:$AJ$21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28F6-47AE-A948-12103C8952B6}"/>
            </c:ext>
          </c:extLst>
        </c:ser>
        <c:ser>
          <c:idx val="7"/>
          <c:order val="6"/>
          <c:tx>
            <c:strRef>
              <c:f>MAY190405_2_no_aggr!$O$4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MAY190405_2_no_aggr!$AC$15:$AC$21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MAY190405_2_no_aggr!$AK$15:$AK$21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28F6-47AE-A948-12103C8952B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2930454735815426"/>
          <c:y val="3.3977357346377308E-2"/>
        </c:manualLayout>
      </c:layout>
      <c:overlay val="0"/>
      <c:txPr>
        <a:bodyPr/>
        <a:lstStyle/>
        <a:p>
          <a:pPr>
            <a:defRPr sz="1000" b="1"/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MAY190407_2!$D$2</c:f>
              <c:strCache>
                <c:ptCount val="1"/>
                <c:pt idx="0">
                  <c:v>MAY190407_2</c:v>
                </c:pt>
              </c:strCache>
            </c:strRef>
          </c:tx>
          <c:spPr>
            <a:pattFill prst="pct5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MAY190407_2!$B$7:$B$33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MAY190407_2!$D$7:$D$33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0.70438199747905383</c:v>
                </c:pt>
                <c:pt idx="9">
                  <c:v>10.454511752057536</c:v>
                </c:pt>
                <c:pt idx="10">
                  <c:v>11.737228442203602</c:v>
                </c:pt>
                <c:pt idx="11">
                  <c:v>10.44338993104471</c:v>
                </c:pt>
                <c:pt idx="12">
                  <c:v>1.6942240676206717</c:v>
                </c:pt>
                <c:pt idx="13">
                  <c:v>3.0473789575146437</c:v>
                </c:pt>
                <c:pt idx="14">
                  <c:v>3.2253280937198778</c:v>
                </c:pt>
                <c:pt idx="15">
                  <c:v>2.7063097797879436</c:v>
                </c:pt>
                <c:pt idx="16">
                  <c:v>2.3948987914287829</c:v>
                </c:pt>
                <c:pt idx="17">
                  <c:v>1.8239786461036553</c:v>
                </c:pt>
                <c:pt idx="18">
                  <c:v>1.8573441091421365</c:v>
                </c:pt>
                <c:pt idx="19">
                  <c:v>2.1279750871209311</c:v>
                </c:pt>
                <c:pt idx="20">
                  <c:v>2.0093423296507749</c:v>
                </c:pt>
                <c:pt idx="21">
                  <c:v>2.6988952324460591</c:v>
                </c:pt>
                <c:pt idx="22">
                  <c:v>4.3338029213316522</c:v>
                </c:pt>
                <c:pt idx="23">
                  <c:v>5.4052050122340027</c:v>
                </c:pt>
                <c:pt idx="24">
                  <c:v>33.335804849113956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DF2-4956-8CC3-0361DE2213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MAY190407_2!$D$2</c:f>
              <c:strCache>
                <c:ptCount val="1"/>
                <c:pt idx="0">
                  <c:v>MAY190407_2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MAY190407_2!$B$7:$B$33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MAY190407_2!$E$7:$E$33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0.00">
                  <c:v>0</c:v>
                </c:pt>
                <c:pt idx="4" formatCode="0.00">
                  <c:v>0</c:v>
                </c:pt>
                <c:pt idx="5" formatCode="0.00">
                  <c:v>0</c:v>
                </c:pt>
                <c:pt idx="6" formatCode="0.00">
                  <c:v>0</c:v>
                </c:pt>
                <c:pt idx="7" formatCode="0.00">
                  <c:v>0</c:v>
                </c:pt>
                <c:pt idx="8" formatCode="0.00">
                  <c:v>0.70438199747905383</c:v>
                </c:pt>
                <c:pt idx="9" formatCode="0.00">
                  <c:v>11.15889374953659</c:v>
                </c:pt>
                <c:pt idx="10" formatCode="0.00">
                  <c:v>22.89612219174019</c:v>
                </c:pt>
                <c:pt idx="11" formatCode="0.00">
                  <c:v>33.339512122784896</c:v>
                </c:pt>
                <c:pt idx="12" formatCode="0.00">
                  <c:v>35.03373619040557</c:v>
                </c:pt>
                <c:pt idx="13" formatCode="0.00">
                  <c:v>38.081115147920215</c:v>
                </c:pt>
                <c:pt idx="14" formatCode="0.00">
                  <c:v>41.306443241640096</c:v>
                </c:pt>
                <c:pt idx="15" formatCode="0.00">
                  <c:v>44.01275302142804</c:v>
                </c:pt>
                <c:pt idx="16" formatCode="0.00">
                  <c:v>46.40765181285682</c:v>
                </c:pt>
                <c:pt idx="17" formatCode="0.00">
                  <c:v>48.231630458960474</c:v>
                </c:pt>
                <c:pt idx="18" formatCode="0.00">
                  <c:v>50.088974568102614</c:v>
                </c:pt>
                <c:pt idx="19" formatCode="0.00">
                  <c:v>52.216949655223544</c:v>
                </c:pt>
                <c:pt idx="20" formatCode="0.00">
                  <c:v>54.226291984874322</c:v>
                </c:pt>
                <c:pt idx="21" formatCode="0.00">
                  <c:v>56.925187217320385</c:v>
                </c:pt>
                <c:pt idx="22" formatCode="0.00">
                  <c:v>61.258990138652038</c:v>
                </c:pt>
                <c:pt idx="23" formatCode="0.00">
                  <c:v>66.664195150886044</c:v>
                </c:pt>
                <c:pt idx="24" formatCode="0.00">
                  <c:v>100</c:v>
                </c:pt>
                <c:pt idx="25" formatCode="0.00">
                  <c:v>100</c:v>
                </c:pt>
                <c:pt idx="26" formatCode="0.00">
                  <c:v>100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071-4CFF-8E6D-366B0FBC69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MAY190407_2!$H$4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MAY190407_2!$B$7:$B$33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MAY190407_2!$H$7:$H$33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0.8</c:v>
                </c:pt>
                <c:pt idx="9">
                  <c:v>1.9</c:v>
                </c:pt>
                <c:pt idx="10">
                  <c:v>2.5</c:v>
                </c:pt>
                <c:pt idx="11">
                  <c:v>1.21</c:v>
                </c:pt>
                <c:pt idx="12">
                  <c:v>0.76</c:v>
                </c:pt>
                <c:pt idx="13">
                  <c:v>0.82</c:v>
                </c:pt>
                <c:pt idx="14">
                  <c:v>0.21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8EA-49A2-8C41-DD6A4501F6E5}"/>
            </c:ext>
          </c:extLst>
        </c:ser>
        <c:ser>
          <c:idx val="1"/>
          <c:order val="1"/>
          <c:tx>
            <c:strRef>
              <c:f>MAY190407_2!$I$4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MAY190407_2!$I$7:$I$33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0.1</c:v>
                </c:pt>
                <c:pt idx="10">
                  <c:v>0.5</c:v>
                </c:pt>
                <c:pt idx="11">
                  <c:v>2.09</c:v>
                </c:pt>
                <c:pt idx="12">
                  <c:v>2.5</c:v>
                </c:pt>
                <c:pt idx="13">
                  <c:v>5.19</c:v>
                </c:pt>
                <c:pt idx="14">
                  <c:v>6.77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8EA-49A2-8C41-DD6A4501F6E5}"/>
            </c:ext>
          </c:extLst>
        </c:ser>
        <c:ser>
          <c:idx val="2"/>
          <c:order val="2"/>
          <c:tx>
            <c:strRef>
              <c:f>MAY190407_2!$J$4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MAY190407_2!$J$7:$J$33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0.18</c:v>
                </c:pt>
                <c:pt idx="14">
                  <c:v>0.12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8EA-49A2-8C41-DD6A4501F6E5}"/>
            </c:ext>
          </c:extLst>
        </c:ser>
        <c:ser>
          <c:idx val="3"/>
          <c:order val="3"/>
          <c:tx>
            <c:strRef>
              <c:f>MAY190407_2!$K$4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MAY190407_2!$K$7:$K$33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0.25</c:v>
                </c:pt>
                <c:pt idx="13">
                  <c:v>0.26</c:v>
                </c:pt>
                <c:pt idx="14">
                  <c:v>0.34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8EA-49A2-8C41-DD6A4501F6E5}"/>
            </c:ext>
          </c:extLst>
        </c:ser>
        <c:ser>
          <c:idx val="4"/>
          <c:order val="4"/>
          <c:tx>
            <c:strRef>
              <c:f>MAY190407_2!$L$4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MAY190407_2!$L$7:$L$33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1.3</c:v>
                </c:pt>
                <c:pt idx="10">
                  <c:v>0</c:v>
                </c:pt>
                <c:pt idx="11">
                  <c:v>0.31</c:v>
                </c:pt>
                <c:pt idx="12">
                  <c:v>0.38</c:v>
                </c:pt>
                <c:pt idx="13">
                  <c:v>0.5</c:v>
                </c:pt>
                <c:pt idx="14">
                  <c:v>0.67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98EA-49A2-8C41-DD6A4501F6E5}"/>
            </c:ext>
          </c:extLst>
        </c:ser>
        <c:ser>
          <c:idx val="6"/>
          <c:order val="5"/>
          <c:tx>
            <c:strRef>
              <c:f>MAY190407_2!$N$4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MAY190407_2!$N$7:$N$33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1.1000000000000001</c:v>
                </c:pt>
                <c:pt idx="9">
                  <c:v>1.5</c:v>
                </c:pt>
                <c:pt idx="10">
                  <c:v>3.3</c:v>
                </c:pt>
                <c:pt idx="11">
                  <c:v>2.33</c:v>
                </c:pt>
                <c:pt idx="12">
                  <c:v>0</c:v>
                </c:pt>
                <c:pt idx="13">
                  <c:v>0.04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98EA-49A2-8C41-DD6A4501F6E5}"/>
            </c:ext>
          </c:extLst>
        </c:ser>
        <c:ser>
          <c:idx val="7"/>
          <c:order val="6"/>
          <c:tx>
            <c:strRef>
              <c:f>MAY190407_2!$O$4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MAY190407_2!$O$7:$O$33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98EA-49A2-8C41-DD6A4501F6E5}"/>
            </c:ext>
          </c:extLst>
        </c:ser>
        <c:ser>
          <c:idx val="5"/>
          <c:order val="7"/>
          <c:tx>
            <c:strRef>
              <c:f>MAY190407_2!$M$4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MAY190407_2!$M$7:$M$33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22.3</c:v>
                </c:pt>
                <c:pt idx="10">
                  <c:v>24.8</c:v>
                </c:pt>
                <c:pt idx="11">
                  <c:v>21.85</c:v>
                </c:pt>
                <c:pt idx="12">
                  <c:v>0.56999999999999995</c:v>
                </c:pt>
                <c:pt idx="13">
                  <c:v>1.04</c:v>
                </c:pt>
                <c:pt idx="14">
                  <c:v>0.32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98EA-49A2-8C41-DD6A4501F6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MAY190407_2!$H$4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MAY190407_2!$B$7:$B$33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MAY190407_2!$S$7:$S$33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42.105263157894733</c:v>
                </c:pt>
                <c:pt idx="9" formatCode="0.00">
                  <c:v>7.0110701107011071</c:v>
                </c:pt>
                <c:pt idx="10" formatCode="0.00">
                  <c:v>8.0385852090032159</c:v>
                </c:pt>
                <c:pt idx="11" formatCode="0.00">
                  <c:v>4.3540842029507019</c:v>
                </c:pt>
                <c:pt idx="12" formatCode="0.00">
                  <c:v>17.04035874439462</c:v>
                </c:pt>
                <c:pt idx="13" formatCode="0.00">
                  <c:v>10.211706102117061</c:v>
                </c:pt>
                <c:pt idx="14" formatCode="0.00">
                  <c:v>2.4911032028469751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EA0-41B7-9D30-6C725064EB29}"/>
            </c:ext>
          </c:extLst>
        </c:ser>
        <c:ser>
          <c:idx val="1"/>
          <c:order val="1"/>
          <c:tx>
            <c:strRef>
              <c:f>MAY190407_2!$I$4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MAY190407_2!$T$7:$T$33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0.36900369003690037</c:v>
                </c:pt>
                <c:pt idx="10" formatCode="0.00">
                  <c:v>1.607717041800643</c:v>
                </c:pt>
                <c:pt idx="11" formatCode="0.00">
                  <c:v>7.5206908960057577</c:v>
                </c:pt>
                <c:pt idx="12" formatCode="0.00">
                  <c:v>56.053811659192824</c:v>
                </c:pt>
                <c:pt idx="13" formatCode="0.00">
                  <c:v>64.632627646326284</c:v>
                </c:pt>
                <c:pt idx="14" formatCode="0.00">
                  <c:v>80.308422301304873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EA0-41B7-9D30-6C725064EB29}"/>
            </c:ext>
          </c:extLst>
        </c:ser>
        <c:ser>
          <c:idx val="2"/>
          <c:order val="2"/>
          <c:tx>
            <c:strRef>
              <c:f>MAY190407_2!$J$4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MAY190407_2!$U$7:$U$33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2.2415940224159403</c:v>
                </c:pt>
                <c:pt idx="14" formatCode="0.00">
                  <c:v>1.4234875444839858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EA0-41B7-9D30-6C725064EB29}"/>
            </c:ext>
          </c:extLst>
        </c:ser>
        <c:ser>
          <c:idx val="3"/>
          <c:order val="3"/>
          <c:tx>
            <c:strRef>
              <c:f>MAY190407_2!$K$4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MAY190407_2!$V$7:$V$33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5.6053811659192823</c:v>
                </c:pt>
                <c:pt idx="13" formatCode="0.00">
                  <c:v>3.2378580323785804</c:v>
                </c:pt>
                <c:pt idx="14" formatCode="0.00">
                  <c:v>4.0332147093712933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0EA0-41B7-9D30-6C725064EB29}"/>
            </c:ext>
          </c:extLst>
        </c:ser>
        <c:ser>
          <c:idx val="4"/>
          <c:order val="4"/>
          <c:tx>
            <c:strRef>
              <c:f>MAY190407_2!$L$4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MAY190407_2!$W$7:$W$33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4.7970479704797047</c:v>
                </c:pt>
                <c:pt idx="10" formatCode="0.00">
                  <c:v>0</c:v>
                </c:pt>
                <c:pt idx="11" formatCode="0.00">
                  <c:v>1.1155091759625766</c:v>
                </c:pt>
                <c:pt idx="12" formatCode="0.00">
                  <c:v>8.52017937219731</c:v>
                </c:pt>
                <c:pt idx="13" formatCode="0.00">
                  <c:v>6.2266500622665015</c:v>
                </c:pt>
                <c:pt idx="14" formatCode="0.00">
                  <c:v>7.9478054567022545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EA0-41B7-9D30-6C725064EB29}"/>
            </c:ext>
          </c:extLst>
        </c:ser>
        <c:ser>
          <c:idx val="6"/>
          <c:order val="5"/>
          <c:tx>
            <c:strRef>
              <c:f>MAY190407_2!$N$4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MAY190407_2!$Y$7:$Y$33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57.894736842105267</c:v>
                </c:pt>
                <c:pt idx="9" formatCode="0.00">
                  <c:v>5.5350553505535052</c:v>
                </c:pt>
                <c:pt idx="10" formatCode="0.00">
                  <c:v>10.610932475884244</c:v>
                </c:pt>
                <c:pt idx="11" formatCode="0.00">
                  <c:v>8.3843109032025911</c:v>
                </c:pt>
                <c:pt idx="12" formatCode="0.00">
                  <c:v>0</c:v>
                </c:pt>
                <c:pt idx="13" formatCode="0.00">
                  <c:v>0.4981320049813201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0EA0-41B7-9D30-6C725064EB29}"/>
            </c:ext>
          </c:extLst>
        </c:ser>
        <c:ser>
          <c:idx val="7"/>
          <c:order val="6"/>
          <c:tx>
            <c:strRef>
              <c:f>MAY190407_2!$O$4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MAY190407_2!$Z$7:$Z$33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0EA0-41B7-9D30-6C725064EB29}"/>
            </c:ext>
          </c:extLst>
        </c:ser>
        <c:ser>
          <c:idx val="5"/>
          <c:order val="7"/>
          <c:tx>
            <c:strRef>
              <c:f>MAY190407_2!$M$4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MAY190407_2!$X$7:$X$33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82.287822878228781</c:v>
                </c:pt>
                <c:pt idx="10" formatCode="0.00">
                  <c:v>79.742765273311889</c:v>
                </c:pt>
                <c:pt idx="11" formatCode="0.00">
                  <c:v>78.625404821878377</c:v>
                </c:pt>
                <c:pt idx="12" formatCode="0.00">
                  <c:v>12.780269058295962</c:v>
                </c:pt>
                <c:pt idx="13" formatCode="0.00">
                  <c:v>12.951432129514322</c:v>
                </c:pt>
                <c:pt idx="14" formatCode="0.00">
                  <c:v>3.7959667852906289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0EA0-41B7-9D30-6C725064EB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MAY190407_2!$H$4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MAY190407_2!$B$7:$B$33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MAY190407_2!$AD$7:$AD$33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42.105263157894733</c:v>
                </c:pt>
                <c:pt idx="9" formatCode="0.00">
                  <c:v>39.583333333333329</c:v>
                </c:pt>
                <c:pt idx="10" formatCode="0.00">
                  <c:v>39.682539682539684</c:v>
                </c:pt>
                <c:pt idx="11" formatCode="0.00">
                  <c:v>20.37037037037037</c:v>
                </c:pt>
                <c:pt idx="12" formatCode="0.00">
                  <c:v>19.537275064267355</c:v>
                </c:pt>
                <c:pt idx="13" formatCode="0.00">
                  <c:v>11.731044349070098</c:v>
                </c:pt>
                <c:pt idx="14" formatCode="0.00">
                  <c:v>2.5893958076448826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A5A-45BB-8B9E-DA8E036D55DC}"/>
            </c:ext>
          </c:extLst>
        </c:ser>
        <c:ser>
          <c:idx val="1"/>
          <c:order val="1"/>
          <c:tx>
            <c:strRef>
              <c:f>MAY190407_2!$I$4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MAY190407_2!$AE$7:$AE$33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2.083333333333333</c:v>
                </c:pt>
                <c:pt idx="10" formatCode="0.00">
                  <c:v>7.936507936507935</c:v>
                </c:pt>
                <c:pt idx="11" formatCode="0.00">
                  <c:v>35.18518518518519</c:v>
                </c:pt>
                <c:pt idx="12" formatCode="0.00">
                  <c:v>64.267352185089976</c:v>
                </c:pt>
                <c:pt idx="13" formatCode="0.00">
                  <c:v>74.248927038626618</c:v>
                </c:pt>
                <c:pt idx="14" formatCode="0.00">
                  <c:v>83.477188655980271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A5A-45BB-8B9E-DA8E036D55DC}"/>
            </c:ext>
          </c:extLst>
        </c:ser>
        <c:ser>
          <c:idx val="2"/>
          <c:order val="2"/>
          <c:tx>
            <c:strRef>
              <c:f>MAY190407_2!$J$4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MAY190407_2!$AF$7:$AF$33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2.5751072961373391</c:v>
                </c:pt>
                <c:pt idx="14" formatCode="0.00">
                  <c:v>1.4796547472256472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A5A-45BB-8B9E-DA8E036D55DC}"/>
            </c:ext>
          </c:extLst>
        </c:ser>
        <c:ser>
          <c:idx val="3"/>
          <c:order val="3"/>
          <c:tx>
            <c:strRef>
              <c:f>MAY190407_2!$K$4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MAY190407_2!$AG$7:$AG$33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6.4267352185089974</c:v>
                </c:pt>
                <c:pt idx="13" formatCode="0.00">
                  <c:v>3.7195994277539342</c:v>
                </c:pt>
                <c:pt idx="14" formatCode="0.00">
                  <c:v>4.1923551171393338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8A5A-45BB-8B9E-DA8E036D55DC}"/>
            </c:ext>
          </c:extLst>
        </c:ser>
        <c:ser>
          <c:idx val="4"/>
          <c:order val="4"/>
          <c:tx>
            <c:strRef>
              <c:f>MAY190407_2!$L$4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MAY190407_2!$AH$7:$AH$33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27.083333333333332</c:v>
                </c:pt>
                <c:pt idx="10" formatCode="0.00">
                  <c:v>0</c:v>
                </c:pt>
                <c:pt idx="11" formatCode="0.00">
                  <c:v>5.2188552188552197</c:v>
                </c:pt>
                <c:pt idx="12" formatCode="0.00">
                  <c:v>9.7686375321336776</c:v>
                </c:pt>
                <c:pt idx="13" formatCode="0.00">
                  <c:v>7.1530758226037197</c:v>
                </c:pt>
                <c:pt idx="14" formatCode="0.00">
                  <c:v>8.2614056720098645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8A5A-45BB-8B9E-DA8E036D55DC}"/>
            </c:ext>
          </c:extLst>
        </c:ser>
        <c:ser>
          <c:idx val="6"/>
          <c:order val="5"/>
          <c:tx>
            <c:strRef>
              <c:f>MAY190407_2!$N$4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MAY190407_2!$AJ$7:$AJ$33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57.894736842105267</c:v>
                </c:pt>
                <c:pt idx="9" formatCode="0.00">
                  <c:v>31.249999999999993</c:v>
                </c:pt>
                <c:pt idx="10" formatCode="0.00">
                  <c:v>52.38095238095238</c:v>
                </c:pt>
                <c:pt idx="11" formatCode="0.00">
                  <c:v>39.225589225589225</c:v>
                </c:pt>
                <c:pt idx="12" formatCode="0.00">
                  <c:v>0</c:v>
                </c:pt>
                <c:pt idx="13" formatCode="0.00">
                  <c:v>0.57224606580829762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8A5A-45BB-8B9E-DA8E036D55DC}"/>
            </c:ext>
          </c:extLst>
        </c:ser>
        <c:ser>
          <c:idx val="7"/>
          <c:order val="6"/>
          <c:tx>
            <c:strRef>
              <c:f>MAY190407_2!$O$4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MAY190407_2!$AK$7:$AK$33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8A5A-45BB-8B9E-DA8E036D55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MAY190407_2!$H$4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MAY190407_2!$AC$15:$AC$21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MAY190407_2!$AD$15:$AD$21</c:f>
              <c:numCache>
                <c:formatCode>0.00</c:formatCode>
                <c:ptCount val="7"/>
                <c:pt idx="0">
                  <c:v>42.105263157894733</c:v>
                </c:pt>
                <c:pt idx="1">
                  <c:v>39.583333333333329</c:v>
                </c:pt>
                <c:pt idx="2">
                  <c:v>39.682539682539684</c:v>
                </c:pt>
                <c:pt idx="3">
                  <c:v>20.37037037037037</c:v>
                </c:pt>
                <c:pt idx="4">
                  <c:v>19.537275064267355</c:v>
                </c:pt>
                <c:pt idx="5">
                  <c:v>11.731044349070098</c:v>
                </c:pt>
                <c:pt idx="6">
                  <c:v>2.5893958076448826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A7E-4472-87A0-517ABA8B9731}"/>
            </c:ext>
          </c:extLst>
        </c:ser>
        <c:ser>
          <c:idx val="1"/>
          <c:order val="1"/>
          <c:tx>
            <c:strRef>
              <c:f>MAY190407_2!$I$4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MAY190407_2!$AC$15:$AC$21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MAY190407_2!$AE$15:$AE$21</c:f>
              <c:numCache>
                <c:formatCode>0.00</c:formatCode>
                <c:ptCount val="7"/>
                <c:pt idx="0">
                  <c:v>0</c:v>
                </c:pt>
                <c:pt idx="1">
                  <c:v>2.083333333333333</c:v>
                </c:pt>
                <c:pt idx="2">
                  <c:v>7.936507936507935</c:v>
                </c:pt>
                <c:pt idx="3">
                  <c:v>35.18518518518519</c:v>
                </c:pt>
                <c:pt idx="4">
                  <c:v>64.267352185089976</c:v>
                </c:pt>
                <c:pt idx="5">
                  <c:v>74.248927038626618</c:v>
                </c:pt>
                <c:pt idx="6">
                  <c:v>83.477188655980271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A7E-4472-87A0-517ABA8B9731}"/>
            </c:ext>
          </c:extLst>
        </c:ser>
        <c:ser>
          <c:idx val="2"/>
          <c:order val="2"/>
          <c:tx>
            <c:strRef>
              <c:f>MAY190407_2!$J$4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MAY190407_2!$AC$15:$AC$21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MAY190407_2!$AF$15:$AF$21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2.5751072961373391</c:v>
                </c:pt>
                <c:pt idx="6">
                  <c:v>1.4796547472256472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A7E-4472-87A0-517ABA8B9731}"/>
            </c:ext>
          </c:extLst>
        </c:ser>
        <c:ser>
          <c:idx val="3"/>
          <c:order val="3"/>
          <c:tx>
            <c:strRef>
              <c:f>MAY190407_2!$K$4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MAY190407_2!$AC$15:$AC$21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MAY190407_2!$AG$15:$AG$21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6.4267352185089974</c:v>
                </c:pt>
                <c:pt idx="5">
                  <c:v>3.7195994277539342</c:v>
                </c:pt>
                <c:pt idx="6">
                  <c:v>4.1923551171393338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A7E-4472-87A0-517ABA8B9731}"/>
            </c:ext>
          </c:extLst>
        </c:ser>
        <c:ser>
          <c:idx val="4"/>
          <c:order val="4"/>
          <c:tx>
            <c:strRef>
              <c:f>MAY190407_2!$L$4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MAY190407_2!$AC$15:$AC$21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MAY190407_2!$AH$15:$AH$21</c:f>
              <c:numCache>
                <c:formatCode>0.00</c:formatCode>
                <c:ptCount val="7"/>
                <c:pt idx="0">
                  <c:v>0</c:v>
                </c:pt>
                <c:pt idx="1">
                  <c:v>27.083333333333332</c:v>
                </c:pt>
                <c:pt idx="2">
                  <c:v>0</c:v>
                </c:pt>
                <c:pt idx="3">
                  <c:v>5.2188552188552197</c:v>
                </c:pt>
                <c:pt idx="4">
                  <c:v>9.7686375321336776</c:v>
                </c:pt>
                <c:pt idx="5">
                  <c:v>7.1530758226037197</c:v>
                </c:pt>
                <c:pt idx="6">
                  <c:v>8.2614056720098645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A7E-4472-87A0-517ABA8B9731}"/>
            </c:ext>
          </c:extLst>
        </c:ser>
        <c:ser>
          <c:idx val="6"/>
          <c:order val="5"/>
          <c:tx>
            <c:strRef>
              <c:f>MAY190407_2!$N$4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MAY190407_2!$AC$15:$AC$21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MAY190407_2!$AJ$15:$AJ$21</c:f>
              <c:numCache>
                <c:formatCode>0.00</c:formatCode>
                <c:ptCount val="7"/>
                <c:pt idx="0">
                  <c:v>57.894736842105267</c:v>
                </c:pt>
                <c:pt idx="1">
                  <c:v>31.249999999999993</c:v>
                </c:pt>
                <c:pt idx="2">
                  <c:v>52.38095238095238</c:v>
                </c:pt>
                <c:pt idx="3">
                  <c:v>39.225589225589225</c:v>
                </c:pt>
                <c:pt idx="4">
                  <c:v>0</c:v>
                </c:pt>
                <c:pt idx="5">
                  <c:v>0.57224606580829762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5A7E-4472-87A0-517ABA8B9731}"/>
            </c:ext>
          </c:extLst>
        </c:ser>
        <c:ser>
          <c:idx val="7"/>
          <c:order val="6"/>
          <c:tx>
            <c:strRef>
              <c:f>MAY190407_2!$O$4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MAY190407_2!$AC$15:$AC$21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MAY190407_2!$AK$15:$AK$21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A7E-4472-87A0-517ABA8B97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2930454735815426"/>
          <c:y val="3.3977357346377308E-2"/>
        </c:manualLayout>
      </c:layout>
      <c:overlay val="0"/>
      <c:txPr>
        <a:bodyPr/>
        <a:lstStyle/>
        <a:p>
          <a:pPr>
            <a:defRPr sz="1000" b="1"/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MAY190407_2!$D$2</c:f>
              <c:strCache>
                <c:ptCount val="1"/>
                <c:pt idx="0">
                  <c:v>MAY190407_2</c:v>
                </c:pt>
              </c:strCache>
            </c:strRef>
          </c:tx>
          <c:spPr>
            <a:pattFill prst="pct5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MAY190407_2!$B$7:$B$33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MAY190407_2!$D$7:$D$33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0.70438199747905383</c:v>
                </c:pt>
                <c:pt idx="9">
                  <c:v>10.454511752057536</c:v>
                </c:pt>
                <c:pt idx="10">
                  <c:v>11.737228442203602</c:v>
                </c:pt>
                <c:pt idx="11">
                  <c:v>10.44338993104471</c:v>
                </c:pt>
                <c:pt idx="12">
                  <c:v>1.6942240676206717</c:v>
                </c:pt>
                <c:pt idx="13">
                  <c:v>3.0473789575146437</c:v>
                </c:pt>
                <c:pt idx="14">
                  <c:v>3.2253280937198778</c:v>
                </c:pt>
                <c:pt idx="15">
                  <c:v>2.7063097797879436</c:v>
                </c:pt>
                <c:pt idx="16">
                  <c:v>2.3948987914287829</c:v>
                </c:pt>
                <c:pt idx="17">
                  <c:v>1.8239786461036553</c:v>
                </c:pt>
                <c:pt idx="18">
                  <c:v>1.8573441091421365</c:v>
                </c:pt>
                <c:pt idx="19">
                  <c:v>2.1279750871209311</c:v>
                </c:pt>
                <c:pt idx="20">
                  <c:v>2.0093423296507749</c:v>
                </c:pt>
                <c:pt idx="21">
                  <c:v>2.6988952324460591</c:v>
                </c:pt>
                <c:pt idx="22">
                  <c:v>4.3338029213316522</c:v>
                </c:pt>
                <c:pt idx="23">
                  <c:v>5.4052050122340027</c:v>
                </c:pt>
                <c:pt idx="24">
                  <c:v>33.335804849113956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E06-4414-A976-AA0A287CC7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'MAY190407_2 aggr'!$D$2</c:f>
              <c:strCache>
                <c:ptCount val="1"/>
                <c:pt idx="0">
                  <c:v>MAY190407_2 aggr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bg1"/>
              </a:solidFill>
            </a:ln>
          </c:spPr>
          <c:invertIfNegative val="0"/>
          <c:cat>
            <c:strRef>
              <c:f>'MAY190407_2 aggr'!$B$7:$B$33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'MAY190407_2 aggr'!$D$7:$D$33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0.955446042441919</c:v>
                </c:pt>
                <c:pt idx="9">
                  <c:v>2.9669113949512216</c:v>
                </c:pt>
                <c:pt idx="10">
                  <c:v>3.4496630795534546</c:v>
                </c:pt>
                <c:pt idx="11">
                  <c:v>3.1781152569646989</c:v>
                </c:pt>
                <c:pt idx="12">
                  <c:v>2.0114653525093029</c:v>
                </c:pt>
                <c:pt idx="13">
                  <c:v>3.6105803077541991</c:v>
                </c:pt>
                <c:pt idx="14">
                  <c:v>4.2140199135069896</c:v>
                </c:pt>
                <c:pt idx="15">
                  <c:v>3.6709242683294785</c:v>
                </c:pt>
                <c:pt idx="16">
                  <c:v>3.2485165443025243</c:v>
                </c:pt>
                <c:pt idx="17">
                  <c:v>2.4741023835864429</c:v>
                </c:pt>
                <c:pt idx="18">
                  <c:v>2.5193603540179019</c:v>
                </c:pt>
                <c:pt idx="19">
                  <c:v>2.88645278085085</c:v>
                </c:pt>
                <c:pt idx="20">
                  <c:v>2.7255355526501055</c:v>
                </c:pt>
                <c:pt idx="21">
                  <c:v>3.6608669415669324</c:v>
                </c:pt>
                <c:pt idx="22">
                  <c:v>5.8785074927084384</c:v>
                </c:pt>
                <c:pt idx="23">
                  <c:v>7.3317912098964104</c:v>
                </c:pt>
                <c:pt idx="24">
                  <c:v>45.217741124409137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1BA-4FEB-8547-2FF241DFC0B5}"/>
            </c:ext>
          </c:extLst>
        </c:ser>
        <c:ser>
          <c:idx val="1"/>
          <c:order val="1"/>
          <c:tx>
            <c:v>aggr</c:v>
          </c:tx>
          <c:spPr>
            <a:solidFill>
              <a:schemeClr val="bg2">
                <a:lumMod val="75000"/>
              </a:schemeClr>
            </a:solidFill>
            <a:ln>
              <a:solidFill>
                <a:schemeClr val="bg1"/>
              </a:solidFill>
            </a:ln>
          </c:spPr>
          <c:invertIfNegative val="0"/>
          <c:val>
            <c:numRef>
              <c:f>'MAY190407_2 aggr'!$R$7:$R$33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11.213919340239366</c:v>
                </c:pt>
                <c:pt idx="10">
                  <c:v>12.47108518555768</c:v>
                </c:pt>
                <c:pt idx="11">
                  <c:v>10.987629488082069</c:v>
                </c:pt>
                <c:pt idx="12">
                  <c:v>0.28663381273257565</c:v>
                </c:pt>
                <c:pt idx="13">
                  <c:v>0.52298099165241885</c:v>
                </c:pt>
                <c:pt idx="14">
                  <c:v>0.16091722820074428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1BA-4FEB-8547-2FF241DFC0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'MAY190407_2 aggr'!$D$2</c:f>
              <c:strCache>
                <c:ptCount val="1"/>
                <c:pt idx="0">
                  <c:v>MAY190407_2 aggr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'MAY190407_2 aggr'!$B$7:$B$33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'MAY190407_2 aggr'!$E$7:$E$33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0.00">
                  <c:v>0</c:v>
                </c:pt>
                <c:pt idx="4" formatCode="0.00">
                  <c:v>0</c:v>
                </c:pt>
                <c:pt idx="5" formatCode="0.00">
                  <c:v>0</c:v>
                </c:pt>
                <c:pt idx="6" formatCode="0.00">
                  <c:v>0</c:v>
                </c:pt>
                <c:pt idx="7" formatCode="0.00">
                  <c:v>0</c:v>
                </c:pt>
                <c:pt idx="8" formatCode="0.00">
                  <c:v>0.955446042441919</c:v>
                </c:pt>
                <c:pt idx="9" formatCode="0.00">
                  <c:v>3.9223574373931407</c:v>
                </c:pt>
                <c:pt idx="10" formatCode="0.00">
                  <c:v>7.3720205169465949</c:v>
                </c:pt>
                <c:pt idx="11" formatCode="0.00">
                  <c:v>10.550135773911293</c:v>
                </c:pt>
                <c:pt idx="12" formatCode="0.00">
                  <c:v>12.561601126420596</c:v>
                </c:pt>
                <c:pt idx="13" formatCode="0.00">
                  <c:v>16.172181434174796</c:v>
                </c:pt>
                <c:pt idx="14" formatCode="0.00">
                  <c:v>20.386201347681784</c:v>
                </c:pt>
                <c:pt idx="15" formatCode="0.00">
                  <c:v>24.057125616011263</c:v>
                </c:pt>
                <c:pt idx="16" formatCode="0.00">
                  <c:v>27.305642160313788</c:v>
                </c:pt>
                <c:pt idx="17" formatCode="0.00">
                  <c:v>29.779744543900229</c:v>
                </c:pt>
                <c:pt idx="18" formatCode="0.00">
                  <c:v>32.299104897918127</c:v>
                </c:pt>
                <c:pt idx="19" formatCode="0.00">
                  <c:v>35.18555767876898</c:v>
                </c:pt>
                <c:pt idx="20" formatCode="0.00">
                  <c:v>37.911093231419088</c:v>
                </c:pt>
                <c:pt idx="21" formatCode="0.00">
                  <c:v>41.571960172986017</c:v>
                </c:pt>
                <c:pt idx="22" formatCode="0.00">
                  <c:v>47.450467665694454</c:v>
                </c:pt>
                <c:pt idx="23" formatCode="0.00">
                  <c:v>54.782258875590863</c:v>
                </c:pt>
                <c:pt idx="24" formatCode="0.00">
                  <c:v>100</c:v>
                </c:pt>
                <c:pt idx="25" formatCode="0.00">
                  <c:v>100</c:v>
                </c:pt>
                <c:pt idx="26" formatCode="0.00">
                  <c:v>100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20D-4CF0-84D9-0202E07DE5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'MAY190407_2 aggr'!$H$4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'MAY190407_2 aggr'!$B$7:$B$33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'MAY190407_2 aggr'!$H$7:$H$33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0.8</c:v>
                </c:pt>
                <c:pt idx="9">
                  <c:v>1.9</c:v>
                </c:pt>
                <c:pt idx="10">
                  <c:v>2.5</c:v>
                </c:pt>
                <c:pt idx="11">
                  <c:v>1.21</c:v>
                </c:pt>
                <c:pt idx="12">
                  <c:v>0.76</c:v>
                </c:pt>
                <c:pt idx="13">
                  <c:v>0.82</c:v>
                </c:pt>
                <c:pt idx="14">
                  <c:v>0.21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915-4FC1-8F1F-7408F8C7F20D}"/>
            </c:ext>
          </c:extLst>
        </c:ser>
        <c:ser>
          <c:idx val="1"/>
          <c:order val="1"/>
          <c:tx>
            <c:strRef>
              <c:f>'MAY190407_2 aggr'!$I$4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'MAY190407_2 aggr'!$I$7:$I$33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0.1</c:v>
                </c:pt>
                <c:pt idx="10">
                  <c:v>0.5</c:v>
                </c:pt>
                <c:pt idx="11">
                  <c:v>2.09</c:v>
                </c:pt>
                <c:pt idx="12">
                  <c:v>2.5</c:v>
                </c:pt>
                <c:pt idx="13">
                  <c:v>5.19</c:v>
                </c:pt>
                <c:pt idx="14">
                  <c:v>6.77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915-4FC1-8F1F-7408F8C7F20D}"/>
            </c:ext>
          </c:extLst>
        </c:ser>
        <c:ser>
          <c:idx val="2"/>
          <c:order val="2"/>
          <c:tx>
            <c:strRef>
              <c:f>'MAY190407_2 aggr'!$J$4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'MAY190407_2 aggr'!$J$7:$J$33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0.18</c:v>
                </c:pt>
                <c:pt idx="14">
                  <c:v>0.12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915-4FC1-8F1F-7408F8C7F20D}"/>
            </c:ext>
          </c:extLst>
        </c:ser>
        <c:ser>
          <c:idx val="3"/>
          <c:order val="3"/>
          <c:tx>
            <c:strRef>
              <c:f>'MAY190407_2 aggr'!$K$4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'MAY190407_2 aggr'!$K$7:$K$33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0.25</c:v>
                </c:pt>
                <c:pt idx="13">
                  <c:v>0.26</c:v>
                </c:pt>
                <c:pt idx="14">
                  <c:v>0.34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915-4FC1-8F1F-7408F8C7F20D}"/>
            </c:ext>
          </c:extLst>
        </c:ser>
        <c:ser>
          <c:idx val="4"/>
          <c:order val="4"/>
          <c:tx>
            <c:strRef>
              <c:f>'MAY190407_2 aggr'!$L$4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'MAY190407_2 aggr'!$L$7:$L$33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1.3</c:v>
                </c:pt>
                <c:pt idx="10">
                  <c:v>0</c:v>
                </c:pt>
                <c:pt idx="11">
                  <c:v>0.31</c:v>
                </c:pt>
                <c:pt idx="12">
                  <c:v>0.38</c:v>
                </c:pt>
                <c:pt idx="13">
                  <c:v>0.5</c:v>
                </c:pt>
                <c:pt idx="14">
                  <c:v>0.67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915-4FC1-8F1F-7408F8C7F20D}"/>
            </c:ext>
          </c:extLst>
        </c:ser>
        <c:ser>
          <c:idx val="6"/>
          <c:order val="5"/>
          <c:tx>
            <c:strRef>
              <c:f>'MAY190407_2 aggr'!$N$4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'MAY190407_2 aggr'!$N$7:$N$33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1.1000000000000001</c:v>
                </c:pt>
                <c:pt idx="9">
                  <c:v>1.5</c:v>
                </c:pt>
                <c:pt idx="10">
                  <c:v>3.3</c:v>
                </c:pt>
                <c:pt idx="11">
                  <c:v>2.33</c:v>
                </c:pt>
                <c:pt idx="12">
                  <c:v>0</c:v>
                </c:pt>
                <c:pt idx="13">
                  <c:v>0.04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C915-4FC1-8F1F-7408F8C7F20D}"/>
            </c:ext>
          </c:extLst>
        </c:ser>
        <c:ser>
          <c:idx val="7"/>
          <c:order val="6"/>
          <c:tx>
            <c:strRef>
              <c:f>'MAY190407_2 aggr'!$O$4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'MAY190407_2 aggr'!$O$7:$O$33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C915-4FC1-8F1F-7408F8C7F20D}"/>
            </c:ext>
          </c:extLst>
        </c:ser>
        <c:ser>
          <c:idx val="5"/>
          <c:order val="7"/>
          <c:tx>
            <c:strRef>
              <c:f>'MAY190407_2 aggr'!$M$4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'MAY190407_2 aggr'!$M$7:$M$33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22.3</c:v>
                </c:pt>
                <c:pt idx="10">
                  <c:v>24.8</c:v>
                </c:pt>
                <c:pt idx="11">
                  <c:v>21.85</c:v>
                </c:pt>
                <c:pt idx="12">
                  <c:v>0.56999999999999995</c:v>
                </c:pt>
                <c:pt idx="13">
                  <c:v>1.04</c:v>
                </c:pt>
                <c:pt idx="14">
                  <c:v>0.32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C915-4FC1-8F1F-7408F8C7F2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'MAY190407_2 aggr'!$H$4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'MAY190407_2 aggr'!$B$7:$B$33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'MAY190407_2 aggr'!$U$7:$U$33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42.105263157894733</c:v>
                </c:pt>
                <c:pt idx="9" formatCode="0.00">
                  <c:v>7.0110701107011071</c:v>
                </c:pt>
                <c:pt idx="10" formatCode="0.00">
                  <c:v>8.0385852090032159</c:v>
                </c:pt>
                <c:pt idx="11" formatCode="0.00">
                  <c:v>4.3540842029507019</c:v>
                </c:pt>
                <c:pt idx="12" formatCode="0.00">
                  <c:v>17.04035874439462</c:v>
                </c:pt>
                <c:pt idx="13" formatCode="0.00">
                  <c:v>10.211706102117061</c:v>
                </c:pt>
                <c:pt idx="14" formatCode="0.00">
                  <c:v>2.4911032028469751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061-4FFC-8010-75C40062FCD3}"/>
            </c:ext>
          </c:extLst>
        </c:ser>
        <c:ser>
          <c:idx val="1"/>
          <c:order val="1"/>
          <c:tx>
            <c:strRef>
              <c:f>'MAY190407_2 aggr'!$I$4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'MAY190407_2 aggr'!$V$7:$V$33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0.36900369003690037</c:v>
                </c:pt>
                <c:pt idx="10" formatCode="0.00">
                  <c:v>1.607717041800643</c:v>
                </c:pt>
                <c:pt idx="11" formatCode="0.00">
                  <c:v>7.5206908960057577</c:v>
                </c:pt>
                <c:pt idx="12" formatCode="0.00">
                  <c:v>56.053811659192824</c:v>
                </c:pt>
                <c:pt idx="13" formatCode="0.00">
                  <c:v>64.632627646326284</c:v>
                </c:pt>
                <c:pt idx="14" formatCode="0.00">
                  <c:v>80.308422301304873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061-4FFC-8010-75C40062FCD3}"/>
            </c:ext>
          </c:extLst>
        </c:ser>
        <c:ser>
          <c:idx val="2"/>
          <c:order val="2"/>
          <c:tx>
            <c:strRef>
              <c:f>'MAY190407_2 aggr'!$J$4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'MAY190407_2 aggr'!$W$7:$W$33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2.2415940224159403</c:v>
                </c:pt>
                <c:pt idx="14" formatCode="0.00">
                  <c:v>1.4234875444839858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061-4FFC-8010-75C40062FCD3}"/>
            </c:ext>
          </c:extLst>
        </c:ser>
        <c:ser>
          <c:idx val="3"/>
          <c:order val="3"/>
          <c:tx>
            <c:strRef>
              <c:f>'MAY190407_2 aggr'!$K$4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'MAY190407_2 aggr'!$X$7:$X$33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5.6053811659192823</c:v>
                </c:pt>
                <c:pt idx="13" formatCode="0.00">
                  <c:v>3.2378580323785804</c:v>
                </c:pt>
                <c:pt idx="14" formatCode="0.00">
                  <c:v>4.0332147093712933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061-4FFC-8010-75C40062FCD3}"/>
            </c:ext>
          </c:extLst>
        </c:ser>
        <c:ser>
          <c:idx val="4"/>
          <c:order val="4"/>
          <c:tx>
            <c:strRef>
              <c:f>'MAY190407_2 aggr'!$L$4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'MAY190407_2 aggr'!$Y$7:$Y$33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4.7970479704797047</c:v>
                </c:pt>
                <c:pt idx="10" formatCode="0.00">
                  <c:v>0</c:v>
                </c:pt>
                <c:pt idx="11" formatCode="0.00">
                  <c:v>1.1155091759625766</c:v>
                </c:pt>
                <c:pt idx="12" formatCode="0.00">
                  <c:v>8.52017937219731</c:v>
                </c:pt>
                <c:pt idx="13" formatCode="0.00">
                  <c:v>6.2266500622665015</c:v>
                </c:pt>
                <c:pt idx="14" formatCode="0.00">
                  <c:v>7.9478054567022545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061-4FFC-8010-75C40062FCD3}"/>
            </c:ext>
          </c:extLst>
        </c:ser>
        <c:ser>
          <c:idx val="6"/>
          <c:order val="5"/>
          <c:tx>
            <c:strRef>
              <c:f>'MAY190407_2 aggr'!$N$4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'MAY190407_2 aggr'!$AA$7:$AA$33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57.894736842105267</c:v>
                </c:pt>
                <c:pt idx="9" formatCode="0.00">
                  <c:v>5.5350553505535052</c:v>
                </c:pt>
                <c:pt idx="10" formatCode="0.00">
                  <c:v>10.610932475884244</c:v>
                </c:pt>
                <c:pt idx="11" formatCode="0.00">
                  <c:v>8.3843109032025911</c:v>
                </c:pt>
                <c:pt idx="12" formatCode="0.00">
                  <c:v>0</c:v>
                </c:pt>
                <c:pt idx="13" formatCode="0.00">
                  <c:v>0.4981320049813201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4061-4FFC-8010-75C40062FCD3}"/>
            </c:ext>
          </c:extLst>
        </c:ser>
        <c:ser>
          <c:idx val="7"/>
          <c:order val="6"/>
          <c:tx>
            <c:strRef>
              <c:f>'MAY190407_2 aggr'!$O$4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'MAY190407_2 aggr'!$AB$7:$AB$33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4061-4FFC-8010-75C40062FCD3}"/>
            </c:ext>
          </c:extLst>
        </c:ser>
        <c:ser>
          <c:idx val="5"/>
          <c:order val="7"/>
          <c:tx>
            <c:strRef>
              <c:f>'MAY190407_2 aggr'!$M$4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'MAY190407_2 aggr'!$Z$7:$Z$33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82.287822878228781</c:v>
                </c:pt>
                <c:pt idx="10" formatCode="0.00">
                  <c:v>79.742765273311889</c:v>
                </c:pt>
                <c:pt idx="11" formatCode="0.00">
                  <c:v>78.625404821878377</c:v>
                </c:pt>
                <c:pt idx="12" formatCode="0.00">
                  <c:v>12.780269058295962</c:v>
                </c:pt>
                <c:pt idx="13" formatCode="0.00">
                  <c:v>12.951432129514322</c:v>
                </c:pt>
                <c:pt idx="14" formatCode="0.00">
                  <c:v>3.7959667852906289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4061-4FFC-8010-75C40062FC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'MAY190407_2 aggr'!$H$4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'MAY190407_2 aggr'!$B$7:$B$33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'MAY190407_2 aggr'!$AF$7:$AF$33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42.105263157894733</c:v>
                </c:pt>
                <c:pt idx="9" formatCode="0.00">
                  <c:v>39.583333333333329</c:v>
                </c:pt>
                <c:pt idx="10" formatCode="0.00">
                  <c:v>39.682539682539684</c:v>
                </c:pt>
                <c:pt idx="11" formatCode="0.00">
                  <c:v>20.37037037037037</c:v>
                </c:pt>
                <c:pt idx="12" formatCode="0.00">
                  <c:v>19.537275064267355</c:v>
                </c:pt>
                <c:pt idx="13" formatCode="0.00">
                  <c:v>11.731044349070098</c:v>
                </c:pt>
                <c:pt idx="14" formatCode="0.00">
                  <c:v>2.5893958076448826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553-44B4-9681-8BF3E32846C0}"/>
            </c:ext>
          </c:extLst>
        </c:ser>
        <c:ser>
          <c:idx val="1"/>
          <c:order val="1"/>
          <c:tx>
            <c:strRef>
              <c:f>'MAY190407_2 aggr'!$I$4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'MAY190407_2 aggr'!$AG$7:$AG$33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2.083333333333333</c:v>
                </c:pt>
                <c:pt idx="10" formatCode="0.00">
                  <c:v>7.936507936507935</c:v>
                </c:pt>
                <c:pt idx="11" formatCode="0.00">
                  <c:v>35.18518518518519</c:v>
                </c:pt>
                <c:pt idx="12" formatCode="0.00">
                  <c:v>64.267352185089976</c:v>
                </c:pt>
                <c:pt idx="13" formatCode="0.00">
                  <c:v>74.248927038626618</c:v>
                </c:pt>
                <c:pt idx="14" formatCode="0.00">
                  <c:v>83.477188655980271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553-44B4-9681-8BF3E32846C0}"/>
            </c:ext>
          </c:extLst>
        </c:ser>
        <c:ser>
          <c:idx val="2"/>
          <c:order val="2"/>
          <c:tx>
            <c:strRef>
              <c:f>'MAY190407_2 aggr'!$J$4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'MAY190407_2 aggr'!$AH$7:$AH$33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2.5751072961373391</c:v>
                </c:pt>
                <c:pt idx="14" formatCode="0.00">
                  <c:v>1.4796547472256472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553-44B4-9681-8BF3E32846C0}"/>
            </c:ext>
          </c:extLst>
        </c:ser>
        <c:ser>
          <c:idx val="3"/>
          <c:order val="3"/>
          <c:tx>
            <c:strRef>
              <c:f>'MAY190407_2 aggr'!$K$4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'MAY190407_2 aggr'!$AI$7:$AI$33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6.4267352185089974</c:v>
                </c:pt>
                <c:pt idx="13" formatCode="0.00">
                  <c:v>3.7195994277539342</c:v>
                </c:pt>
                <c:pt idx="14" formatCode="0.00">
                  <c:v>4.1923551171393338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553-44B4-9681-8BF3E32846C0}"/>
            </c:ext>
          </c:extLst>
        </c:ser>
        <c:ser>
          <c:idx val="4"/>
          <c:order val="4"/>
          <c:tx>
            <c:strRef>
              <c:f>'MAY190407_2 aggr'!$L$4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'MAY190407_2 aggr'!$AJ$7:$AJ$33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27.083333333333332</c:v>
                </c:pt>
                <c:pt idx="10" formatCode="0.00">
                  <c:v>0</c:v>
                </c:pt>
                <c:pt idx="11" formatCode="0.00">
                  <c:v>5.2188552188552197</c:v>
                </c:pt>
                <c:pt idx="12" formatCode="0.00">
                  <c:v>9.7686375321336776</c:v>
                </c:pt>
                <c:pt idx="13" formatCode="0.00">
                  <c:v>7.1530758226037197</c:v>
                </c:pt>
                <c:pt idx="14" formatCode="0.00">
                  <c:v>8.2614056720098645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553-44B4-9681-8BF3E32846C0}"/>
            </c:ext>
          </c:extLst>
        </c:ser>
        <c:ser>
          <c:idx val="6"/>
          <c:order val="5"/>
          <c:tx>
            <c:strRef>
              <c:f>'MAY190407_2 aggr'!$N$4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'MAY190407_2 aggr'!$AL$7:$AL$33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57.894736842105267</c:v>
                </c:pt>
                <c:pt idx="9" formatCode="0.00">
                  <c:v>31.249999999999993</c:v>
                </c:pt>
                <c:pt idx="10" formatCode="0.00">
                  <c:v>52.38095238095238</c:v>
                </c:pt>
                <c:pt idx="11" formatCode="0.00">
                  <c:v>39.225589225589225</c:v>
                </c:pt>
                <c:pt idx="12" formatCode="0.00">
                  <c:v>0</c:v>
                </c:pt>
                <c:pt idx="13" formatCode="0.00">
                  <c:v>0.57224606580829762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553-44B4-9681-8BF3E32846C0}"/>
            </c:ext>
          </c:extLst>
        </c:ser>
        <c:ser>
          <c:idx val="7"/>
          <c:order val="6"/>
          <c:tx>
            <c:strRef>
              <c:f>'MAY190407_2 aggr'!$O$4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'MAY190407_2 aggr'!$AM$7:$AM$33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1553-44B4-9681-8BF3E32846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'MAY190407_2 aggr'!$H$4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'MAY190407_2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'MAY190407_2 aggr'!$AF$15:$AF$21</c:f>
              <c:numCache>
                <c:formatCode>0.00</c:formatCode>
                <c:ptCount val="7"/>
                <c:pt idx="0">
                  <c:v>42.105263157894733</c:v>
                </c:pt>
                <c:pt idx="1">
                  <c:v>39.583333333333329</c:v>
                </c:pt>
                <c:pt idx="2">
                  <c:v>39.682539682539684</c:v>
                </c:pt>
                <c:pt idx="3">
                  <c:v>20.37037037037037</c:v>
                </c:pt>
                <c:pt idx="4">
                  <c:v>19.537275064267355</c:v>
                </c:pt>
                <c:pt idx="5">
                  <c:v>11.731044349070098</c:v>
                </c:pt>
                <c:pt idx="6">
                  <c:v>2.5893958076448826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33B-4FBA-9D54-F80AF536DD69}"/>
            </c:ext>
          </c:extLst>
        </c:ser>
        <c:ser>
          <c:idx val="1"/>
          <c:order val="1"/>
          <c:tx>
            <c:strRef>
              <c:f>'MAY190407_2 aggr'!$I$4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'MAY190407_2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'MAY190407_2 aggr'!$AG$15:$AG$21</c:f>
              <c:numCache>
                <c:formatCode>0.00</c:formatCode>
                <c:ptCount val="7"/>
                <c:pt idx="0">
                  <c:v>0</c:v>
                </c:pt>
                <c:pt idx="1">
                  <c:v>2.083333333333333</c:v>
                </c:pt>
                <c:pt idx="2">
                  <c:v>7.936507936507935</c:v>
                </c:pt>
                <c:pt idx="3">
                  <c:v>35.18518518518519</c:v>
                </c:pt>
                <c:pt idx="4">
                  <c:v>64.267352185089976</c:v>
                </c:pt>
                <c:pt idx="5">
                  <c:v>74.248927038626618</c:v>
                </c:pt>
                <c:pt idx="6">
                  <c:v>83.477188655980271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33B-4FBA-9D54-F80AF536DD69}"/>
            </c:ext>
          </c:extLst>
        </c:ser>
        <c:ser>
          <c:idx val="2"/>
          <c:order val="2"/>
          <c:tx>
            <c:strRef>
              <c:f>'MAY190407_2 aggr'!$J$4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'MAY190407_2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'MAY190407_2 aggr'!$AH$15:$AH$21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2.5751072961373391</c:v>
                </c:pt>
                <c:pt idx="6">
                  <c:v>1.4796547472256472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33B-4FBA-9D54-F80AF536DD69}"/>
            </c:ext>
          </c:extLst>
        </c:ser>
        <c:ser>
          <c:idx val="3"/>
          <c:order val="3"/>
          <c:tx>
            <c:strRef>
              <c:f>'MAY190407_2 aggr'!$K$4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'MAY190407_2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'MAY190407_2 aggr'!$AI$15:$AI$21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6.4267352185089974</c:v>
                </c:pt>
                <c:pt idx="5">
                  <c:v>3.7195994277539342</c:v>
                </c:pt>
                <c:pt idx="6">
                  <c:v>4.1923551171393338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833B-4FBA-9D54-F80AF536DD69}"/>
            </c:ext>
          </c:extLst>
        </c:ser>
        <c:ser>
          <c:idx val="4"/>
          <c:order val="4"/>
          <c:tx>
            <c:strRef>
              <c:f>'MAY190407_2 aggr'!$L$4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'MAY190407_2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'MAY190407_2 aggr'!$AJ$15:$AJ$21</c:f>
              <c:numCache>
                <c:formatCode>0.00</c:formatCode>
                <c:ptCount val="7"/>
                <c:pt idx="0">
                  <c:v>0</c:v>
                </c:pt>
                <c:pt idx="1">
                  <c:v>27.083333333333332</c:v>
                </c:pt>
                <c:pt idx="2">
                  <c:v>0</c:v>
                </c:pt>
                <c:pt idx="3">
                  <c:v>5.2188552188552197</c:v>
                </c:pt>
                <c:pt idx="4">
                  <c:v>9.7686375321336776</c:v>
                </c:pt>
                <c:pt idx="5">
                  <c:v>7.1530758226037197</c:v>
                </c:pt>
                <c:pt idx="6">
                  <c:v>8.2614056720098645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833B-4FBA-9D54-F80AF536DD69}"/>
            </c:ext>
          </c:extLst>
        </c:ser>
        <c:ser>
          <c:idx val="6"/>
          <c:order val="5"/>
          <c:tx>
            <c:strRef>
              <c:f>'MAY190407_2 aggr'!$N$4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'MAY190407_2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'MAY190407_2 aggr'!$AL$15:$AL$21</c:f>
              <c:numCache>
                <c:formatCode>0.00</c:formatCode>
                <c:ptCount val="7"/>
                <c:pt idx="0">
                  <c:v>57.894736842105267</c:v>
                </c:pt>
                <c:pt idx="1">
                  <c:v>31.249999999999993</c:v>
                </c:pt>
                <c:pt idx="2">
                  <c:v>52.38095238095238</c:v>
                </c:pt>
                <c:pt idx="3">
                  <c:v>39.225589225589225</c:v>
                </c:pt>
                <c:pt idx="4">
                  <c:v>0</c:v>
                </c:pt>
                <c:pt idx="5">
                  <c:v>0.57224606580829762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833B-4FBA-9D54-F80AF536DD69}"/>
            </c:ext>
          </c:extLst>
        </c:ser>
        <c:ser>
          <c:idx val="7"/>
          <c:order val="6"/>
          <c:tx>
            <c:strRef>
              <c:f>'MAY190407_2 aggr'!$O$4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'MAY190407_2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'MAY190407_2 aggr'!$AM$15:$AM$21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833B-4FBA-9D54-F80AF536DD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2930454735815426"/>
          <c:y val="3.3977357346377308E-2"/>
        </c:manualLayout>
      </c:layout>
      <c:overlay val="0"/>
      <c:txPr>
        <a:bodyPr/>
        <a:lstStyle/>
        <a:p>
          <a:pPr>
            <a:defRPr sz="1000" b="1"/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'MAY190407_2 aggr'!$D$2</c:f>
              <c:strCache>
                <c:ptCount val="1"/>
                <c:pt idx="0">
                  <c:v>MAY190407_2 aggr</c:v>
                </c:pt>
              </c:strCache>
            </c:strRef>
          </c:tx>
          <c:spPr>
            <a:pattFill prst="pct5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'MAY190407_2 aggr'!$B$7:$B$33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'MAY190407_2 aggr'!$D$7:$D$33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0.955446042441919</c:v>
                </c:pt>
                <c:pt idx="9">
                  <c:v>2.9669113949512216</c:v>
                </c:pt>
                <c:pt idx="10">
                  <c:v>3.4496630795534546</c:v>
                </c:pt>
                <c:pt idx="11">
                  <c:v>3.1781152569646989</c:v>
                </c:pt>
                <c:pt idx="12">
                  <c:v>2.0114653525093029</c:v>
                </c:pt>
                <c:pt idx="13">
                  <c:v>3.6105803077541991</c:v>
                </c:pt>
                <c:pt idx="14">
                  <c:v>4.2140199135069896</c:v>
                </c:pt>
                <c:pt idx="15">
                  <c:v>3.6709242683294785</c:v>
                </c:pt>
                <c:pt idx="16">
                  <c:v>3.2485165443025243</c:v>
                </c:pt>
                <c:pt idx="17">
                  <c:v>2.4741023835864429</c:v>
                </c:pt>
                <c:pt idx="18">
                  <c:v>2.5193603540179019</c:v>
                </c:pt>
                <c:pt idx="19">
                  <c:v>2.88645278085085</c:v>
                </c:pt>
                <c:pt idx="20">
                  <c:v>2.7255355526501055</c:v>
                </c:pt>
                <c:pt idx="21">
                  <c:v>3.6608669415669324</c:v>
                </c:pt>
                <c:pt idx="22">
                  <c:v>5.8785074927084384</c:v>
                </c:pt>
                <c:pt idx="23">
                  <c:v>7.3317912098964104</c:v>
                </c:pt>
                <c:pt idx="24">
                  <c:v>45.217741124409137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E64-4F6F-B0AA-6B6FDA7C3A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MAY190407_2_no_aggr!$D$2</c:f>
              <c:strCache>
                <c:ptCount val="1"/>
                <c:pt idx="0">
                  <c:v>MAY190407_2_no_aggr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bg1"/>
              </a:solidFill>
            </a:ln>
          </c:spPr>
          <c:invertIfNegative val="0"/>
          <c:cat>
            <c:strRef>
              <c:f>MAY190407_2_no_aggr!$B$7:$B$33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MAY190407_2_no_aggr!$D$7:$D$33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0.955446042441919</c:v>
                </c:pt>
                <c:pt idx="9">
                  <c:v>2.9669113949512216</c:v>
                </c:pt>
                <c:pt idx="10">
                  <c:v>3.4496630795534546</c:v>
                </c:pt>
                <c:pt idx="11">
                  <c:v>3.1781152569646989</c:v>
                </c:pt>
                <c:pt idx="12">
                  <c:v>2.0114653525093029</c:v>
                </c:pt>
                <c:pt idx="13">
                  <c:v>3.6105803077541991</c:v>
                </c:pt>
                <c:pt idx="14">
                  <c:v>4.2140199135069896</c:v>
                </c:pt>
                <c:pt idx="15">
                  <c:v>3.6709242683294785</c:v>
                </c:pt>
                <c:pt idx="16">
                  <c:v>3.2485165443025243</c:v>
                </c:pt>
                <c:pt idx="17">
                  <c:v>2.4741023835864429</c:v>
                </c:pt>
                <c:pt idx="18">
                  <c:v>2.5193603540179019</c:v>
                </c:pt>
                <c:pt idx="19">
                  <c:v>2.88645278085085</c:v>
                </c:pt>
                <c:pt idx="20">
                  <c:v>2.7255355526501055</c:v>
                </c:pt>
                <c:pt idx="21">
                  <c:v>3.6608669415669324</c:v>
                </c:pt>
                <c:pt idx="22">
                  <c:v>5.8785074927084384</c:v>
                </c:pt>
                <c:pt idx="23">
                  <c:v>7.3317912098964104</c:v>
                </c:pt>
                <c:pt idx="24">
                  <c:v>45.217741124409137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058-4407-B09A-2C29C9A91449}"/>
            </c:ext>
          </c:extLst>
        </c:ser>
        <c:ser>
          <c:idx val="1"/>
          <c:order val="1"/>
          <c:tx>
            <c:v>aggr</c:v>
          </c:tx>
          <c:spPr>
            <a:solidFill>
              <a:schemeClr val="bg2">
                <a:lumMod val="75000"/>
              </a:schemeClr>
            </a:solidFill>
            <a:ln>
              <a:solidFill>
                <a:schemeClr val="bg1"/>
              </a:solidFill>
            </a:ln>
          </c:spPr>
          <c:invertIfNegative val="0"/>
          <c:val>
            <c:numRef>
              <c:f>MAY190407_2_no_aggr!$R$7:$R$33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058-4407-B09A-2C29C9A914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MAY190407_2_no_aggr!$D$2</c:f>
              <c:strCache>
                <c:ptCount val="1"/>
                <c:pt idx="0">
                  <c:v>MAY190407_2_no_aggr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MAY190407_2_no_aggr!$B$7:$B$33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MAY190407_2_no_aggr!$E$7:$E$33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0.00">
                  <c:v>0</c:v>
                </c:pt>
                <c:pt idx="4" formatCode="0.00">
                  <c:v>0</c:v>
                </c:pt>
                <c:pt idx="5" formatCode="0.00">
                  <c:v>0</c:v>
                </c:pt>
                <c:pt idx="6" formatCode="0.00">
                  <c:v>0</c:v>
                </c:pt>
                <c:pt idx="7" formatCode="0.00">
                  <c:v>0</c:v>
                </c:pt>
                <c:pt idx="8" formatCode="0.00">
                  <c:v>0.955446042441919</c:v>
                </c:pt>
                <c:pt idx="9" formatCode="0.00">
                  <c:v>3.9223574373931407</c:v>
                </c:pt>
                <c:pt idx="10" formatCode="0.00">
                  <c:v>7.3720205169465949</c:v>
                </c:pt>
                <c:pt idx="11" formatCode="0.00">
                  <c:v>10.550135773911293</c:v>
                </c:pt>
                <c:pt idx="12" formatCode="0.00">
                  <c:v>12.561601126420596</c:v>
                </c:pt>
                <c:pt idx="13" formatCode="0.00">
                  <c:v>16.172181434174796</c:v>
                </c:pt>
                <c:pt idx="14" formatCode="0.00">
                  <c:v>20.386201347681784</c:v>
                </c:pt>
                <c:pt idx="15" formatCode="0.00">
                  <c:v>24.057125616011263</c:v>
                </c:pt>
                <c:pt idx="16" formatCode="0.00">
                  <c:v>27.305642160313788</c:v>
                </c:pt>
                <c:pt idx="17" formatCode="0.00">
                  <c:v>29.779744543900229</c:v>
                </c:pt>
                <c:pt idx="18" formatCode="0.00">
                  <c:v>32.299104897918127</c:v>
                </c:pt>
                <c:pt idx="19" formatCode="0.00">
                  <c:v>35.18555767876898</c:v>
                </c:pt>
                <c:pt idx="20" formatCode="0.00">
                  <c:v>37.911093231419088</c:v>
                </c:pt>
                <c:pt idx="21" formatCode="0.00">
                  <c:v>41.571960172986017</c:v>
                </c:pt>
                <c:pt idx="22" formatCode="0.00">
                  <c:v>47.450467665694454</c:v>
                </c:pt>
                <c:pt idx="23" formatCode="0.00">
                  <c:v>54.782258875590863</c:v>
                </c:pt>
                <c:pt idx="24" formatCode="0.00">
                  <c:v>100</c:v>
                </c:pt>
                <c:pt idx="25" formatCode="0.00">
                  <c:v>100</c:v>
                </c:pt>
                <c:pt idx="26" formatCode="0.00">
                  <c:v>100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0AA-48AE-9E01-2272E8E13A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MAY190407_2_no_aggr!$H$4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MAY190407_2_no_aggr!$B$7:$B$33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MAY190407_2_no_aggr!$H$7:$H$33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0.8</c:v>
                </c:pt>
                <c:pt idx="9">
                  <c:v>1.9</c:v>
                </c:pt>
                <c:pt idx="10">
                  <c:v>2.5</c:v>
                </c:pt>
                <c:pt idx="11">
                  <c:v>1.21</c:v>
                </c:pt>
                <c:pt idx="12">
                  <c:v>0.76</c:v>
                </c:pt>
                <c:pt idx="13">
                  <c:v>0.82</c:v>
                </c:pt>
                <c:pt idx="14">
                  <c:v>0.21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EFA-4330-8BB3-618D5DEAB194}"/>
            </c:ext>
          </c:extLst>
        </c:ser>
        <c:ser>
          <c:idx val="1"/>
          <c:order val="1"/>
          <c:tx>
            <c:strRef>
              <c:f>MAY190407_2_no_aggr!$I$4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MAY190407_2_no_aggr!$I$7:$I$33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0.1</c:v>
                </c:pt>
                <c:pt idx="10">
                  <c:v>0.5</c:v>
                </c:pt>
                <c:pt idx="11">
                  <c:v>2.09</c:v>
                </c:pt>
                <c:pt idx="12">
                  <c:v>2.5</c:v>
                </c:pt>
                <c:pt idx="13">
                  <c:v>5.19</c:v>
                </c:pt>
                <c:pt idx="14">
                  <c:v>6.77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EFA-4330-8BB3-618D5DEAB194}"/>
            </c:ext>
          </c:extLst>
        </c:ser>
        <c:ser>
          <c:idx val="2"/>
          <c:order val="2"/>
          <c:tx>
            <c:strRef>
              <c:f>MAY190407_2_no_aggr!$J$4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MAY190407_2_no_aggr!$J$7:$J$33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0.18</c:v>
                </c:pt>
                <c:pt idx="14">
                  <c:v>0.12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EFA-4330-8BB3-618D5DEAB194}"/>
            </c:ext>
          </c:extLst>
        </c:ser>
        <c:ser>
          <c:idx val="3"/>
          <c:order val="3"/>
          <c:tx>
            <c:strRef>
              <c:f>MAY190407_2_no_aggr!$K$4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MAY190407_2_no_aggr!$K$7:$K$33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0.25</c:v>
                </c:pt>
                <c:pt idx="13">
                  <c:v>0.26</c:v>
                </c:pt>
                <c:pt idx="14">
                  <c:v>0.34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3EFA-4330-8BB3-618D5DEAB194}"/>
            </c:ext>
          </c:extLst>
        </c:ser>
        <c:ser>
          <c:idx val="4"/>
          <c:order val="4"/>
          <c:tx>
            <c:strRef>
              <c:f>MAY190407_2_no_aggr!$L$4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MAY190407_2_no_aggr!$L$7:$L$33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1.3</c:v>
                </c:pt>
                <c:pt idx="10">
                  <c:v>0</c:v>
                </c:pt>
                <c:pt idx="11">
                  <c:v>0.31</c:v>
                </c:pt>
                <c:pt idx="12">
                  <c:v>0.38</c:v>
                </c:pt>
                <c:pt idx="13">
                  <c:v>0.5</c:v>
                </c:pt>
                <c:pt idx="14">
                  <c:v>0.67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3EFA-4330-8BB3-618D5DEAB194}"/>
            </c:ext>
          </c:extLst>
        </c:ser>
        <c:ser>
          <c:idx val="6"/>
          <c:order val="5"/>
          <c:tx>
            <c:strRef>
              <c:f>MAY190407_2_no_aggr!$N$4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MAY190407_2_no_aggr!$N$7:$N$33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1.1000000000000001</c:v>
                </c:pt>
                <c:pt idx="9">
                  <c:v>1.5</c:v>
                </c:pt>
                <c:pt idx="10">
                  <c:v>3.3</c:v>
                </c:pt>
                <c:pt idx="11">
                  <c:v>2.33</c:v>
                </c:pt>
                <c:pt idx="12">
                  <c:v>0</c:v>
                </c:pt>
                <c:pt idx="13">
                  <c:v>0.04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3EFA-4330-8BB3-618D5DEAB194}"/>
            </c:ext>
          </c:extLst>
        </c:ser>
        <c:ser>
          <c:idx val="7"/>
          <c:order val="6"/>
          <c:tx>
            <c:strRef>
              <c:f>MAY190407_2_no_aggr!$O$4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MAY190407_2_no_aggr!$O$7:$O$33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3EFA-4330-8BB3-618D5DEAB194}"/>
            </c:ext>
          </c:extLst>
        </c:ser>
        <c:ser>
          <c:idx val="5"/>
          <c:order val="7"/>
          <c:tx>
            <c:strRef>
              <c:f>MAY190407_2_no_aggr!$M$4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MAY190407_2_no_aggr!$M$7:$M$33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3EFA-4330-8BB3-618D5DEAB1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MAY190407_2_no_aggr!$H$4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MAY190407_2_no_aggr!$B$7:$B$33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MAY190407_2_no_aggr!$U$7:$U$33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42.105263157894733</c:v>
                </c:pt>
                <c:pt idx="9" formatCode="0.00">
                  <c:v>39.583333333333336</c:v>
                </c:pt>
                <c:pt idx="10" formatCode="0.00">
                  <c:v>39.682539682539684</c:v>
                </c:pt>
                <c:pt idx="11" formatCode="0.00">
                  <c:v>20.370370370370374</c:v>
                </c:pt>
                <c:pt idx="12" formatCode="0.00">
                  <c:v>19.537275064267355</c:v>
                </c:pt>
                <c:pt idx="13" formatCode="0.00">
                  <c:v>11.7310443490701</c:v>
                </c:pt>
                <c:pt idx="14" formatCode="0.00">
                  <c:v>2.5893958076448831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686-45F1-89B7-B3A8E8A1D1D7}"/>
            </c:ext>
          </c:extLst>
        </c:ser>
        <c:ser>
          <c:idx val="1"/>
          <c:order val="1"/>
          <c:tx>
            <c:strRef>
              <c:f>MAY190407_2_no_aggr!$I$4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MAY190407_2_no_aggr!$V$7:$V$33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2.0833333333333335</c:v>
                </c:pt>
                <c:pt idx="10" formatCode="0.00">
                  <c:v>7.9365079365079367</c:v>
                </c:pt>
                <c:pt idx="11" formatCode="0.00">
                  <c:v>35.18518518518519</c:v>
                </c:pt>
                <c:pt idx="12" formatCode="0.00">
                  <c:v>64.267352185089976</c:v>
                </c:pt>
                <c:pt idx="13" formatCode="0.00">
                  <c:v>74.248927038626604</c:v>
                </c:pt>
                <c:pt idx="14" formatCode="0.00">
                  <c:v>83.477188655980271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686-45F1-89B7-B3A8E8A1D1D7}"/>
            </c:ext>
          </c:extLst>
        </c:ser>
        <c:ser>
          <c:idx val="2"/>
          <c:order val="2"/>
          <c:tx>
            <c:strRef>
              <c:f>MAY190407_2_no_aggr!$J$4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MAY190407_2_no_aggr!$W$7:$W$33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2.5751072961373391</c:v>
                </c:pt>
                <c:pt idx="14" formatCode="0.00">
                  <c:v>1.4796547472256474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686-45F1-89B7-B3A8E8A1D1D7}"/>
            </c:ext>
          </c:extLst>
        </c:ser>
        <c:ser>
          <c:idx val="3"/>
          <c:order val="3"/>
          <c:tx>
            <c:strRef>
              <c:f>MAY190407_2_no_aggr!$K$4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MAY190407_2_no_aggr!$X$7:$X$33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6.4267352185089983</c:v>
                </c:pt>
                <c:pt idx="13" formatCode="0.00">
                  <c:v>3.7195994277539342</c:v>
                </c:pt>
                <c:pt idx="14" formatCode="0.00">
                  <c:v>4.1923551171393347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686-45F1-89B7-B3A8E8A1D1D7}"/>
            </c:ext>
          </c:extLst>
        </c:ser>
        <c:ser>
          <c:idx val="4"/>
          <c:order val="4"/>
          <c:tx>
            <c:strRef>
              <c:f>MAY190407_2_no_aggr!$L$4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MAY190407_2_no_aggr!$Y$7:$Y$33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27.083333333333336</c:v>
                </c:pt>
                <c:pt idx="10" formatCode="0.00">
                  <c:v>0</c:v>
                </c:pt>
                <c:pt idx="11" formatCode="0.00">
                  <c:v>5.2188552188552189</c:v>
                </c:pt>
                <c:pt idx="12" formatCode="0.00">
                  <c:v>9.7686375321336776</c:v>
                </c:pt>
                <c:pt idx="13" formatCode="0.00">
                  <c:v>7.1530758226037197</c:v>
                </c:pt>
                <c:pt idx="14" formatCode="0.00">
                  <c:v>8.2614056720098645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686-45F1-89B7-B3A8E8A1D1D7}"/>
            </c:ext>
          </c:extLst>
        </c:ser>
        <c:ser>
          <c:idx val="6"/>
          <c:order val="5"/>
          <c:tx>
            <c:strRef>
              <c:f>MAY190407_2_no_aggr!$N$4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MAY190407_2_no_aggr!$AA$7:$AA$33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57.894736842105267</c:v>
                </c:pt>
                <c:pt idx="9" formatCode="0.00">
                  <c:v>31.25</c:v>
                </c:pt>
                <c:pt idx="10" formatCode="0.00">
                  <c:v>52.38095238095238</c:v>
                </c:pt>
                <c:pt idx="11" formatCode="0.00">
                  <c:v>39.225589225589232</c:v>
                </c:pt>
                <c:pt idx="12" formatCode="0.00">
                  <c:v>0</c:v>
                </c:pt>
                <c:pt idx="13" formatCode="0.00">
                  <c:v>0.57224606580829751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5686-45F1-89B7-B3A8E8A1D1D7}"/>
            </c:ext>
          </c:extLst>
        </c:ser>
        <c:ser>
          <c:idx val="7"/>
          <c:order val="6"/>
          <c:tx>
            <c:strRef>
              <c:f>MAY190407_2_no_aggr!$O$4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MAY190407_2_no_aggr!$AB$7:$AB$33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686-45F1-89B7-B3A8E8A1D1D7}"/>
            </c:ext>
          </c:extLst>
        </c:ser>
        <c:ser>
          <c:idx val="5"/>
          <c:order val="7"/>
          <c:tx>
            <c:strRef>
              <c:f>MAY190407_2_no_aggr!$M$4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MAY190407_2_no_aggr!$Z$7:$Z$33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686-45F1-89B7-B3A8E8A1D1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MAY190407_2_no_aggr!$H$4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MAY190407_2_no_aggr!$B$7:$B$33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MAY190407_2_no_aggr!$AF$7:$AF$33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42.105263157894733</c:v>
                </c:pt>
                <c:pt idx="9" formatCode="0.00">
                  <c:v>39.583333333333336</c:v>
                </c:pt>
                <c:pt idx="10" formatCode="0.00">
                  <c:v>39.682539682539684</c:v>
                </c:pt>
                <c:pt idx="11" formatCode="0.00">
                  <c:v>20.37037037037037</c:v>
                </c:pt>
                <c:pt idx="12" formatCode="0.00">
                  <c:v>19.537275064267352</c:v>
                </c:pt>
                <c:pt idx="13" formatCode="0.00">
                  <c:v>11.7310443490701</c:v>
                </c:pt>
                <c:pt idx="14" formatCode="0.00">
                  <c:v>2.5893958076448831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006-44A7-82E0-EAFB0F2A4BA5}"/>
            </c:ext>
          </c:extLst>
        </c:ser>
        <c:ser>
          <c:idx val="1"/>
          <c:order val="1"/>
          <c:tx>
            <c:strRef>
              <c:f>MAY190407_2_no_aggr!$I$4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MAY190407_2_no_aggr!$AG$7:$AG$33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2.0833333333333335</c:v>
                </c:pt>
                <c:pt idx="10" formatCode="0.00">
                  <c:v>7.9365079365079376</c:v>
                </c:pt>
                <c:pt idx="11" formatCode="0.00">
                  <c:v>35.185185185185183</c:v>
                </c:pt>
                <c:pt idx="12" formatCode="0.00">
                  <c:v>64.267352185089962</c:v>
                </c:pt>
                <c:pt idx="13" formatCode="0.00">
                  <c:v>74.248927038626604</c:v>
                </c:pt>
                <c:pt idx="14" formatCode="0.00">
                  <c:v>83.477188655980257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006-44A7-82E0-EAFB0F2A4BA5}"/>
            </c:ext>
          </c:extLst>
        </c:ser>
        <c:ser>
          <c:idx val="2"/>
          <c:order val="2"/>
          <c:tx>
            <c:strRef>
              <c:f>MAY190407_2_no_aggr!$J$4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MAY190407_2_no_aggr!$AH$7:$AH$33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2.5751072961373391</c:v>
                </c:pt>
                <c:pt idx="14" formatCode="0.00">
                  <c:v>1.4796547472256476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006-44A7-82E0-EAFB0F2A4BA5}"/>
            </c:ext>
          </c:extLst>
        </c:ser>
        <c:ser>
          <c:idx val="3"/>
          <c:order val="3"/>
          <c:tx>
            <c:strRef>
              <c:f>MAY190407_2_no_aggr!$K$4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MAY190407_2_no_aggr!$AI$7:$AI$33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6.4267352185089974</c:v>
                </c:pt>
                <c:pt idx="13" formatCode="0.00">
                  <c:v>3.7195994277539342</c:v>
                </c:pt>
                <c:pt idx="14" formatCode="0.00">
                  <c:v>4.1923551171393347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8006-44A7-82E0-EAFB0F2A4BA5}"/>
            </c:ext>
          </c:extLst>
        </c:ser>
        <c:ser>
          <c:idx val="4"/>
          <c:order val="4"/>
          <c:tx>
            <c:strRef>
              <c:f>MAY190407_2_no_aggr!$L$4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MAY190407_2_no_aggr!$AJ$7:$AJ$33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27.083333333333336</c:v>
                </c:pt>
                <c:pt idx="10" formatCode="0.00">
                  <c:v>0</c:v>
                </c:pt>
                <c:pt idx="11" formatCode="0.00">
                  <c:v>5.2188552188552189</c:v>
                </c:pt>
                <c:pt idx="12" formatCode="0.00">
                  <c:v>9.7686375321336758</c:v>
                </c:pt>
                <c:pt idx="13" formatCode="0.00">
                  <c:v>7.1530758226037197</c:v>
                </c:pt>
                <c:pt idx="14" formatCode="0.00">
                  <c:v>8.2614056720098645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8006-44A7-82E0-EAFB0F2A4BA5}"/>
            </c:ext>
          </c:extLst>
        </c:ser>
        <c:ser>
          <c:idx val="6"/>
          <c:order val="5"/>
          <c:tx>
            <c:strRef>
              <c:f>MAY190407_2_no_aggr!$N$4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MAY190407_2_no_aggr!$AL$7:$AL$33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57.894736842105267</c:v>
                </c:pt>
                <c:pt idx="9" formatCode="0.00">
                  <c:v>31.25</c:v>
                </c:pt>
                <c:pt idx="10" formatCode="0.00">
                  <c:v>52.38095238095238</c:v>
                </c:pt>
                <c:pt idx="11" formatCode="0.00">
                  <c:v>39.225589225589225</c:v>
                </c:pt>
                <c:pt idx="12" formatCode="0.00">
                  <c:v>0</c:v>
                </c:pt>
                <c:pt idx="13" formatCode="0.00">
                  <c:v>0.57224606580829751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8006-44A7-82E0-EAFB0F2A4BA5}"/>
            </c:ext>
          </c:extLst>
        </c:ser>
        <c:ser>
          <c:idx val="7"/>
          <c:order val="6"/>
          <c:tx>
            <c:strRef>
              <c:f>MAY190407_2_no_aggr!$O$4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MAY190407_2_no_aggr!$AM$7:$AM$33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8006-44A7-82E0-EAFB0F2A4B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MAY190407_2_no_aggr!$H$4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MAY190407_2_no_aggr!$AE$15:$AE$21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MAY190407_2_no_aggr!$AF$15:$AF$21</c:f>
              <c:numCache>
                <c:formatCode>0.00</c:formatCode>
                <c:ptCount val="7"/>
                <c:pt idx="0">
                  <c:v>42.105263157894733</c:v>
                </c:pt>
                <c:pt idx="1">
                  <c:v>39.583333333333336</c:v>
                </c:pt>
                <c:pt idx="2">
                  <c:v>39.682539682539684</c:v>
                </c:pt>
                <c:pt idx="3">
                  <c:v>20.37037037037037</c:v>
                </c:pt>
                <c:pt idx="4">
                  <c:v>19.537275064267352</c:v>
                </c:pt>
                <c:pt idx="5">
                  <c:v>11.7310443490701</c:v>
                </c:pt>
                <c:pt idx="6">
                  <c:v>2.5893958076448831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7D0-4ED9-A95C-FBC1965F9885}"/>
            </c:ext>
          </c:extLst>
        </c:ser>
        <c:ser>
          <c:idx val="1"/>
          <c:order val="1"/>
          <c:tx>
            <c:strRef>
              <c:f>MAY190407_2_no_aggr!$I$4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MAY190407_2_no_aggr!$AE$15:$AE$21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MAY190407_2_no_aggr!$AG$15:$AG$21</c:f>
              <c:numCache>
                <c:formatCode>0.00</c:formatCode>
                <c:ptCount val="7"/>
                <c:pt idx="0">
                  <c:v>0</c:v>
                </c:pt>
                <c:pt idx="1">
                  <c:v>2.0833333333333335</c:v>
                </c:pt>
                <c:pt idx="2">
                  <c:v>7.9365079365079376</c:v>
                </c:pt>
                <c:pt idx="3">
                  <c:v>35.185185185185183</c:v>
                </c:pt>
                <c:pt idx="4">
                  <c:v>64.267352185089962</c:v>
                </c:pt>
                <c:pt idx="5">
                  <c:v>74.248927038626604</c:v>
                </c:pt>
                <c:pt idx="6">
                  <c:v>83.477188655980257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7D0-4ED9-A95C-FBC1965F9885}"/>
            </c:ext>
          </c:extLst>
        </c:ser>
        <c:ser>
          <c:idx val="2"/>
          <c:order val="2"/>
          <c:tx>
            <c:strRef>
              <c:f>MAY190407_2_no_aggr!$J$4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MAY190407_2_no_aggr!$AE$15:$AE$21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MAY190407_2_no_aggr!$AH$15:$AH$21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2.5751072961373391</c:v>
                </c:pt>
                <c:pt idx="6">
                  <c:v>1.4796547472256476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7D0-4ED9-A95C-FBC1965F9885}"/>
            </c:ext>
          </c:extLst>
        </c:ser>
        <c:ser>
          <c:idx val="3"/>
          <c:order val="3"/>
          <c:tx>
            <c:strRef>
              <c:f>MAY190407_2_no_aggr!$K$4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MAY190407_2_no_aggr!$AE$15:$AE$21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MAY190407_2_no_aggr!$AI$15:$AI$21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6.4267352185089974</c:v>
                </c:pt>
                <c:pt idx="5">
                  <c:v>3.7195994277539342</c:v>
                </c:pt>
                <c:pt idx="6">
                  <c:v>4.1923551171393347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7D0-4ED9-A95C-FBC1965F9885}"/>
            </c:ext>
          </c:extLst>
        </c:ser>
        <c:ser>
          <c:idx val="4"/>
          <c:order val="4"/>
          <c:tx>
            <c:strRef>
              <c:f>MAY190407_2_no_aggr!$L$4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MAY190407_2_no_aggr!$AE$15:$AE$21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MAY190407_2_no_aggr!$AJ$15:$AJ$21</c:f>
              <c:numCache>
                <c:formatCode>0.00</c:formatCode>
                <c:ptCount val="7"/>
                <c:pt idx="0">
                  <c:v>0</c:v>
                </c:pt>
                <c:pt idx="1">
                  <c:v>27.083333333333336</c:v>
                </c:pt>
                <c:pt idx="2">
                  <c:v>0</c:v>
                </c:pt>
                <c:pt idx="3">
                  <c:v>5.2188552188552189</c:v>
                </c:pt>
                <c:pt idx="4">
                  <c:v>9.7686375321336758</c:v>
                </c:pt>
                <c:pt idx="5">
                  <c:v>7.1530758226037197</c:v>
                </c:pt>
                <c:pt idx="6">
                  <c:v>8.2614056720098645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7D0-4ED9-A95C-FBC1965F9885}"/>
            </c:ext>
          </c:extLst>
        </c:ser>
        <c:ser>
          <c:idx val="6"/>
          <c:order val="5"/>
          <c:tx>
            <c:strRef>
              <c:f>MAY190407_2_no_aggr!$N$4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MAY190407_2_no_aggr!$AE$15:$AE$21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MAY190407_2_no_aggr!$AL$15:$AL$21</c:f>
              <c:numCache>
                <c:formatCode>0.00</c:formatCode>
                <c:ptCount val="7"/>
                <c:pt idx="0">
                  <c:v>57.894736842105267</c:v>
                </c:pt>
                <c:pt idx="1">
                  <c:v>31.25</c:v>
                </c:pt>
                <c:pt idx="2">
                  <c:v>52.38095238095238</c:v>
                </c:pt>
                <c:pt idx="3">
                  <c:v>39.225589225589225</c:v>
                </c:pt>
                <c:pt idx="4">
                  <c:v>0</c:v>
                </c:pt>
                <c:pt idx="5">
                  <c:v>0.57224606580829751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27D0-4ED9-A95C-FBC1965F9885}"/>
            </c:ext>
          </c:extLst>
        </c:ser>
        <c:ser>
          <c:idx val="7"/>
          <c:order val="6"/>
          <c:tx>
            <c:strRef>
              <c:f>MAY190407_2_no_aggr!$O$4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MAY190407_2_no_aggr!$AE$15:$AE$21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MAY190407_2_no_aggr!$AM$15:$AM$21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27D0-4ED9-A95C-FBC1965F98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2930454735815426"/>
          <c:y val="3.3977357346377308E-2"/>
        </c:manualLayout>
      </c:layout>
      <c:overlay val="0"/>
      <c:txPr>
        <a:bodyPr/>
        <a:lstStyle/>
        <a:p>
          <a:pPr>
            <a:defRPr sz="1000" b="1"/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MAY190407_2_no_aggr!$D$2</c:f>
              <c:strCache>
                <c:ptCount val="1"/>
                <c:pt idx="0">
                  <c:v>MAY190407_2_no_aggr</c:v>
                </c:pt>
              </c:strCache>
            </c:strRef>
          </c:tx>
          <c:spPr>
            <a:pattFill prst="pct5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MAY190407_2_no_aggr!$B$7:$B$33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MAY190407_2_no_aggr!$D$7:$D$33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0.955446042441919</c:v>
                </c:pt>
                <c:pt idx="9">
                  <c:v>2.9669113949512216</c:v>
                </c:pt>
                <c:pt idx="10">
                  <c:v>3.4496630795534546</c:v>
                </c:pt>
                <c:pt idx="11">
                  <c:v>3.1781152569646989</c:v>
                </c:pt>
                <c:pt idx="12">
                  <c:v>2.0114653525093029</c:v>
                </c:pt>
                <c:pt idx="13">
                  <c:v>3.6105803077541991</c:v>
                </c:pt>
                <c:pt idx="14">
                  <c:v>4.2140199135069896</c:v>
                </c:pt>
                <c:pt idx="15">
                  <c:v>3.6709242683294785</c:v>
                </c:pt>
                <c:pt idx="16">
                  <c:v>3.2485165443025243</c:v>
                </c:pt>
                <c:pt idx="17">
                  <c:v>2.4741023835864429</c:v>
                </c:pt>
                <c:pt idx="18">
                  <c:v>2.5193603540179019</c:v>
                </c:pt>
                <c:pt idx="19">
                  <c:v>2.88645278085085</c:v>
                </c:pt>
                <c:pt idx="20">
                  <c:v>2.7255355526501055</c:v>
                </c:pt>
                <c:pt idx="21">
                  <c:v>3.6608669415669324</c:v>
                </c:pt>
                <c:pt idx="22">
                  <c:v>5.8785074927084384</c:v>
                </c:pt>
                <c:pt idx="23">
                  <c:v>7.3317912098964104</c:v>
                </c:pt>
                <c:pt idx="24">
                  <c:v>45.217741124409137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6CF-4C11-8FA7-98222B7F28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2930454735815426"/>
          <c:y val="3.3977357346377308E-2"/>
        </c:manualLayout>
      </c:layout>
      <c:overlay val="0"/>
      <c:txPr>
        <a:bodyPr/>
        <a:lstStyle/>
        <a:p>
          <a:pPr>
            <a:defRPr sz="1000" b="1"/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MAY190407_3!$D$2</c:f>
              <c:strCache>
                <c:ptCount val="1"/>
                <c:pt idx="0">
                  <c:v>MAY190407_3</c:v>
                </c:pt>
              </c:strCache>
            </c:strRef>
          </c:tx>
          <c:spPr>
            <a:pattFill prst="pct5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MAY190407_3!$B$7:$B$33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MAY190407_3!$D$7:$D$33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1.37645646847027</c:v>
                </c:pt>
                <c:pt idx="8">
                  <c:v>5.1870280542081302</c:v>
                </c:pt>
                <c:pt idx="9">
                  <c:v>9.1038655798369721</c:v>
                </c:pt>
                <c:pt idx="10">
                  <c:v>15.383557533630041</c:v>
                </c:pt>
                <c:pt idx="11">
                  <c:v>13.695804370655596</c:v>
                </c:pt>
                <c:pt idx="12">
                  <c:v>13.101965294794216</c:v>
                </c:pt>
                <c:pt idx="13">
                  <c:v>10.840376056408457</c:v>
                </c:pt>
                <c:pt idx="14">
                  <c:v>8.6412961944291631</c:v>
                </c:pt>
                <c:pt idx="15">
                  <c:v>6.0309046356953528</c:v>
                </c:pt>
                <c:pt idx="16">
                  <c:v>3.8430764614692192</c:v>
                </c:pt>
                <c:pt idx="17">
                  <c:v>1.9627944191628739</c:v>
                </c:pt>
                <c:pt idx="18">
                  <c:v>1.0589088363254486</c:v>
                </c:pt>
                <c:pt idx="19">
                  <c:v>0.74386157923688534</c:v>
                </c:pt>
                <c:pt idx="20">
                  <c:v>0.57883682552382842</c:v>
                </c:pt>
                <c:pt idx="21">
                  <c:v>0.60884132619892961</c:v>
                </c:pt>
                <c:pt idx="22">
                  <c:v>1.5902385357803666</c:v>
                </c:pt>
                <c:pt idx="23">
                  <c:v>2.7179076861529219</c:v>
                </c:pt>
                <c:pt idx="24">
                  <c:v>3.5342801420213026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EEA-4D77-A34B-4D65B72BB7B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MAY190407_3!$D$2</c:f>
              <c:strCache>
                <c:ptCount val="1"/>
                <c:pt idx="0">
                  <c:v>MAY190407_3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MAY190407_3!$B$7:$B$33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MAY190407_3!$E$7:$E$33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0.00">
                  <c:v>0</c:v>
                </c:pt>
                <c:pt idx="4" formatCode="0.00">
                  <c:v>0</c:v>
                </c:pt>
                <c:pt idx="5" formatCode="0.00">
                  <c:v>0</c:v>
                </c:pt>
                <c:pt idx="6" formatCode="0.00">
                  <c:v>0</c:v>
                </c:pt>
                <c:pt idx="7" formatCode="0.00">
                  <c:v>1.37645646847027</c:v>
                </c:pt>
                <c:pt idx="8" formatCode="0.00">
                  <c:v>6.5634845226784</c:v>
                </c:pt>
                <c:pt idx="9" formatCode="0.00">
                  <c:v>15.667350102515371</c:v>
                </c:pt>
                <c:pt idx="10" formatCode="0.00">
                  <c:v>31.050907636145411</c:v>
                </c:pt>
                <c:pt idx="11" formatCode="0.00">
                  <c:v>44.746712006801005</c:v>
                </c:pt>
                <c:pt idx="12" formatCode="0.00">
                  <c:v>57.848677301595217</c:v>
                </c:pt>
                <c:pt idx="13" formatCode="0.00">
                  <c:v>68.689053358003676</c:v>
                </c:pt>
                <c:pt idx="14" formatCode="0.00">
                  <c:v>77.330349552432835</c:v>
                </c:pt>
                <c:pt idx="15" formatCode="0.00">
                  <c:v>83.361254188128186</c:v>
                </c:pt>
                <c:pt idx="16" formatCode="0.00">
                  <c:v>87.204330649597409</c:v>
                </c:pt>
                <c:pt idx="17" formatCode="0.00">
                  <c:v>89.167125068760285</c:v>
                </c:pt>
                <c:pt idx="18" formatCode="0.00">
                  <c:v>90.226033905085728</c:v>
                </c:pt>
                <c:pt idx="19" formatCode="0.00">
                  <c:v>90.96989548432262</c:v>
                </c:pt>
                <c:pt idx="20" formatCode="0.00">
                  <c:v>91.548732309846443</c:v>
                </c:pt>
                <c:pt idx="21" formatCode="0.00">
                  <c:v>92.15757363604537</c:v>
                </c:pt>
                <c:pt idx="22" formatCode="0.00">
                  <c:v>93.747812171825743</c:v>
                </c:pt>
                <c:pt idx="23" formatCode="0.00">
                  <c:v>96.465719857978669</c:v>
                </c:pt>
                <c:pt idx="24" formatCode="0.00">
                  <c:v>99.999999999999972</c:v>
                </c:pt>
                <c:pt idx="25" formatCode="0.00">
                  <c:v>99.999999999999972</c:v>
                </c:pt>
                <c:pt idx="26" formatCode="0.00">
                  <c:v>99.999999999999972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835-4110-846F-E55BE3F0371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MAY190407_3!$H$4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MAY190407_3!$B$7:$B$33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MAY190407_3!$H$7:$H$33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2.39</c:v>
                </c:pt>
                <c:pt idx="8">
                  <c:v>30.66</c:v>
                </c:pt>
                <c:pt idx="9">
                  <c:v>46.75</c:v>
                </c:pt>
                <c:pt idx="10">
                  <c:v>71.75</c:v>
                </c:pt>
                <c:pt idx="11">
                  <c:v>53.442524326347296</c:v>
                </c:pt>
                <c:pt idx="12">
                  <c:v>34.325677011267047</c:v>
                </c:pt>
                <c:pt idx="13">
                  <c:v>19.907665753424659</c:v>
                </c:pt>
                <c:pt idx="14">
                  <c:v>39.199829968119033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3BC-41A7-A358-0FA0AB175B78}"/>
            </c:ext>
          </c:extLst>
        </c:ser>
        <c:ser>
          <c:idx val="1"/>
          <c:order val="1"/>
          <c:tx>
            <c:strRef>
              <c:f>MAY190407_3!$I$4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MAY190407_3!$I$7:$I$33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3.61</c:v>
                </c:pt>
                <c:pt idx="9">
                  <c:v>7.63</c:v>
                </c:pt>
                <c:pt idx="10">
                  <c:v>25.86</c:v>
                </c:pt>
                <c:pt idx="11">
                  <c:v>28.453480538922154</c:v>
                </c:pt>
                <c:pt idx="12">
                  <c:v>43.999841865981409</c:v>
                </c:pt>
                <c:pt idx="13">
                  <c:v>42.856120547945196</c:v>
                </c:pt>
                <c:pt idx="14">
                  <c:v>15.572199787460152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3BC-41A7-A358-0FA0AB175B78}"/>
            </c:ext>
          </c:extLst>
        </c:ser>
        <c:ser>
          <c:idx val="2"/>
          <c:order val="2"/>
          <c:tx>
            <c:strRef>
              <c:f>MAY190407_3!$J$4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MAY190407_3!$J$7:$J$33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3BC-41A7-A358-0FA0AB175B78}"/>
            </c:ext>
          </c:extLst>
        </c:ser>
        <c:ser>
          <c:idx val="3"/>
          <c:order val="3"/>
          <c:tx>
            <c:strRef>
              <c:f>MAY190407_3!$K$4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MAY190407_3!$K$7:$K$33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8.44</c:v>
                </c:pt>
                <c:pt idx="8">
                  <c:v>2.57</c:v>
                </c:pt>
                <c:pt idx="9">
                  <c:v>10.25</c:v>
                </c:pt>
                <c:pt idx="10">
                  <c:v>5.92</c:v>
                </c:pt>
                <c:pt idx="11">
                  <c:v>7.6053611526946101</c:v>
                </c:pt>
                <c:pt idx="12">
                  <c:v>7.4783158727021144</c:v>
                </c:pt>
                <c:pt idx="13">
                  <c:v>6.3666520547945202</c:v>
                </c:pt>
                <c:pt idx="14">
                  <c:v>4.2358342189160467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3BC-41A7-A358-0FA0AB175B78}"/>
            </c:ext>
          </c:extLst>
        </c:ser>
        <c:ser>
          <c:idx val="4"/>
          <c:order val="4"/>
          <c:tx>
            <c:strRef>
              <c:f>MAY190407_3!$L$4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MAY190407_3!$L$7:$L$33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4.37</c:v>
                </c:pt>
                <c:pt idx="9">
                  <c:v>6.65</c:v>
                </c:pt>
                <c:pt idx="10">
                  <c:v>17.809999999999999</c:v>
                </c:pt>
                <c:pt idx="11">
                  <c:v>20.048633982035923</c:v>
                </c:pt>
                <c:pt idx="12">
                  <c:v>18.996165250049415</c:v>
                </c:pt>
                <c:pt idx="13">
                  <c:v>17.579561643835618</c:v>
                </c:pt>
                <c:pt idx="14">
                  <c:v>10.014197662061637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3BC-41A7-A358-0FA0AB175B78}"/>
            </c:ext>
          </c:extLst>
        </c:ser>
        <c:ser>
          <c:idx val="6"/>
          <c:order val="5"/>
          <c:tx>
            <c:strRef>
              <c:f>MAY190407_3!$N$4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MAY190407_3!$N$7:$N$33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23BC-41A7-A358-0FA0AB175B78}"/>
            </c:ext>
          </c:extLst>
        </c:ser>
        <c:ser>
          <c:idx val="7"/>
          <c:order val="6"/>
          <c:tx>
            <c:strRef>
              <c:f>MAY190407_3!$O$4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MAY190407_3!$O$7:$O$33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9.793836344314559E-2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23BC-41A7-A358-0FA0AB175B78}"/>
            </c:ext>
          </c:extLst>
        </c:ser>
        <c:ser>
          <c:idx val="5"/>
          <c:order val="7"/>
          <c:tx>
            <c:strRef>
              <c:f>MAY190407_3!$M$4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MAY190407_3!$M$7:$M$33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23BC-41A7-A358-0FA0AB175B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MAY190407_3!$H$4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MAY190407_3!$B$7:$B$33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MAY190407_3!$U$7:$U$33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22.068328716528164</c:v>
                </c:pt>
                <c:pt idx="8" formatCode="0.00">
                  <c:v>74.39941761708323</c:v>
                </c:pt>
                <c:pt idx="9" formatCode="0.00">
                  <c:v>65.586419753086417</c:v>
                </c:pt>
                <c:pt idx="10" formatCode="0.00">
                  <c:v>59.131366408439092</c:v>
                </c:pt>
                <c:pt idx="11" formatCode="0.00">
                  <c:v>48.783682634730532</c:v>
                </c:pt>
                <c:pt idx="12" formatCode="0.00">
                  <c:v>32.753508598537266</c:v>
                </c:pt>
                <c:pt idx="13" formatCode="0.00">
                  <c:v>22.958904109589046</c:v>
                </c:pt>
                <c:pt idx="14" formatCode="0.00">
                  <c:v>56.712716967764791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61E-4BD6-BE86-6CBE78B5E953}"/>
            </c:ext>
          </c:extLst>
        </c:ser>
        <c:ser>
          <c:idx val="1"/>
          <c:order val="1"/>
          <c:tx>
            <c:strRef>
              <c:f>MAY190407_3!$I$4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MAY190407_3!$V$7:$V$33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8.7600097063819451</c:v>
                </c:pt>
                <c:pt idx="9" formatCode="0.00">
                  <c:v>10.704264870931537</c:v>
                </c:pt>
                <c:pt idx="10" formatCode="0.00">
                  <c:v>21.31201582330641</c:v>
                </c:pt>
                <c:pt idx="11" formatCode="0.00">
                  <c:v>25.973053892215571</c:v>
                </c:pt>
                <c:pt idx="12" formatCode="0.00">
                  <c:v>41.984581933188373</c:v>
                </c:pt>
                <c:pt idx="13" formatCode="0.00">
                  <c:v>49.424657534246563</c:v>
                </c:pt>
                <c:pt idx="14" formatCode="0.00">
                  <c:v>22.529224229543036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61E-4BD6-BE86-6CBE78B5E953}"/>
            </c:ext>
          </c:extLst>
        </c:ser>
        <c:ser>
          <c:idx val="2"/>
          <c:order val="2"/>
          <c:tx>
            <c:strRef>
              <c:f>MAY190407_3!$J$4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MAY190407_3!$W$7:$W$33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61E-4BD6-BE86-6CBE78B5E953}"/>
            </c:ext>
          </c:extLst>
        </c:ser>
        <c:ser>
          <c:idx val="3"/>
          <c:order val="3"/>
          <c:tx>
            <c:strRef>
              <c:f>MAY190407_3!$K$4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MAY190407_3!$X$7:$X$33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77.931671283471843</c:v>
                </c:pt>
                <c:pt idx="8" formatCode="0.00">
                  <c:v>6.2363504003882548</c:v>
                </c:pt>
                <c:pt idx="9" formatCode="0.00">
                  <c:v>14.379910213243546</c:v>
                </c:pt>
                <c:pt idx="10" formatCode="0.00">
                  <c:v>4.8788528102851494</c:v>
                </c:pt>
                <c:pt idx="11" formatCode="0.00">
                  <c:v>6.942365269461078</c:v>
                </c:pt>
                <c:pt idx="12" formatCode="0.00">
                  <c:v>7.1357975884562173</c:v>
                </c:pt>
                <c:pt idx="13" formatCode="0.00">
                  <c:v>7.3424657534246567</c:v>
                </c:pt>
                <c:pt idx="14" formatCode="0.00">
                  <c:v>6.128232376904001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A61E-4BD6-BE86-6CBE78B5E953}"/>
            </c:ext>
          </c:extLst>
        </c:ser>
        <c:ser>
          <c:idx val="4"/>
          <c:order val="4"/>
          <c:tx>
            <c:strRef>
              <c:f>MAY190407_3!$L$4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MAY190407_3!$Y$7:$Y$33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10.604222276146567</c:v>
                </c:pt>
                <c:pt idx="9" formatCode="0.00">
                  <c:v>9.329405162738496</c:v>
                </c:pt>
                <c:pt idx="10" formatCode="0.00">
                  <c:v>14.677764957969339</c:v>
                </c:pt>
                <c:pt idx="11" formatCode="0.00">
                  <c:v>18.300898203592812</c:v>
                </c:pt>
                <c:pt idx="12" formatCode="0.00">
                  <c:v>18.126111879818147</c:v>
                </c:pt>
                <c:pt idx="13" formatCode="0.00">
                  <c:v>20.273972602739729</c:v>
                </c:pt>
                <c:pt idx="14" formatCode="0.00">
                  <c:v>14.488133191640095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A61E-4BD6-BE86-6CBE78B5E953}"/>
            </c:ext>
          </c:extLst>
        </c:ser>
        <c:ser>
          <c:idx val="6"/>
          <c:order val="5"/>
          <c:tx>
            <c:strRef>
              <c:f>MAY190407_3!$N$4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MAY190407_3!$AA$7:$AA$33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A61E-4BD6-BE86-6CBE78B5E953}"/>
            </c:ext>
          </c:extLst>
        </c:ser>
        <c:ser>
          <c:idx val="7"/>
          <c:order val="6"/>
          <c:tx>
            <c:strRef>
              <c:f>MAY190407_3!$O$4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MAY190407_3!$AB$7:$AB$33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0.14169323414806939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A61E-4BD6-BE86-6CBE78B5E953}"/>
            </c:ext>
          </c:extLst>
        </c:ser>
        <c:ser>
          <c:idx val="5"/>
          <c:order val="7"/>
          <c:tx>
            <c:strRef>
              <c:f>MAY190407_3!$M$4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MAY190407_3!$Z$7:$Z$33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A61E-4BD6-BE86-6CBE78B5E95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MAY190407_3!$H$4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MAY190407_3!$B$7:$B$33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MAY190407_3!$AF$7:$AF$33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22.068328716528164</c:v>
                </c:pt>
                <c:pt idx="8" formatCode="0.00">
                  <c:v>74.399417617083216</c:v>
                </c:pt>
                <c:pt idx="9" formatCode="0.00">
                  <c:v>65.586419753086417</c:v>
                </c:pt>
                <c:pt idx="10" formatCode="0.00">
                  <c:v>59.131366408439092</c:v>
                </c:pt>
                <c:pt idx="11" formatCode="0.00">
                  <c:v>48.783682634730539</c:v>
                </c:pt>
                <c:pt idx="12" formatCode="0.00">
                  <c:v>32.753508598537266</c:v>
                </c:pt>
                <c:pt idx="13" formatCode="0.00">
                  <c:v>22.958904109589049</c:v>
                </c:pt>
                <c:pt idx="14" formatCode="0.00">
                  <c:v>56.712716967764798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E81-45B9-B2E2-B32C04701A4F}"/>
            </c:ext>
          </c:extLst>
        </c:ser>
        <c:ser>
          <c:idx val="1"/>
          <c:order val="1"/>
          <c:tx>
            <c:strRef>
              <c:f>MAY190407_3!$I$4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MAY190407_3!$AG$7:$AG$33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8.7600097063819433</c:v>
                </c:pt>
                <c:pt idx="9" formatCode="0.00">
                  <c:v>10.704264870931535</c:v>
                </c:pt>
                <c:pt idx="10" formatCode="0.00">
                  <c:v>21.31201582330641</c:v>
                </c:pt>
                <c:pt idx="11" formatCode="0.00">
                  <c:v>25.973053892215574</c:v>
                </c:pt>
                <c:pt idx="12" formatCode="0.00">
                  <c:v>41.984581933188373</c:v>
                </c:pt>
                <c:pt idx="13" formatCode="0.00">
                  <c:v>49.424657534246563</c:v>
                </c:pt>
                <c:pt idx="14" formatCode="0.00">
                  <c:v>22.52922422954304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E81-45B9-B2E2-B32C04701A4F}"/>
            </c:ext>
          </c:extLst>
        </c:ser>
        <c:ser>
          <c:idx val="2"/>
          <c:order val="2"/>
          <c:tx>
            <c:strRef>
              <c:f>MAY190407_3!$J$4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MAY190407_3!$AH$7:$AH$33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E81-45B9-B2E2-B32C04701A4F}"/>
            </c:ext>
          </c:extLst>
        </c:ser>
        <c:ser>
          <c:idx val="3"/>
          <c:order val="3"/>
          <c:tx>
            <c:strRef>
              <c:f>MAY190407_3!$K$4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MAY190407_3!$AI$7:$AI$33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77.931671283471843</c:v>
                </c:pt>
                <c:pt idx="8" formatCode="0.00">
                  <c:v>6.2363504003882548</c:v>
                </c:pt>
                <c:pt idx="9" formatCode="0.00">
                  <c:v>14.379910213243544</c:v>
                </c:pt>
                <c:pt idx="10" formatCode="0.00">
                  <c:v>4.8788528102851494</c:v>
                </c:pt>
                <c:pt idx="11" formatCode="0.00">
                  <c:v>6.9423652694610789</c:v>
                </c:pt>
                <c:pt idx="12" formatCode="0.00">
                  <c:v>7.1357975884562173</c:v>
                </c:pt>
                <c:pt idx="13" formatCode="0.00">
                  <c:v>7.3424657534246567</c:v>
                </c:pt>
                <c:pt idx="14" formatCode="0.00">
                  <c:v>6.1282323769040019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0E81-45B9-B2E2-B32C04701A4F}"/>
            </c:ext>
          </c:extLst>
        </c:ser>
        <c:ser>
          <c:idx val="4"/>
          <c:order val="4"/>
          <c:tx>
            <c:strRef>
              <c:f>MAY190407_3!$L$4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MAY190407_3!$AJ$7:$AJ$33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10.604222276146567</c:v>
                </c:pt>
                <c:pt idx="9" formatCode="0.00">
                  <c:v>9.329405162738496</c:v>
                </c:pt>
                <c:pt idx="10" formatCode="0.00">
                  <c:v>14.677764957969339</c:v>
                </c:pt>
                <c:pt idx="11" formatCode="0.00">
                  <c:v>18.300898203592816</c:v>
                </c:pt>
                <c:pt idx="12" formatCode="0.00">
                  <c:v>18.126111879818147</c:v>
                </c:pt>
                <c:pt idx="13" formatCode="0.00">
                  <c:v>20.273972602739729</c:v>
                </c:pt>
                <c:pt idx="14" formatCode="0.00">
                  <c:v>14.488133191640097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E81-45B9-B2E2-B32C04701A4F}"/>
            </c:ext>
          </c:extLst>
        </c:ser>
        <c:ser>
          <c:idx val="6"/>
          <c:order val="5"/>
          <c:tx>
            <c:strRef>
              <c:f>MAY190407_3!$N$4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MAY190407_3!$AL$7:$AL$33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0E81-45B9-B2E2-B32C04701A4F}"/>
            </c:ext>
          </c:extLst>
        </c:ser>
        <c:ser>
          <c:idx val="7"/>
          <c:order val="6"/>
          <c:tx>
            <c:strRef>
              <c:f>MAY190407_3!$O$4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MAY190407_3!$AM$7:$AM$33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0.14169323414806942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0E81-45B9-B2E2-B32C04701A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MAY190407_3!$H$4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MAY190407_3!$AE$15:$AE$21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MAY190407_3!$AF$15:$AF$21</c:f>
              <c:numCache>
                <c:formatCode>0.00</c:formatCode>
                <c:ptCount val="7"/>
                <c:pt idx="0">
                  <c:v>74.399417617083216</c:v>
                </c:pt>
                <c:pt idx="1">
                  <c:v>65.586419753086417</c:v>
                </c:pt>
                <c:pt idx="2">
                  <c:v>59.131366408439092</c:v>
                </c:pt>
                <c:pt idx="3">
                  <c:v>48.783682634730539</c:v>
                </c:pt>
                <c:pt idx="4">
                  <c:v>32.753508598537266</c:v>
                </c:pt>
                <c:pt idx="5">
                  <c:v>22.958904109589049</c:v>
                </c:pt>
                <c:pt idx="6">
                  <c:v>56.712716967764798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F01-4631-AE20-8E8E45C2BF8B}"/>
            </c:ext>
          </c:extLst>
        </c:ser>
        <c:ser>
          <c:idx val="1"/>
          <c:order val="1"/>
          <c:tx>
            <c:strRef>
              <c:f>MAY190407_3!$I$4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MAY190407_3!$AE$15:$AE$21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MAY190407_3!$AG$15:$AG$21</c:f>
              <c:numCache>
                <c:formatCode>0.00</c:formatCode>
                <c:ptCount val="7"/>
                <c:pt idx="0">
                  <c:v>8.7600097063819433</c:v>
                </c:pt>
                <c:pt idx="1">
                  <c:v>10.704264870931535</c:v>
                </c:pt>
                <c:pt idx="2">
                  <c:v>21.31201582330641</c:v>
                </c:pt>
                <c:pt idx="3">
                  <c:v>25.973053892215574</c:v>
                </c:pt>
                <c:pt idx="4">
                  <c:v>41.984581933188373</c:v>
                </c:pt>
                <c:pt idx="5">
                  <c:v>49.424657534246563</c:v>
                </c:pt>
                <c:pt idx="6">
                  <c:v>22.52922422954304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F01-4631-AE20-8E8E45C2BF8B}"/>
            </c:ext>
          </c:extLst>
        </c:ser>
        <c:ser>
          <c:idx val="2"/>
          <c:order val="2"/>
          <c:tx>
            <c:strRef>
              <c:f>MAY190407_3!$J$4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MAY190407_3!$AE$15:$AE$21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MAY190407_3!$AH$15:$AH$21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F01-4631-AE20-8E8E45C2BF8B}"/>
            </c:ext>
          </c:extLst>
        </c:ser>
        <c:ser>
          <c:idx val="3"/>
          <c:order val="3"/>
          <c:tx>
            <c:strRef>
              <c:f>MAY190407_3!$K$4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MAY190407_3!$AE$15:$AE$21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MAY190407_3!$AI$15:$AI$21</c:f>
              <c:numCache>
                <c:formatCode>0.00</c:formatCode>
                <c:ptCount val="7"/>
                <c:pt idx="0">
                  <c:v>6.2363504003882548</c:v>
                </c:pt>
                <c:pt idx="1">
                  <c:v>14.379910213243544</c:v>
                </c:pt>
                <c:pt idx="2">
                  <c:v>4.8788528102851494</c:v>
                </c:pt>
                <c:pt idx="3">
                  <c:v>6.9423652694610789</c:v>
                </c:pt>
                <c:pt idx="4">
                  <c:v>7.1357975884562173</c:v>
                </c:pt>
                <c:pt idx="5">
                  <c:v>7.3424657534246567</c:v>
                </c:pt>
                <c:pt idx="6">
                  <c:v>6.1282323769040019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F01-4631-AE20-8E8E45C2BF8B}"/>
            </c:ext>
          </c:extLst>
        </c:ser>
        <c:ser>
          <c:idx val="4"/>
          <c:order val="4"/>
          <c:tx>
            <c:strRef>
              <c:f>MAY190407_3!$L$4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MAY190407_3!$AE$15:$AE$21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MAY190407_3!$AJ$15:$AJ$21</c:f>
              <c:numCache>
                <c:formatCode>0.00</c:formatCode>
                <c:ptCount val="7"/>
                <c:pt idx="0">
                  <c:v>10.604222276146567</c:v>
                </c:pt>
                <c:pt idx="1">
                  <c:v>9.329405162738496</c:v>
                </c:pt>
                <c:pt idx="2">
                  <c:v>14.677764957969339</c:v>
                </c:pt>
                <c:pt idx="3">
                  <c:v>18.300898203592816</c:v>
                </c:pt>
                <c:pt idx="4">
                  <c:v>18.126111879818147</c:v>
                </c:pt>
                <c:pt idx="5">
                  <c:v>20.273972602739729</c:v>
                </c:pt>
                <c:pt idx="6">
                  <c:v>14.488133191640097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EF01-4631-AE20-8E8E45C2BF8B}"/>
            </c:ext>
          </c:extLst>
        </c:ser>
        <c:ser>
          <c:idx val="6"/>
          <c:order val="5"/>
          <c:tx>
            <c:strRef>
              <c:f>MAY190407_3!$N$4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MAY190407_3!$AE$15:$AE$21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MAY190407_3!$AL$15:$AL$21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F01-4631-AE20-8E8E45C2BF8B}"/>
            </c:ext>
          </c:extLst>
        </c:ser>
        <c:ser>
          <c:idx val="7"/>
          <c:order val="6"/>
          <c:tx>
            <c:strRef>
              <c:f>MAY190407_3!$O$4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MAY190407_3!$AE$15:$AE$21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MAY190407_3!$AM$15:$AM$21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0.14169323414806942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EF01-4631-AE20-8E8E45C2BF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2930454735815426"/>
          <c:y val="3.3977357346377308E-2"/>
        </c:manualLayout>
      </c:layout>
      <c:overlay val="0"/>
      <c:txPr>
        <a:bodyPr/>
        <a:lstStyle/>
        <a:p>
          <a:pPr>
            <a:defRPr sz="1000" b="1"/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MAY190407_4!$D$2</c:f>
              <c:strCache>
                <c:ptCount val="1"/>
                <c:pt idx="0">
                  <c:v>MAY190407_4</c:v>
                </c:pt>
              </c:strCache>
            </c:strRef>
          </c:tx>
          <c:spPr>
            <a:pattFill prst="pct5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MAY190407_4!$B$7:$B$33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MAY190407_4!$D$7:$D$33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0.46903109740426618</c:v>
                </c:pt>
                <c:pt idx="7">
                  <c:v>1.0241583140580828</c:v>
                </c:pt>
                <c:pt idx="8">
                  <c:v>4.235415060395785</c:v>
                </c:pt>
                <c:pt idx="9">
                  <c:v>8.0300693909020815</c:v>
                </c:pt>
                <c:pt idx="10">
                  <c:v>11.115394500128501</c:v>
                </c:pt>
                <c:pt idx="11">
                  <c:v>10.850681058853764</c:v>
                </c:pt>
                <c:pt idx="12">
                  <c:v>12.33616037008481</c:v>
                </c:pt>
                <c:pt idx="13">
                  <c:v>10.015420200462605</c:v>
                </c:pt>
                <c:pt idx="14">
                  <c:v>8.2292469802107426</c:v>
                </c:pt>
                <c:pt idx="15">
                  <c:v>5.316114109483423</c:v>
                </c:pt>
                <c:pt idx="16">
                  <c:v>3.3179131328707272</c:v>
                </c:pt>
                <c:pt idx="17">
                  <c:v>1.8478540221022872</c:v>
                </c:pt>
                <c:pt idx="18">
                  <c:v>0.8930866101259316</c:v>
                </c:pt>
                <c:pt idx="19">
                  <c:v>0.60267283474685174</c:v>
                </c:pt>
                <c:pt idx="20">
                  <c:v>0.48316628116165505</c:v>
                </c:pt>
                <c:pt idx="21">
                  <c:v>0.61809303520945758</c:v>
                </c:pt>
                <c:pt idx="22">
                  <c:v>1.2927268054484709</c:v>
                </c:pt>
                <c:pt idx="23">
                  <c:v>1.8581341557440247</c:v>
                </c:pt>
                <c:pt idx="24">
                  <c:v>17.464662040606527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D73-49E8-AA3F-1354A9EE51C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MAY190407_4!$D$2</c:f>
              <c:strCache>
                <c:ptCount val="1"/>
                <c:pt idx="0">
                  <c:v>MAY190407_4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MAY190407_4!$B$7:$B$33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MAY190407_4!$E$7:$E$33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0.00">
                  <c:v>0</c:v>
                </c:pt>
                <c:pt idx="4" formatCode="0.00">
                  <c:v>0</c:v>
                </c:pt>
                <c:pt idx="5" formatCode="0.00">
                  <c:v>0</c:v>
                </c:pt>
                <c:pt idx="6" formatCode="0.00">
                  <c:v>0.46903109740426618</c:v>
                </c:pt>
                <c:pt idx="7" formatCode="0.00">
                  <c:v>1.493189411462349</c:v>
                </c:pt>
                <c:pt idx="8" formatCode="0.00">
                  <c:v>5.7286044718581337</c:v>
                </c:pt>
                <c:pt idx="9" formatCode="0.00">
                  <c:v>13.758673862760215</c:v>
                </c:pt>
                <c:pt idx="10" formatCode="0.00">
                  <c:v>24.874068362888714</c:v>
                </c:pt>
                <c:pt idx="11" formatCode="0.00">
                  <c:v>35.72474942174248</c:v>
                </c:pt>
                <c:pt idx="12" formatCode="0.00">
                  <c:v>48.060909791827292</c:v>
                </c:pt>
                <c:pt idx="13" formatCode="0.00">
                  <c:v>58.076329992289899</c:v>
                </c:pt>
                <c:pt idx="14" formatCode="0.00">
                  <c:v>66.305576972500646</c:v>
                </c:pt>
                <c:pt idx="15" formatCode="0.00">
                  <c:v>71.621691081984068</c:v>
                </c:pt>
                <c:pt idx="16" formatCode="0.00">
                  <c:v>74.939604214854796</c:v>
                </c:pt>
                <c:pt idx="17" formatCode="0.00">
                  <c:v>76.787458236957079</c:v>
                </c:pt>
                <c:pt idx="18" formatCode="0.00">
                  <c:v>77.680544847083013</c:v>
                </c:pt>
                <c:pt idx="19" formatCode="0.00">
                  <c:v>78.283217681829868</c:v>
                </c:pt>
                <c:pt idx="20" formatCode="0.00">
                  <c:v>78.766383962991526</c:v>
                </c:pt>
                <c:pt idx="21" formatCode="0.00">
                  <c:v>79.384476998200981</c:v>
                </c:pt>
                <c:pt idx="22" formatCode="0.00">
                  <c:v>80.677203803649448</c:v>
                </c:pt>
                <c:pt idx="23" formatCode="0.00">
                  <c:v>82.535337959393473</c:v>
                </c:pt>
                <c:pt idx="24" formatCode="0.00">
                  <c:v>100</c:v>
                </c:pt>
                <c:pt idx="25" formatCode="0.00">
                  <c:v>100</c:v>
                </c:pt>
                <c:pt idx="26" formatCode="0.00">
                  <c:v>100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E25-4396-B97B-3441C22E610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MAY190407_4!$H$4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MAY190407_4!$B$7:$B$33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MAY190407_4!$H$7:$H$33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3.66</c:v>
                </c:pt>
                <c:pt idx="7">
                  <c:v>7.9</c:v>
                </c:pt>
                <c:pt idx="8">
                  <c:v>28.35</c:v>
                </c:pt>
                <c:pt idx="9">
                  <c:v>56.98</c:v>
                </c:pt>
                <c:pt idx="10">
                  <c:v>70.290000000000006</c:v>
                </c:pt>
                <c:pt idx="11">
                  <c:v>58.4</c:v>
                </c:pt>
                <c:pt idx="12">
                  <c:v>61.08</c:v>
                </c:pt>
                <c:pt idx="13">
                  <c:v>46.707725631768952</c:v>
                </c:pt>
                <c:pt idx="14">
                  <c:v>40.105858585858591</c:v>
                </c:pt>
                <c:pt idx="15">
                  <c:v>25.039736842105263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812-44E1-8033-4B386D775FD0}"/>
            </c:ext>
          </c:extLst>
        </c:ser>
        <c:ser>
          <c:idx val="1"/>
          <c:order val="1"/>
          <c:tx>
            <c:strRef>
              <c:f>MAY190407_4!$I$4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MAY190407_4!$I$7:$I$33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5.69</c:v>
                </c:pt>
                <c:pt idx="10">
                  <c:v>7.33</c:v>
                </c:pt>
                <c:pt idx="11">
                  <c:v>3.2</c:v>
                </c:pt>
                <c:pt idx="12">
                  <c:v>5.08</c:v>
                </c:pt>
                <c:pt idx="13">
                  <c:v>5.7681227436823113</c:v>
                </c:pt>
                <c:pt idx="14">
                  <c:v>4.2046464646464647</c:v>
                </c:pt>
                <c:pt idx="15">
                  <c:v>2.1773684210526314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812-44E1-8033-4B386D775FD0}"/>
            </c:ext>
          </c:extLst>
        </c:ser>
        <c:ser>
          <c:idx val="2"/>
          <c:order val="2"/>
          <c:tx>
            <c:strRef>
              <c:f>MAY190407_4!$J$4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MAY190407_4!$J$7:$J$33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812-44E1-8033-4B386D775FD0}"/>
            </c:ext>
          </c:extLst>
        </c:ser>
        <c:ser>
          <c:idx val="3"/>
          <c:order val="3"/>
          <c:tx>
            <c:strRef>
              <c:f>MAY190407_4!$K$4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MAY190407_4!$K$7:$K$33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1.01</c:v>
                </c:pt>
                <c:pt idx="10">
                  <c:v>2.14</c:v>
                </c:pt>
                <c:pt idx="11">
                  <c:v>0.68</c:v>
                </c:pt>
                <c:pt idx="12">
                  <c:v>3.8</c:v>
                </c:pt>
                <c:pt idx="13">
                  <c:v>5.7681227436823113</c:v>
                </c:pt>
                <c:pt idx="14">
                  <c:v>4.0429292929292933</c:v>
                </c:pt>
                <c:pt idx="15">
                  <c:v>2.9031578947368422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0812-44E1-8033-4B386D775FD0}"/>
            </c:ext>
          </c:extLst>
        </c:ser>
        <c:ser>
          <c:idx val="4"/>
          <c:order val="4"/>
          <c:tx>
            <c:strRef>
              <c:f>MAY190407_4!$L$4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MAY190407_4!$L$7:$L$33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2.91</c:v>
                </c:pt>
                <c:pt idx="9">
                  <c:v>1.88</c:v>
                </c:pt>
                <c:pt idx="10">
                  <c:v>6.35</c:v>
                </c:pt>
                <c:pt idx="11">
                  <c:v>18.8</c:v>
                </c:pt>
                <c:pt idx="12">
                  <c:v>22.52</c:v>
                </c:pt>
                <c:pt idx="13">
                  <c:v>19.696028880866425</c:v>
                </c:pt>
                <c:pt idx="14">
                  <c:v>15.686565656565659</c:v>
                </c:pt>
                <c:pt idx="15">
                  <c:v>11.249736842105264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812-44E1-8033-4B386D775FD0}"/>
            </c:ext>
          </c:extLst>
        </c:ser>
        <c:ser>
          <c:idx val="6"/>
          <c:order val="5"/>
          <c:tx>
            <c:strRef>
              <c:f>MAY190407_4!$N$4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MAY190407_4!$N$7:$N$33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0812-44E1-8033-4B386D775FD0}"/>
            </c:ext>
          </c:extLst>
        </c:ser>
        <c:ser>
          <c:idx val="7"/>
          <c:order val="6"/>
          <c:tx>
            <c:strRef>
              <c:f>MAY190407_4!$O$4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MAY190407_4!$O$7:$O$33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0812-44E1-8033-4B386D775FD0}"/>
            </c:ext>
          </c:extLst>
        </c:ser>
        <c:ser>
          <c:idx val="5"/>
          <c:order val="7"/>
          <c:tx>
            <c:strRef>
              <c:f>MAY190407_4!$M$4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MAY190407_4!$M$7:$M$33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0812-44E1-8033-4B386D775F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MAY190407_4!$H$4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MAY190407_4!$B$7:$B$33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MAY190407_4!$S$7:$S$33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100</c:v>
                </c:pt>
                <c:pt idx="7">
                  <c:v>100</c:v>
                </c:pt>
                <c:pt idx="8" formatCode="0.00">
                  <c:v>90.690978886756227</c:v>
                </c:pt>
                <c:pt idx="9" formatCode="0.00">
                  <c:v>86.91275167785237</c:v>
                </c:pt>
                <c:pt idx="10" formatCode="0.00">
                  <c:v>81.628150040645693</c:v>
                </c:pt>
                <c:pt idx="11" formatCode="0.00">
                  <c:v>72.027627035027137</c:v>
                </c:pt>
                <c:pt idx="12" formatCode="0.00">
                  <c:v>66.04671280276817</c:v>
                </c:pt>
                <c:pt idx="13" formatCode="0.00">
                  <c:v>59.927797833935017</c:v>
                </c:pt>
                <c:pt idx="14" formatCode="0.00">
                  <c:v>62.62626262626263</c:v>
                </c:pt>
                <c:pt idx="15">
                  <c:v>60.526315789473678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CE2-47B0-B421-9156AAB2224B}"/>
            </c:ext>
          </c:extLst>
        </c:ser>
        <c:ser>
          <c:idx val="1"/>
          <c:order val="1"/>
          <c:tx>
            <c:strRef>
              <c:f>MAY190407_4!$I$4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MAY190407_4!$T$7:$T$33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8.6790726052471037</c:v>
                </c:pt>
                <c:pt idx="10" formatCode="0.00">
                  <c:v>8.5123679015213103</c:v>
                </c:pt>
                <c:pt idx="11" formatCode="0.00">
                  <c:v>3.9467192895905279</c:v>
                </c:pt>
                <c:pt idx="12" formatCode="0.00">
                  <c:v>5.4930795847750868</c:v>
                </c:pt>
                <c:pt idx="13" formatCode="0.00">
                  <c:v>7.4007220216606511</c:v>
                </c:pt>
                <c:pt idx="14" formatCode="0.00">
                  <c:v>6.5656565656565649</c:v>
                </c:pt>
                <c:pt idx="15">
                  <c:v>5.2631578947368416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CE2-47B0-B421-9156AAB2224B}"/>
            </c:ext>
          </c:extLst>
        </c:ser>
        <c:ser>
          <c:idx val="2"/>
          <c:order val="2"/>
          <c:tx>
            <c:strRef>
              <c:f>MAY190407_4!$J$4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MAY190407_4!$U$7:$U$33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CE2-47B0-B421-9156AAB2224B}"/>
            </c:ext>
          </c:extLst>
        </c:ser>
        <c:ser>
          <c:idx val="3"/>
          <c:order val="3"/>
          <c:tx>
            <c:strRef>
              <c:f>MAY190407_4!$K$4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MAY190407_4!$V$7:$V$33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1.5405735204392925</c:v>
                </c:pt>
                <c:pt idx="10" formatCode="0.00">
                  <c:v>2.4851933573336429</c:v>
                </c:pt>
                <c:pt idx="11" formatCode="0.00">
                  <c:v>0.83867784903798714</c:v>
                </c:pt>
                <c:pt idx="12" formatCode="0.00">
                  <c:v>4.108996539792388</c:v>
                </c:pt>
                <c:pt idx="13" formatCode="0.00">
                  <c:v>7.4007220216606511</c:v>
                </c:pt>
                <c:pt idx="14" formatCode="0.00">
                  <c:v>6.3131313131313131</c:v>
                </c:pt>
                <c:pt idx="15">
                  <c:v>7.0175438596491224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CE2-47B0-B421-9156AAB2224B}"/>
            </c:ext>
          </c:extLst>
        </c:ser>
        <c:ser>
          <c:idx val="4"/>
          <c:order val="4"/>
          <c:tx>
            <c:strRef>
              <c:f>MAY190407_4!$L$4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MAY190407_4!$W$7:$W$33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9.3090211132437624</c:v>
                </c:pt>
                <c:pt idx="9" formatCode="0.00">
                  <c:v>2.8676021964612572</c:v>
                </c:pt>
                <c:pt idx="10" formatCode="0.00">
                  <c:v>7.3742887004993616</c:v>
                </c:pt>
                <c:pt idx="11" formatCode="0.00">
                  <c:v>23.186975826344352</c:v>
                </c:pt>
                <c:pt idx="12" formatCode="0.00">
                  <c:v>24.351211072664363</c:v>
                </c:pt>
                <c:pt idx="13" formatCode="0.00">
                  <c:v>25.270758122743683</c:v>
                </c:pt>
                <c:pt idx="14" formatCode="0.00">
                  <c:v>24.494949494949495</c:v>
                </c:pt>
                <c:pt idx="15">
                  <c:v>27.192982456140353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CE2-47B0-B421-9156AAB2224B}"/>
            </c:ext>
          </c:extLst>
        </c:ser>
        <c:ser>
          <c:idx val="6"/>
          <c:order val="5"/>
          <c:tx>
            <c:strRef>
              <c:f>MAY190407_4!$N$4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MAY190407_4!$Y$7:$Y$33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2CE2-47B0-B421-9156AAB2224B}"/>
            </c:ext>
          </c:extLst>
        </c:ser>
        <c:ser>
          <c:idx val="7"/>
          <c:order val="6"/>
          <c:tx>
            <c:strRef>
              <c:f>MAY190407_4!$O$4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MAY190407_4!$Z$7:$Z$33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2CE2-47B0-B421-9156AAB2224B}"/>
            </c:ext>
          </c:extLst>
        </c:ser>
        <c:ser>
          <c:idx val="5"/>
          <c:order val="7"/>
          <c:tx>
            <c:strRef>
              <c:f>MAY190407_4!$M$4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MAY190407_4!$X$7:$X$33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2CE2-47B0-B421-9156AAB222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MAY190407_4!$H$4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MAY190407_4!$B$7:$B$33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MAY190407_4!$AD$7:$AD$33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100</c:v>
                </c:pt>
                <c:pt idx="7">
                  <c:v>100</c:v>
                </c:pt>
                <c:pt idx="8" formatCode="0.00">
                  <c:v>90.690978886756227</c:v>
                </c:pt>
                <c:pt idx="9" formatCode="0.00">
                  <c:v>86.912751677852356</c:v>
                </c:pt>
                <c:pt idx="10" formatCode="0.00">
                  <c:v>81.628150040645679</c:v>
                </c:pt>
                <c:pt idx="11" formatCode="0.00">
                  <c:v>72.027627035027123</c:v>
                </c:pt>
                <c:pt idx="12" formatCode="0.00">
                  <c:v>66.04671280276817</c:v>
                </c:pt>
                <c:pt idx="13" formatCode="0.00">
                  <c:v>59.92779783393501</c:v>
                </c:pt>
                <c:pt idx="14" formatCode="0.00">
                  <c:v>62.62626262626263</c:v>
                </c:pt>
                <c:pt idx="15">
                  <c:v>60.526315789473671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A3-4E0F-A5D0-70A3574D4B4A}"/>
            </c:ext>
          </c:extLst>
        </c:ser>
        <c:ser>
          <c:idx val="1"/>
          <c:order val="1"/>
          <c:tx>
            <c:strRef>
              <c:f>MAY190407_4!$I$4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MAY190407_4!$AE$7:$AE$33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8.6790726052471019</c:v>
                </c:pt>
                <c:pt idx="10" formatCode="0.00">
                  <c:v>8.5123679015213085</c:v>
                </c:pt>
                <c:pt idx="11" formatCode="0.00">
                  <c:v>3.946719289590527</c:v>
                </c:pt>
                <c:pt idx="12" formatCode="0.00">
                  <c:v>5.4930795847750868</c:v>
                </c:pt>
                <c:pt idx="13" formatCode="0.00">
                  <c:v>7.4007220216606502</c:v>
                </c:pt>
                <c:pt idx="14" formatCode="0.00">
                  <c:v>6.5656565656565649</c:v>
                </c:pt>
                <c:pt idx="15">
                  <c:v>5.2631578947368416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BA3-4E0F-A5D0-70A3574D4B4A}"/>
            </c:ext>
          </c:extLst>
        </c:ser>
        <c:ser>
          <c:idx val="2"/>
          <c:order val="2"/>
          <c:tx>
            <c:strRef>
              <c:f>MAY190407_4!$J$4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MAY190407_4!$AF$7:$AF$33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BA3-4E0F-A5D0-70A3574D4B4A}"/>
            </c:ext>
          </c:extLst>
        </c:ser>
        <c:ser>
          <c:idx val="3"/>
          <c:order val="3"/>
          <c:tx>
            <c:strRef>
              <c:f>MAY190407_4!$K$4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MAY190407_4!$AG$7:$AG$33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1.5405735204392921</c:v>
                </c:pt>
                <c:pt idx="10" formatCode="0.00">
                  <c:v>2.4851933573336424</c:v>
                </c:pt>
                <c:pt idx="11" formatCode="0.00">
                  <c:v>0.83867784903798692</c:v>
                </c:pt>
                <c:pt idx="12" formatCode="0.00">
                  <c:v>4.108996539792388</c:v>
                </c:pt>
                <c:pt idx="13" formatCode="0.00">
                  <c:v>7.4007220216606502</c:v>
                </c:pt>
                <c:pt idx="14" formatCode="0.00">
                  <c:v>6.3131313131313131</c:v>
                </c:pt>
                <c:pt idx="15">
                  <c:v>7.0175438596491224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BA3-4E0F-A5D0-70A3574D4B4A}"/>
            </c:ext>
          </c:extLst>
        </c:ser>
        <c:ser>
          <c:idx val="4"/>
          <c:order val="4"/>
          <c:tx>
            <c:strRef>
              <c:f>MAY190407_4!$L$4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MAY190407_4!$AH$7:$AH$33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9.3090211132437641</c:v>
                </c:pt>
                <c:pt idx="9" formatCode="0.00">
                  <c:v>2.8676021964612564</c:v>
                </c:pt>
                <c:pt idx="10" formatCode="0.00">
                  <c:v>7.3742887004993598</c:v>
                </c:pt>
                <c:pt idx="11" formatCode="0.00">
                  <c:v>23.186975826344348</c:v>
                </c:pt>
                <c:pt idx="12" formatCode="0.00">
                  <c:v>24.351211072664363</c:v>
                </c:pt>
                <c:pt idx="13" formatCode="0.00">
                  <c:v>25.270758122743679</c:v>
                </c:pt>
                <c:pt idx="14" formatCode="0.00">
                  <c:v>24.494949494949495</c:v>
                </c:pt>
                <c:pt idx="15">
                  <c:v>27.192982456140353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7BA3-4E0F-A5D0-70A3574D4B4A}"/>
            </c:ext>
          </c:extLst>
        </c:ser>
        <c:ser>
          <c:idx val="6"/>
          <c:order val="5"/>
          <c:tx>
            <c:strRef>
              <c:f>MAY190407_4!$N$4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MAY190407_4!$AJ$7:$AJ$33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7BA3-4E0F-A5D0-70A3574D4B4A}"/>
            </c:ext>
          </c:extLst>
        </c:ser>
        <c:ser>
          <c:idx val="7"/>
          <c:order val="6"/>
          <c:tx>
            <c:strRef>
              <c:f>MAY190407_4!$O$4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MAY190407_4!$AK$7:$AK$33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7BA3-4E0F-A5D0-70A3574D4B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MAY190407_4!$H$4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MAY190407_4!$AC$15:$AC$21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MAY190407_4!$AD$15:$AD$21</c:f>
              <c:numCache>
                <c:formatCode>0.00</c:formatCode>
                <c:ptCount val="7"/>
                <c:pt idx="0">
                  <c:v>90.690978886756227</c:v>
                </c:pt>
                <c:pt idx="1">
                  <c:v>86.912751677852356</c:v>
                </c:pt>
                <c:pt idx="2">
                  <c:v>81.628150040645679</c:v>
                </c:pt>
                <c:pt idx="3">
                  <c:v>72.027627035027123</c:v>
                </c:pt>
                <c:pt idx="4">
                  <c:v>66.04671280276817</c:v>
                </c:pt>
                <c:pt idx="5">
                  <c:v>59.92779783393501</c:v>
                </c:pt>
                <c:pt idx="6">
                  <c:v>62.62626262626263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D95-4D6E-AD06-DB00E6A4FA14}"/>
            </c:ext>
          </c:extLst>
        </c:ser>
        <c:ser>
          <c:idx val="1"/>
          <c:order val="1"/>
          <c:tx>
            <c:strRef>
              <c:f>MAY190407_4!$I$4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MAY190407_4!$AC$15:$AC$21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MAY190407_4!$AE$15:$AE$21</c:f>
              <c:numCache>
                <c:formatCode>0.00</c:formatCode>
                <c:ptCount val="7"/>
                <c:pt idx="0">
                  <c:v>0</c:v>
                </c:pt>
                <c:pt idx="1">
                  <c:v>8.6790726052471019</c:v>
                </c:pt>
                <c:pt idx="2">
                  <c:v>8.5123679015213085</c:v>
                </c:pt>
                <c:pt idx="3">
                  <c:v>3.946719289590527</c:v>
                </c:pt>
                <c:pt idx="4">
                  <c:v>5.4930795847750868</c:v>
                </c:pt>
                <c:pt idx="5">
                  <c:v>7.4007220216606502</c:v>
                </c:pt>
                <c:pt idx="6">
                  <c:v>6.5656565656565649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D95-4D6E-AD06-DB00E6A4FA14}"/>
            </c:ext>
          </c:extLst>
        </c:ser>
        <c:ser>
          <c:idx val="2"/>
          <c:order val="2"/>
          <c:tx>
            <c:strRef>
              <c:f>MAY190407_4!$J$4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MAY190407_4!$AC$15:$AC$21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MAY190407_4!$AF$15:$AF$21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D95-4D6E-AD06-DB00E6A4FA14}"/>
            </c:ext>
          </c:extLst>
        </c:ser>
        <c:ser>
          <c:idx val="3"/>
          <c:order val="3"/>
          <c:tx>
            <c:strRef>
              <c:f>MAY190407_4!$K$4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MAY190407_4!$AC$15:$AC$21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MAY190407_4!$AG$15:$AG$21</c:f>
              <c:numCache>
                <c:formatCode>0.00</c:formatCode>
                <c:ptCount val="7"/>
                <c:pt idx="0">
                  <c:v>0</c:v>
                </c:pt>
                <c:pt idx="1">
                  <c:v>1.5405735204392921</c:v>
                </c:pt>
                <c:pt idx="2">
                  <c:v>2.4851933573336424</c:v>
                </c:pt>
                <c:pt idx="3">
                  <c:v>0.83867784903798692</c:v>
                </c:pt>
                <c:pt idx="4">
                  <c:v>4.108996539792388</c:v>
                </c:pt>
                <c:pt idx="5">
                  <c:v>7.4007220216606502</c:v>
                </c:pt>
                <c:pt idx="6">
                  <c:v>6.3131313131313131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D95-4D6E-AD06-DB00E6A4FA14}"/>
            </c:ext>
          </c:extLst>
        </c:ser>
        <c:ser>
          <c:idx val="4"/>
          <c:order val="4"/>
          <c:tx>
            <c:strRef>
              <c:f>MAY190407_4!$L$4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MAY190407_4!$AC$15:$AC$21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MAY190407_4!$AH$15:$AH$21</c:f>
              <c:numCache>
                <c:formatCode>0.00</c:formatCode>
                <c:ptCount val="7"/>
                <c:pt idx="0">
                  <c:v>9.3090211132437641</c:v>
                </c:pt>
                <c:pt idx="1">
                  <c:v>2.8676021964612564</c:v>
                </c:pt>
                <c:pt idx="2">
                  <c:v>7.3742887004993598</c:v>
                </c:pt>
                <c:pt idx="3">
                  <c:v>23.186975826344348</c:v>
                </c:pt>
                <c:pt idx="4">
                  <c:v>24.351211072664363</c:v>
                </c:pt>
                <c:pt idx="5">
                  <c:v>25.270758122743679</c:v>
                </c:pt>
                <c:pt idx="6">
                  <c:v>24.494949494949495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7D95-4D6E-AD06-DB00E6A4FA14}"/>
            </c:ext>
          </c:extLst>
        </c:ser>
        <c:ser>
          <c:idx val="6"/>
          <c:order val="5"/>
          <c:tx>
            <c:strRef>
              <c:f>MAY190407_4!$N$4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MAY190407_4!$AC$15:$AC$21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MAY190407_4!$AJ$15:$AJ$21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7D95-4D6E-AD06-DB00E6A4FA14}"/>
            </c:ext>
          </c:extLst>
        </c:ser>
        <c:ser>
          <c:idx val="7"/>
          <c:order val="6"/>
          <c:tx>
            <c:strRef>
              <c:f>MAY190407_4!$O$4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MAY190407_4!$AC$15:$AC$21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MAY190407_4!$AK$15:$AK$21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7D95-4D6E-AD06-DB00E6A4FA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2930454735815426"/>
          <c:y val="3.3977357346377308E-2"/>
        </c:manualLayout>
      </c:layout>
      <c:overlay val="0"/>
      <c:txPr>
        <a:bodyPr/>
        <a:lstStyle/>
        <a:p>
          <a:pPr>
            <a:defRPr sz="1000" b="1"/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MAY190407_5!$D$2</c:f>
              <c:strCache>
                <c:ptCount val="1"/>
                <c:pt idx="0">
                  <c:v>MAY190407_5</c:v>
                </c:pt>
              </c:strCache>
            </c:strRef>
          </c:tx>
          <c:spPr>
            <a:pattFill prst="pct5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MAY190407_5!$B$7:$B$33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MAY190407_5!$D$7:$D$33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1.2297473155989365</c:v>
                </c:pt>
                <c:pt idx="10">
                  <c:v>3.3870255373439977</c:v>
                </c:pt>
                <c:pt idx="11">
                  <c:v>8.2108730197712649</c:v>
                </c:pt>
                <c:pt idx="12">
                  <c:v>11.922988301342246</c:v>
                </c:pt>
                <c:pt idx="13">
                  <c:v>14.973248841816526</c:v>
                </c:pt>
                <c:pt idx="14">
                  <c:v>5.3966072055390795</c:v>
                </c:pt>
                <c:pt idx="15">
                  <c:v>5.4605872333708554</c:v>
                </c:pt>
                <c:pt idx="16">
                  <c:v>4.3751587020159581</c:v>
                </c:pt>
                <c:pt idx="17">
                  <c:v>3.0191331418358907</c:v>
                </c:pt>
                <c:pt idx="18">
                  <c:v>2.7150915364143504</c:v>
                </c:pt>
                <c:pt idx="19">
                  <c:v>2.3228778654205642</c:v>
                </c:pt>
                <c:pt idx="20">
                  <c:v>2.167816646655579</c:v>
                </c:pt>
                <c:pt idx="21">
                  <c:v>2.496181580510842</c:v>
                </c:pt>
                <c:pt idx="22">
                  <c:v>2.9309610762636442</c:v>
                </c:pt>
                <c:pt idx="23">
                  <c:v>3.2380430977393995</c:v>
                </c:pt>
                <c:pt idx="24">
                  <c:v>26.153658898360852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57C-4AAC-9D4C-D8F7DB8519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MAY190407_5!$D$2</c:f>
              <c:strCache>
                <c:ptCount val="1"/>
                <c:pt idx="0">
                  <c:v>MAY190407_5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MAY190407_5!$B$7:$B$33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MAY190407_5!$E$7:$E$33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0.00">
                  <c:v>0</c:v>
                </c:pt>
                <c:pt idx="4" formatCode="0.00">
                  <c:v>0</c:v>
                </c:pt>
                <c:pt idx="5" formatCode="0.00">
                  <c:v>0</c:v>
                </c:pt>
                <c:pt idx="6" formatCode="0.00">
                  <c:v>0</c:v>
                </c:pt>
                <c:pt idx="7" formatCode="0.00">
                  <c:v>0</c:v>
                </c:pt>
                <c:pt idx="8" formatCode="0.00">
                  <c:v>0</c:v>
                </c:pt>
                <c:pt idx="9" formatCode="0.00">
                  <c:v>1.2297473155989365</c:v>
                </c:pt>
                <c:pt idx="10" formatCode="0.00">
                  <c:v>4.6167728529429342</c:v>
                </c:pt>
                <c:pt idx="11" formatCode="0.00">
                  <c:v>12.8276458727142</c:v>
                </c:pt>
                <c:pt idx="12" formatCode="0.00">
                  <c:v>24.750634174056444</c:v>
                </c:pt>
                <c:pt idx="13" formatCode="0.00">
                  <c:v>39.723883015872971</c:v>
                </c:pt>
                <c:pt idx="14" formatCode="0.00">
                  <c:v>45.120490221412048</c:v>
                </c:pt>
                <c:pt idx="15" formatCode="0.00">
                  <c:v>50.5810774547829</c:v>
                </c:pt>
                <c:pt idx="16" formatCode="0.00">
                  <c:v>54.956236156798859</c:v>
                </c:pt>
                <c:pt idx="17" formatCode="0.00">
                  <c:v>57.975369298634746</c:v>
                </c:pt>
                <c:pt idx="18" formatCode="0.00">
                  <c:v>60.690460835049095</c:v>
                </c:pt>
                <c:pt idx="19" formatCode="0.00">
                  <c:v>63.01333870046966</c:v>
                </c:pt>
                <c:pt idx="20" formatCode="0.00">
                  <c:v>65.181155347125241</c:v>
                </c:pt>
                <c:pt idx="21" formatCode="0.00">
                  <c:v>67.677336927636077</c:v>
                </c:pt>
                <c:pt idx="22" formatCode="0.00">
                  <c:v>70.608298003899719</c:v>
                </c:pt>
                <c:pt idx="23" formatCode="0.00">
                  <c:v>73.846341101639112</c:v>
                </c:pt>
                <c:pt idx="24" formatCode="0.00">
                  <c:v>99.999999999999972</c:v>
                </c:pt>
                <c:pt idx="25" formatCode="0.00">
                  <c:v>99.999999999999972</c:v>
                </c:pt>
                <c:pt idx="26" formatCode="0.00">
                  <c:v>99.999999999999972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88D-4B82-81A2-48ABAAE794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MAY190407_5!$H$4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MAY190407_5!$B$7:$B$33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MAY190407_5!$H$7:$H$33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0.54196542311191997</c:v>
                </c:pt>
                <c:pt idx="10">
                  <c:v>2.3162390276839973</c:v>
                </c:pt>
                <c:pt idx="11">
                  <c:v>2.5807547169811329</c:v>
                </c:pt>
                <c:pt idx="12">
                  <c:v>2.8672376873661674</c:v>
                </c:pt>
                <c:pt idx="13">
                  <c:v>2.9989226319595081</c:v>
                </c:pt>
                <c:pt idx="14">
                  <c:v>0.60647727272727248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D35-47F4-8288-0B7FA7646487}"/>
            </c:ext>
          </c:extLst>
        </c:ser>
        <c:ser>
          <c:idx val="1"/>
          <c:order val="1"/>
          <c:tx>
            <c:strRef>
              <c:f>MAY190407_5!$I$4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MAY190407_5!$I$7:$I$33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2.1156988521269411</c:v>
                </c:pt>
                <c:pt idx="11">
                  <c:v>21.014716981132075</c:v>
                </c:pt>
                <c:pt idx="12">
                  <c:v>27.26081370449679</c:v>
                </c:pt>
                <c:pt idx="13">
                  <c:v>41.515206073752715</c:v>
                </c:pt>
                <c:pt idx="14">
                  <c:v>15.525818181818176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D35-47F4-8288-0B7FA7646487}"/>
            </c:ext>
          </c:extLst>
        </c:ser>
        <c:ser>
          <c:idx val="2"/>
          <c:order val="2"/>
          <c:tx>
            <c:strRef>
              <c:f>MAY190407_5!$J$4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MAY190407_5!$J$7:$J$33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0.79489515545914669</c:v>
                </c:pt>
                <c:pt idx="14">
                  <c:v>0.62669318181818157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D35-47F4-8288-0B7FA7646487}"/>
            </c:ext>
          </c:extLst>
        </c:ser>
        <c:ser>
          <c:idx val="3"/>
          <c:order val="3"/>
          <c:tx>
            <c:strRef>
              <c:f>MAY190407_5!$K$4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MAY190407_5!$K$7:$K$33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1.5668867924528305</c:v>
                </c:pt>
                <c:pt idx="12">
                  <c:v>4.5434689507494657</c:v>
                </c:pt>
                <c:pt idx="13">
                  <c:v>1.4452639190166305</c:v>
                </c:pt>
                <c:pt idx="14">
                  <c:v>0.46496590909090896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D35-47F4-8288-0B7FA7646487}"/>
            </c:ext>
          </c:extLst>
        </c:ser>
        <c:ser>
          <c:idx val="4"/>
          <c:order val="4"/>
          <c:tx>
            <c:strRef>
              <c:f>MAY190407_5!$L$4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MAY190407_5!$L$7:$L$33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0.61755888650963608</c:v>
                </c:pt>
                <c:pt idx="13">
                  <c:v>1.2284743311641362</c:v>
                </c:pt>
                <c:pt idx="14">
                  <c:v>0.52561363636363623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D35-47F4-8288-0B7FA7646487}"/>
            </c:ext>
          </c:extLst>
        </c:ser>
        <c:ser>
          <c:idx val="6"/>
          <c:order val="5"/>
          <c:tx>
            <c:strRef>
              <c:f>MAY190407_5!$N$4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MAY190407_5!$N$7:$N$33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3.5027024567788905</c:v>
                </c:pt>
                <c:pt idx="10">
                  <c:v>6.7080688723835245</c:v>
                </c:pt>
                <c:pt idx="11">
                  <c:v>1.8433962264150945</c:v>
                </c:pt>
                <c:pt idx="12">
                  <c:v>3.9259100642398295</c:v>
                </c:pt>
                <c:pt idx="13">
                  <c:v>1.2646059291395517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6D35-47F4-8288-0B7FA7646487}"/>
            </c:ext>
          </c:extLst>
        </c:ser>
        <c:ser>
          <c:idx val="7"/>
          <c:order val="6"/>
          <c:tx>
            <c:strRef>
              <c:f>MAY190407_5!$O$4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MAY190407_5!$O$7:$O$33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6D35-47F4-8288-0B7FA7646487}"/>
            </c:ext>
          </c:extLst>
        </c:ser>
        <c:ser>
          <c:idx val="5"/>
          <c:order val="7"/>
          <c:tx>
            <c:strRef>
              <c:f>MAY190407_5!$M$4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MAY190407_5!$M$7:$M$33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6D35-47F4-8288-0B7FA764648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6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MAY190407_5!$H$4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MAY190407_5!$B$7:$B$33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MAY190407_5!$S$7:$S$33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13.399503722084367</c:v>
                </c:pt>
                <c:pt idx="10" formatCode="0.00">
                  <c:v>20.792079207920793</c:v>
                </c:pt>
                <c:pt idx="11" formatCode="0.00">
                  <c:v>9.5563139931740633</c:v>
                </c:pt>
                <c:pt idx="12" formatCode="0.00">
                  <c:v>7.3115860517435332</c:v>
                </c:pt>
                <c:pt idx="13" formatCode="0.00">
                  <c:v>6.0895084372707258</c:v>
                </c:pt>
                <c:pt idx="14" formatCode="0.00">
                  <c:v>3.4168564920273337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798-492D-8417-FFF1F4CB8DB6}"/>
            </c:ext>
          </c:extLst>
        </c:ser>
        <c:ser>
          <c:idx val="1"/>
          <c:order val="1"/>
          <c:tx>
            <c:strRef>
              <c:f>MAY190407_5!$I$4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MAY190407_5!$T$7:$T$33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18.991899189918993</c:v>
                </c:pt>
                <c:pt idx="11" formatCode="0.00">
                  <c:v>77.815699658703068</c:v>
                </c:pt>
                <c:pt idx="12" formatCode="0.00">
                  <c:v>69.516310461192347</c:v>
                </c:pt>
                <c:pt idx="13" formatCode="0.00">
                  <c:v>84.299339691856204</c:v>
                </c:pt>
                <c:pt idx="14" formatCode="0.00">
                  <c:v>87.471526195899756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798-492D-8417-FFF1F4CB8DB6}"/>
            </c:ext>
          </c:extLst>
        </c:ser>
        <c:ser>
          <c:idx val="2"/>
          <c:order val="2"/>
          <c:tx>
            <c:strRef>
              <c:f>MAY190407_5!$J$4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MAY190407_5!$U$7:$U$33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1.6140865737344092</c:v>
                </c:pt>
                <c:pt idx="14" formatCode="0.00">
                  <c:v>3.5307517084282449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798-492D-8417-FFF1F4CB8DB6}"/>
            </c:ext>
          </c:extLst>
        </c:ser>
        <c:ser>
          <c:idx val="3"/>
          <c:order val="3"/>
          <c:tx>
            <c:strRef>
              <c:f>MAY190407_5!$K$4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MAY190407_5!$V$7:$V$33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5.8020477815699669</c:v>
                </c:pt>
                <c:pt idx="12" formatCode="0.00">
                  <c:v>11.58605174353206</c:v>
                </c:pt>
                <c:pt idx="13" formatCode="0.00">
                  <c:v>2.9347028613352899</c:v>
                </c:pt>
                <c:pt idx="14" formatCode="0.00">
                  <c:v>2.6195899772209565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3798-492D-8417-FFF1F4CB8DB6}"/>
            </c:ext>
          </c:extLst>
        </c:ser>
        <c:ser>
          <c:idx val="4"/>
          <c:order val="4"/>
          <c:tx>
            <c:strRef>
              <c:f>MAY190407_5!$L$4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MAY190407_5!$W$7:$W$33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1.5748031496062993</c:v>
                </c:pt>
                <c:pt idx="13" formatCode="0.00">
                  <c:v>2.4944974321349966</c:v>
                </c:pt>
                <c:pt idx="14" formatCode="0.00">
                  <c:v>2.9612756264236899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3798-492D-8417-FFF1F4CB8DB6}"/>
            </c:ext>
          </c:extLst>
        </c:ser>
        <c:ser>
          <c:idx val="6"/>
          <c:order val="5"/>
          <c:tx>
            <c:strRef>
              <c:f>MAY190407_5!$N$4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MAY190407_5!$Y$7:$Y$33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86.600496277915624</c:v>
                </c:pt>
                <c:pt idx="10" formatCode="0.00">
                  <c:v>60.216021602160218</c:v>
                </c:pt>
                <c:pt idx="11" formatCode="0.00">
                  <c:v>6.8259385665529004</c:v>
                </c:pt>
                <c:pt idx="12" formatCode="0.00">
                  <c:v>10.01124859392576</c:v>
                </c:pt>
                <c:pt idx="13" formatCode="0.00">
                  <c:v>2.5678650036683783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3798-492D-8417-FFF1F4CB8DB6}"/>
            </c:ext>
          </c:extLst>
        </c:ser>
        <c:ser>
          <c:idx val="7"/>
          <c:order val="6"/>
          <c:tx>
            <c:strRef>
              <c:f>MAY190407_5!$O$4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MAY190407_5!$Z$7:$Z$33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3798-492D-8417-FFF1F4CB8DB6}"/>
            </c:ext>
          </c:extLst>
        </c:ser>
        <c:ser>
          <c:idx val="5"/>
          <c:order val="7"/>
          <c:tx>
            <c:strRef>
              <c:f>MAY190407_5!$M$4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MAY190407_5!$X$7:$X$33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3798-492D-8417-FFF1F4CB8DB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6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MAY190407_5!$H$4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MAY190407_5!$B$7:$B$33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MAY190407_5!$AD$7:$AD$33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13.399503722084368</c:v>
                </c:pt>
                <c:pt idx="10" formatCode="0.00">
                  <c:v>20.792079207920793</c:v>
                </c:pt>
                <c:pt idx="11" formatCode="0.00">
                  <c:v>9.5563139931740633</c:v>
                </c:pt>
                <c:pt idx="12" formatCode="0.00">
                  <c:v>7.311586051743534</c:v>
                </c:pt>
                <c:pt idx="13" formatCode="0.00">
                  <c:v>6.0895084372707258</c:v>
                </c:pt>
                <c:pt idx="14" formatCode="0.00">
                  <c:v>3.4168564920273345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22F-4A20-A2BA-F921341B29A9}"/>
            </c:ext>
          </c:extLst>
        </c:ser>
        <c:ser>
          <c:idx val="1"/>
          <c:order val="1"/>
          <c:tx>
            <c:strRef>
              <c:f>MAY190407_5!$I$4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MAY190407_5!$AE$7:$AE$33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18.991899189918993</c:v>
                </c:pt>
                <c:pt idx="11" formatCode="0.00">
                  <c:v>77.815699658703068</c:v>
                </c:pt>
                <c:pt idx="12" formatCode="0.00">
                  <c:v>69.516310461192361</c:v>
                </c:pt>
                <c:pt idx="13" formatCode="0.00">
                  <c:v>84.299339691856204</c:v>
                </c:pt>
                <c:pt idx="14" formatCode="0.00">
                  <c:v>87.47152619589977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22F-4A20-A2BA-F921341B29A9}"/>
            </c:ext>
          </c:extLst>
        </c:ser>
        <c:ser>
          <c:idx val="2"/>
          <c:order val="2"/>
          <c:tx>
            <c:strRef>
              <c:f>MAY190407_5!$J$4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MAY190407_5!$AF$7:$AF$33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1.6140865737344092</c:v>
                </c:pt>
                <c:pt idx="14" formatCode="0.00">
                  <c:v>3.5307517084282458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22F-4A20-A2BA-F921341B29A9}"/>
            </c:ext>
          </c:extLst>
        </c:ser>
        <c:ser>
          <c:idx val="3"/>
          <c:order val="3"/>
          <c:tx>
            <c:strRef>
              <c:f>MAY190407_5!$K$4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MAY190407_5!$AG$7:$AG$33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5.8020477815699669</c:v>
                </c:pt>
                <c:pt idx="12" formatCode="0.00">
                  <c:v>11.58605174353206</c:v>
                </c:pt>
                <c:pt idx="13" formatCode="0.00">
                  <c:v>2.9347028613352899</c:v>
                </c:pt>
                <c:pt idx="14" formatCode="0.00">
                  <c:v>2.6195899772209574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22F-4A20-A2BA-F921341B29A9}"/>
            </c:ext>
          </c:extLst>
        </c:ser>
        <c:ser>
          <c:idx val="4"/>
          <c:order val="4"/>
          <c:tx>
            <c:strRef>
              <c:f>MAY190407_5!$L$4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MAY190407_5!$AH$7:$AH$33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1.5748031496062995</c:v>
                </c:pt>
                <c:pt idx="13" formatCode="0.00">
                  <c:v>2.4944974321349966</c:v>
                </c:pt>
                <c:pt idx="14" formatCode="0.00">
                  <c:v>2.9612756264236908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E22F-4A20-A2BA-F921341B29A9}"/>
            </c:ext>
          </c:extLst>
        </c:ser>
        <c:ser>
          <c:idx val="6"/>
          <c:order val="5"/>
          <c:tx>
            <c:strRef>
              <c:f>MAY190407_5!$N$4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MAY190407_5!$AJ$7:$AJ$33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86.600496277915639</c:v>
                </c:pt>
                <c:pt idx="10" formatCode="0.00">
                  <c:v>60.216021602160218</c:v>
                </c:pt>
                <c:pt idx="11" formatCode="0.00">
                  <c:v>6.8259385665529013</c:v>
                </c:pt>
                <c:pt idx="12" formatCode="0.00">
                  <c:v>10.011248593925762</c:v>
                </c:pt>
                <c:pt idx="13" formatCode="0.00">
                  <c:v>2.5678650036683788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22F-4A20-A2BA-F921341B29A9}"/>
            </c:ext>
          </c:extLst>
        </c:ser>
        <c:ser>
          <c:idx val="7"/>
          <c:order val="6"/>
          <c:tx>
            <c:strRef>
              <c:f>MAY190407_5!$O$4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MAY190407_5!$AK$7:$AK$33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E22F-4A20-A2BA-F921341B29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7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MAY190407_5!$H$4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MAY190407_5!$AC$15:$AC$21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MAY190407_5!$AD$15:$AD$21</c:f>
              <c:numCache>
                <c:formatCode>0.00</c:formatCode>
                <c:ptCount val="7"/>
                <c:pt idx="0">
                  <c:v>0</c:v>
                </c:pt>
                <c:pt idx="1">
                  <c:v>13.399503722084368</c:v>
                </c:pt>
                <c:pt idx="2">
                  <c:v>20.792079207920793</c:v>
                </c:pt>
                <c:pt idx="3">
                  <c:v>9.5563139931740633</c:v>
                </c:pt>
                <c:pt idx="4">
                  <c:v>7.311586051743534</c:v>
                </c:pt>
                <c:pt idx="5">
                  <c:v>6.0895084372707258</c:v>
                </c:pt>
                <c:pt idx="6">
                  <c:v>3.4168564920273345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0C1-4943-84DB-C2BDD6FD9B25}"/>
            </c:ext>
          </c:extLst>
        </c:ser>
        <c:ser>
          <c:idx val="1"/>
          <c:order val="1"/>
          <c:tx>
            <c:strRef>
              <c:f>MAY190407_5!$I$4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MAY190407_5!$AC$15:$AC$21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MAY190407_5!$AE$15:$AE$21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18.991899189918993</c:v>
                </c:pt>
                <c:pt idx="3">
                  <c:v>77.815699658703068</c:v>
                </c:pt>
                <c:pt idx="4">
                  <c:v>69.516310461192361</c:v>
                </c:pt>
                <c:pt idx="5">
                  <c:v>84.299339691856204</c:v>
                </c:pt>
                <c:pt idx="6">
                  <c:v>87.47152619589977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0C1-4943-84DB-C2BDD6FD9B25}"/>
            </c:ext>
          </c:extLst>
        </c:ser>
        <c:ser>
          <c:idx val="2"/>
          <c:order val="2"/>
          <c:tx>
            <c:strRef>
              <c:f>MAY190407_5!$J$4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MAY190407_5!$AC$15:$AC$21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MAY190407_5!$AF$15:$AF$21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1.6140865737344092</c:v>
                </c:pt>
                <c:pt idx="6">
                  <c:v>3.5307517084282458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0C1-4943-84DB-C2BDD6FD9B25}"/>
            </c:ext>
          </c:extLst>
        </c:ser>
        <c:ser>
          <c:idx val="3"/>
          <c:order val="3"/>
          <c:tx>
            <c:strRef>
              <c:f>MAY190407_5!$K$4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MAY190407_5!$AC$15:$AC$21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MAY190407_5!$AG$15:$AG$21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5.8020477815699669</c:v>
                </c:pt>
                <c:pt idx="4">
                  <c:v>11.58605174353206</c:v>
                </c:pt>
                <c:pt idx="5">
                  <c:v>2.9347028613352899</c:v>
                </c:pt>
                <c:pt idx="6">
                  <c:v>2.6195899772209574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0C1-4943-84DB-C2BDD6FD9B25}"/>
            </c:ext>
          </c:extLst>
        </c:ser>
        <c:ser>
          <c:idx val="4"/>
          <c:order val="4"/>
          <c:tx>
            <c:strRef>
              <c:f>MAY190407_5!$L$4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MAY190407_5!$AC$15:$AC$21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MAY190407_5!$AH$15:$AH$21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1.5748031496062995</c:v>
                </c:pt>
                <c:pt idx="5">
                  <c:v>2.4944974321349966</c:v>
                </c:pt>
                <c:pt idx="6">
                  <c:v>2.9612756264236908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E0C1-4943-84DB-C2BDD6FD9B25}"/>
            </c:ext>
          </c:extLst>
        </c:ser>
        <c:ser>
          <c:idx val="6"/>
          <c:order val="5"/>
          <c:tx>
            <c:strRef>
              <c:f>MAY190407_5!$N$4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MAY190407_5!$AC$15:$AC$21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MAY190407_5!$AJ$15:$AJ$21</c:f>
              <c:numCache>
                <c:formatCode>0.00</c:formatCode>
                <c:ptCount val="7"/>
                <c:pt idx="0">
                  <c:v>0</c:v>
                </c:pt>
                <c:pt idx="1">
                  <c:v>86.600496277915639</c:v>
                </c:pt>
                <c:pt idx="2">
                  <c:v>60.216021602160218</c:v>
                </c:pt>
                <c:pt idx="3">
                  <c:v>6.8259385665529013</c:v>
                </c:pt>
                <c:pt idx="4">
                  <c:v>10.011248593925762</c:v>
                </c:pt>
                <c:pt idx="5">
                  <c:v>2.5678650036683788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0C1-4943-84DB-C2BDD6FD9B25}"/>
            </c:ext>
          </c:extLst>
        </c:ser>
        <c:ser>
          <c:idx val="7"/>
          <c:order val="6"/>
          <c:tx>
            <c:strRef>
              <c:f>MAY190407_5!$O$4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MAY190407_5!$AC$15:$AC$21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MAY190407_5!$AK$15:$AK$21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E0C1-4943-84DB-C2BDD6FD9B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7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2930454735815426"/>
          <c:y val="3.3977357346377308E-2"/>
        </c:manualLayout>
      </c:layout>
      <c:overlay val="0"/>
      <c:txPr>
        <a:bodyPr/>
        <a:lstStyle/>
        <a:p>
          <a:pPr>
            <a:defRPr sz="1000" b="1"/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MAY190403_2!$D$2</c:f>
              <c:strCache>
                <c:ptCount val="1"/>
                <c:pt idx="0">
                  <c:v>MAY190403_2</c:v>
                </c:pt>
              </c:strCache>
            </c:strRef>
          </c:tx>
          <c:spPr>
            <a:pattFill prst="pct5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MAY190403_2!$B$7:$B$33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MAY190403_2!$D$7:$D$33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450-45AC-87FF-A07C26E1ECB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7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MAY190403_2!$D$2</c:f>
              <c:strCache>
                <c:ptCount val="1"/>
                <c:pt idx="0">
                  <c:v>MAY190403_2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MAY190403_2!$B$7:$B$33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MAY190403_2!$E$7:$E$33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0.00">
                  <c:v>0</c:v>
                </c:pt>
                <c:pt idx="4" formatCode="0.00">
                  <c:v>0</c:v>
                </c:pt>
                <c:pt idx="5" formatCode="0.00">
                  <c:v>0</c:v>
                </c:pt>
                <c:pt idx="6" formatCode="0.00">
                  <c:v>0</c:v>
                </c:pt>
                <c:pt idx="7" formatCode="0.00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 formatCode="0.00">
                  <c:v>0</c:v>
                </c:pt>
                <c:pt idx="16" formatCode="0.00">
                  <c:v>0</c:v>
                </c:pt>
                <c:pt idx="17" formatCode="0.00">
                  <c:v>0</c:v>
                </c:pt>
                <c:pt idx="18" formatCode="0.00">
                  <c:v>0</c:v>
                </c:pt>
                <c:pt idx="19" formatCode="0.00">
                  <c:v>0</c:v>
                </c:pt>
                <c:pt idx="20" formatCode="0.00">
                  <c:v>0</c:v>
                </c:pt>
                <c:pt idx="21" formatCode="0.00">
                  <c:v>0</c:v>
                </c:pt>
                <c:pt idx="22" formatCode="0.00">
                  <c:v>0</c:v>
                </c:pt>
                <c:pt idx="23" formatCode="0.00">
                  <c:v>0</c:v>
                </c:pt>
                <c:pt idx="24" formatCode="0.00">
                  <c:v>0</c:v>
                </c:pt>
                <c:pt idx="25" formatCode="0.00">
                  <c:v>0</c:v>
                </c:pt>
                <c:pt idx="26" formatCode="0.0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9BF-4AAA-AF3E-3D73267C30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7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MAY190403_2!$H$4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MAY190403_2!$B$7:$B$33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MAY190403_2!$H$7:$H$33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B93-4A4A-985D-621B6806153D}"/>
            </c:ext>
          </c:extLst>
        </c:ser>
        <c:ser>
          <c:idx val="1"/>
          <c:order val="1"/>
          <c:tx>
            <c:strRef>
              <c:f>MAY190403_2!$I$4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MAY190403_2!$I$7:$I$33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B93-4A4A-985D-621B6806153D}"/>
            </c:ext>
          </c:extLst>
        </c:ser>
        <c:ser>
          <c:idx val="2"/>
          <c:order val="2"/>
          <c:tx>
            <c:strRef>
              <c:f>MAY190403_2!$J$4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MAY190403_2!$J$7:$J$33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B93-4A4A-985D-621B6806153D}"/>
            </c:ext>
          </c:extLst>
        </c:ser>
        <c:ser>
          <c:idx val="3"/>
          <c:order val="3"/>
          <c:tx>
            <c:strRef>
              <c:f>MAY190403_2!$K$4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MAY190403_2!$K$7:$K$33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B93-4A4A-985D-621B6806153D}"/>
            </c:ext>
          </c:extLst>
        </c:ser>
        <c:ser>
          <c:idx val="4"/>
          <c:order val="4"/>
          <c:tx>
            <c:strRef>
              <c:f>MAY190403_2!$L$4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MAY190403_2!$L$7:$L$33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B93-4A4A-985D-621B6806153D}"/>
            </c:ext>
          </c:extLst>
        </c:ser>
        <c:ser>
          <c:idx val="6"/>
          <c:order val="5"/>
          <c:tx>
            <c:strRef>
              <c:f>MAY190403_2!$N$4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MAY190403_2!$N$7:$N$33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CB93-4A4A-985D-621B6806153D}"/>
            </c:ext>
          </c:extLst>
        </c:ser>
        <c:ser>
          <c:idx val="7"/>
          <c:order val="6"/>
          <c:tx>
            <c:strRef>
              <c:f>MAY190403_2!$O$4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MAY190403_2!$O$7:$O$33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CB93-4A4A-985D-621B6806153D}"/>
            </c:ext>
          </c:extLst>
        </c:ser>
        <c:ser>
          <c:idx val="5"/>
          <c:order val="7"/>
          <c:tx>
            <c:strRef>
              <c:f>MAY190403_2!$M$4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MAY190403_2!$M$7:$M$33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CB93-4A4A-985D-621B680615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7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MAY190403_2!$H$4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MAY190403_2!$B$7:$B$33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MAY190403_2!$S$7:$S$33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3BC-4C8F-8C59-24B0C8FDE417}"/>
            </c:ext>
          </c:extLst>
        </c:ser>
        <c:ser>
          <c:idx val="1"/>
          <c:order val="1"/>
          <c:tx>
            <c:strRef>
              <c:f>MAY190403_2!$I$4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MAY190403_2!$T$7:$T$33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3BC-4C8F-8C59-24B0C8FDE417}"/>
            </c:ext>
          </c:extLst>
        </c:ser>
        <c:ser>
          <c:idx val="2"/>
          <c:order val="2"/>
          <c:tx>
            <c:strRef>
              <c:f>MAY190403_2!$J$4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MAY190403_2!$U$7:$U$33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3BC-4C8F-8C59-24B0C8FDE417}"/>
            </c:ext>
          </c:extLst>
        </c:ser>
        <c:ser>
          <c:idx val="3"/>
          <c:order val="3"/>
          <c:tx>
            <c:strRef>
              <c:f>MAY190403_2!$K$4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MAY190403_2!$V$7:$V$33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3BC-4C8F-8C59-24B0C8FDE417}"/>
            </c:ext>
          </c:extLst>
        </c:ser>
        <c:ser>
          <c:idx val="4"/>
          <c:order val="4"/>
          <c:tx>
            <c:strRef>
              <c:f>MAY190403_2!$L$4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MAY190403_2!$W$7:$W$33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3BC-4C8F-8C59-24B0C8FDE417}"/>
            </c:ext>
          </c:extLst>
        </c:ser>
        <c:ser>
          <c:idx val="6"/>
          <c:order val="5"/>
          <c:tx>
            <c:strRef>
              <c:f>MAY190403_2!$N$4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MAY190403_2!$Y$7:$Y$33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53BC-4C8F-8C59-24B0C8FDE417}"/>
            </c:ext>
          </c:extLst>
        </c:ser>
        <c:ser>
          <c:idx val="7"/>
          <c:order val="6"/>
          <c:tx>
            <c:strRef>
              <c:f>MAY190403_2!$O$4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MAY190403_2!$Z$7:$Z$33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3BC-4C8F-8C59-24B0C8FDE417}"/>
            </c:ext>
          </c:extLst>
        </c:ser>
        <c:ser>
          <c:idx val="5"/>
          <c:order val="7"/>
          <c:tx>
            <c:strRef>
              <c:f>MAY190403_2!$M$4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MAY190403_2!$X$7:$X$33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3BC-4C8F-8C59-24B0C8FDE4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7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MAY190403_2!$H$4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MAY190403_2!$B$7:$B$33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MAY190403_2!$AD$7:$AD$33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B47-4375-8178-584CD8CFF0EA}"/>
            </c:ext>
          </c:extLst>
        </c:ser>
        <c:ser>
          <c:idx val="1"/>
          <c:order val="1"/>
          <c:tx>
            <c:strRef>
              <c:f>MAY190403_2!$I$4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MAY190403_2!$AE$7:$AE$33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B47-4375-8178-584CD8CFF0EA}"/>
            </c:ext>
          </c:extLst>
        </c:ser>
        <c:ser>
          <c:idx val="2"/>
          <c:order val="2"/>
          <c:tx>
            <c:strRef>
              <c:f>MAY190403_2!$J$4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MAY190403_2!$AF$7:$AF$33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B47-4375-8178-584CD8CFF0EA}"/>
            </c:ext>
          </c:extLst>
        </c:ser>
        <c:ser>
          <c:idx val="3"/>
          <c:order val="3"/>
          <c:tx>
            <c:strRef>
              <c:f>MAY190403_2!$K$4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MAY190403_2!$AG$7:$AG$33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3B47-4375-8178-584CD8CFF0EA}"/>
            </c:ext>
          </c:extLst>
        </c:ser>
        <c:ser>
          <c:idx val="4"/>
          <c:order val="4"/>
          <c:tx>
            <c:strRef>
              <c:f>MAY190403_2!$L$4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MAY190403_2!$AH$7:$AH$33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3B47-4375-8178-584CD8CFF0EA}"/>
            </c:ext>
          </c:extLst>
        </c:ser>
        <c:ser>
          <c:idx val="6"/>
          <c:order val="5"/>
          <c:tx>
            <c:strRef>
              <c:f>MAY190403_2!$N$4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MAY190403_2!$AJ$7:$AJ$33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3B47-4375-8178-584CD8CFF0EA}"/>
            </c:ext>
          </c:extLst>
        </c:ser>
        <c:ser>
          <c:idx val="7"/>
          <c:order val="6"/>
          <c:tx>
            <c:strRef>
              <c:f>MAY190403_2!$O$4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MAY190403_2!$AK$7:$AK$33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3B47-4375-8178-584CD8CFF0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7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MAY190403_2!$H$4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MAY190403_2!$AC$15:$AC$21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MAY190403_2!$AD$15:$AD$21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F0C-45EE-92B8-5BF810DDF8AD}"/>
            </c:ext>
          </c:extLst>
        </c:ser>
        <c:ser>
          <c:idx val="1"/>
          <c:order val="1"/>
          <c:tx>
            <c:strRef>
              <c:f>MAY190403_2!$I$4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MAY190403_2!$AC$15:$AC$21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MAY190403_2!$AE$15:$AE$21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F0C-45EE-92B8-5BF810DDF8AD}"/>
            </c:ext>
          </c:extLst>
        </c:ser>
        <c:ser>
          <c:idx val="2"/>
          <c:order val="2"/>
          <c:tx>
            <c:strRef>
              <c:f>MAY190403_2!$J$4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MAY190403_2!$AC$15:$AC$21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MAY190403_2!$AF$15:$AF$21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F0C-45EE-92B8-5BF810DDF8AD}"/>
            </c:ext>
          </c:extLst>
        </c:ser>
        <c:ser>
          <c:idx val="3"/>
          <c:order val="3"/>
          <c:tx>
            <c:strRef>
              <c:f>MAY190403_2!$K$4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MAY190403_2!$AC$15:$AC$21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MAY190403_2!$AG$15:$AG$21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8F0C-45EE-92B8-5BF810DDF8AD}"/>
            </c:ext>
          </c:extLst>
        </c:ser>
        <c:ser>
          <c:idx val="4"/>
          <c:order val="4"/>
          <c:tx>
            <c:strRef>
              <c:f>MAY190403_2!$L$4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MAY190403_2!$AC$15:$AC$21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MAY190403_2!$AH$15:$AH$21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8F0C-45EE-92B8-5BF810DDF8AD}"/>
            </c:ext>
          </c:extLst>
        </c:ser>
        <c:ser>
          <c:idx val="6"/>
          <c:order val="5"/>
          <c:tx>
            <c:strRef>
              <c:f>MAY190403_2!$N$4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MAY190403_2!$AC$15:$AC$21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MAY190403_2!$AJ$15:$AJ$21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8F0C-45EE-92B8-5BF810DDF8AD}"/>
            </c:ext>
          </c:extLst>
        </c:ser>
        <c:ser>
          <c:idx val="7"/>
          <c:order val="6"/>
          <c:tx>
            <c:strRef>
              <c:f>MAY190403_2!$O$4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MAY190403_2!$AC$15:$AC$21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MAY190403_2!$AK$15:$AK$21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8F0C-45EE-92B8-5BF810DDF8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6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tx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/>
      </a:solidFill>
    </cs:spPr>
  </cs:downBar>
  <cs:dropLine>
    <cs:lnRef idx="0"/>
    <cs:fillRef idx="0"/>
    <cs:effectRef idx="0"/>
    <cs:fontRef idx="minor">
      <a:schemeClr val="tx1"/>
    </cs:fontRef>
  </cs:dropLine>
  <cs:errorBar>
    <cs:lnRef idx="0"/>
    <cs:fillRef idx="0"/>
    <cs:effectRef idx="0"/>
    <cs:fontRef idx="minor">
      <a:schemeClr val="tx1"/>
    </cs:fontRef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tx1">
            <a:lumMod val="15000"/>
            <a:lumOff val="85000"/>
            <a:lumOff val="10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</cs:hiLoLine>
  <cs:leaderLine>
    <cs:lnRef idx="0"/>
    <cs:fillRef idx="0"/>
    <cs:effectRef idx="0"/>
    <cs:fontRef idx="minor">
      <a:schemeClr val="tx1"/>
    </cs:fontRef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6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tx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/>
      </a:solidFill>
    </cs:spPr>
  </cs:downBar>
  <cs:dropLine>
    <cs:lnRef idx="0"/>
    <cs:fillRef idx="0"/>
    <cs:effectRef idx="0"/>
    <cs:fontRef idx="minor">
      <a:schemeClr val="tx1"/>
    </cs:fontRef>
  </cs:dropLine>
  <cs:errorBar>
    <cs:lnRef idx="0"/>
    <cs:fillRef idx="0"/>
    <cs:effectRef idx="0"/>
    <cs:fontRef idx="minor">
      <a:schemeClr val="tx1"/>
    </cs:fontRef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tx1">
            <a:lumMod val="15000"/>
            <a:lumOff val="85000"/>
            <a:lumOff val="10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</cs:hiLoLine>
  <cs:leaderLine>
    <cs:lnRef idx="0"/>
    <cs:fillRef idx="0"/>
    <cs:effectRef idx="0"/>
    <cs:fontRef idx="minor">
      <a:schemeClr val="tx1"/>
    </cs:fontRef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36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tx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/>
      </a:solidFill>
    </cs:spPr>
  </cs:downBar>
  <cs:dropLine>
    <cs:lnRef idx="0"/>
    <cs:fillRef idx="0"/>
    <cs:effectRef idx="0"/>
    <cs:fontRef idx="minor">
      <a:schemeClr val="tx1"/>
    </cs:fontRef>
  </cs:dropLine>
  <cs:errorBar>
    <cs:lnRef idx="0"/>
    <cs:fillRef idx="0"/>
    <cs:effectRef idx="0"/>
    <cs:fontRef idx="minor">
      <a:schemeClr val="tx1"/>
    </cs:fontRef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tx1">
            <a:lumMod val="15000"/>
            <a:lumOff val="85000"/>
            <a:lumOff val="10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</cs:hiLoLine>
  <cs:leaderLine>
    <cs:lnRef idx="0"/>
    <cs:fillRef idx="0"/>
    <cs:effectRef idx="0"/>
    <cs:fontRef idx="minor">
      <a:schemeClr val="tx1"/>
    </cs:fontRef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36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tx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/>
      </a:solidFill>
    </cs:spPr>
  </cs:downBar>
  <cs:dropLine>
    <cs:lnRef idx="0"/>
    <cs:fillRef idx="0"/>
    <cs:effectRef idx="0"/>
    <cs:fontRef idx="minor">
      <a:schemeClr val="tx1"/>
    </cs:fontRef>
  </cs:dropLine>
  <cs:errorBar>
    <cs:lnRef idx="0"/>
    <cs:fillRef idx="0"/>
    <cs:effectRef idx="0"/>
    <cs:fontRef idx="minor">
      <a:schemeClr val="tx1"/>
    </cs:fontRef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tx1">
            <a:lumMod val="15000"/>
            <a:lumOff val="85000"/>
            <a:lumOff val="10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</cs:hiLoLine>
  <cs:leaderLine>
    <cs:lnRef idx="0"/>
    <cs:fillRef idx="0"/>
    <cs:effectRef idx="0"/>
    <cs:fontRef idx="minor">
      <a:schemeClr val="tx1"/>
    </cs:fontRef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9.xml"/><Relationship Id="rId2" Type="http://schemas.openxmlformats.org/officeDocument/2006/relationships/chart" Target="../charts/chart8.xml"/><Relationship Id="rId1" Type="http://schemas.openxmlformats.org/officeDocument/2006/relationships/chart" Target="../charts/chart7.xml"/><Relationship Id="rId6" Type="http://schemas.openxmlformats.org/officeDocument/2006/relationships/chart" Target="../charts/chart12.xml"/><Relationship Id="rId5" Type="http://schemas.openxmlformats.org/officeDocument/2006/relationships/chart" Target="../charts/chart11.xml"/><Relationship Id="rId4" Type="http://schemas.openxmlformats.org/officeDocument/2006/relationships/chart" Target="../charts/chart10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5.xml"/><Relationship Id="rId7" Type="http://schemas.openxmlformats.org/officeDocument/2006/relationships/chart" Target="../charts/chart19.xml"/><Relationship Id="rId2" Type="http://schemas.openxmlformats.org/officeDocument/2006/relationships/chart" Target="../charts/chart14.xml"/><Relationship Id="rId1" Type="http://schemas.openxmlformats.org/officeDocument/2006/relationships/chart" Target="../charts/chart13.xml"/><Relationship Id="rId6" Type="http://schemas.openxmlformats.org/officeDocument/2006/relationships/chart" Target="../charts/chart18.xml"/><Relationship Id="rId5" Type="http://schemas.openxmlformats.org/officeDocument/2006/relationships/chart" Target="../charts/chart17.xml"/><Relationship Id="rId4" Type="http://schemas.openxmlformats.org/officeDocument/2006/relationships/chart" Target="../charts/chart16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2.xml"/><Relationship Id="rId2" Type="http://schemas.openxmlformats.org/officeDocument/2006/relationships/chart" Target="../charts/chart21.xml"/><Relationship Id="rId1" Type="http://schemas.openxmlformats.org/officeDocument/2006/relationships/chart" Target="../charts/chart20.xml"/><Relationship Id="rId6" Type="http://schemas.openxmlformats.org/officeDocument/2006/relationships/chart" Target="../charts/chart25.xml"/><Relationship Id="rId5" Type="http://schemas.openxmlformats.org/officeDocument/2006/relationships/chart" Target="../charts/chart24.xml"/><Relationship Id="rId4" Type="http://schemas.openxmlformats.org/officeDocument/2006/relationships/chart" Target="../charts/chart23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8.xml"/><Relationship Id="rId2" Type="http://schemas.openxmlformats.org/officeDocument/2006/relationships/chart" Target="../charts/chart27.xml"/><Relationship Id="rId1" Type="http://schemas.openxmlformats.org/officeDocument/2006/relationships/chart" Target="../charts/chart26.xml"/><Relationship Id="rId6" Type="http://schemas.openxmlformats.org/officeDocument/2006/relationships/chart" Target="../charts/chart31.xml"/><Relationship Id="rId5" Type="http://schemas.openxmlformats.org/officeDocument/2006/relationships/chart" Target="../charts/chart30.xml"/><Relationship Id="rId4" Type="http://schemas.openxmlformats.org/officeDocument/2006/relationships/chart" Target="../charts/chart29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4.xml"/><Relationship Id="rId7" Type="http://schemas.openxmlformats.org/officeDocument/2006/relationships/chart" Target="../charts/chart38.xml"/><Relationship Id="rId2" Type="http://schemas.openxmlformats.org/officeDocument/2006/relationships/chart" Target="../charts/chart33.xml"/><Relationship Id="rId1" Type="http://schemas.openxmlformats.org/officeDocument/2006/relationships/chart" Target="../charts/chart32.xml"/><Relationship Id="rId6" Type="http://schemas.openxmlformats.org/officeDocument/2006/relationships/chart" Target="../charts/chart37.xml"/><Relationship Id="rId5" Type="http://schemas.openxmlformats.org/officeDocument/2006/relationships/chart" Target="../charts/chart36.xml"/><Relationship Id="rId4" Type="http://schemas.openxmlformats.org/officeDocument/2006/relationships/chart" Target="../charts/chart35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1.xml"/><Relationship Id="rId7" Type="http://schemas.openxmlformats.org/officeDocument/2006/relationships/chart" Target="../charts/chart45.xml"/><Relationship Id="rId2" Type="http://schemas.openxmlformats.org/officeDocument/2006/relationships/chart" Target="../charts/chart40.xml"/><Relationship Id="rId1" Type="http://schemas.openxmlformats.org/officeDocument/2006/relationships/chart" Target="../charts/chart39.xml"/><Relationship Id="rId6" Type="http://schemas.openxmlformats.org/officeDocument/2006/relationships/chart" Target="../charts/chart44.xml"/><Relationship Id="rId5" Type="http://schemas.openxmlformats.org/officeDocument/2006/relationships/chart" Target="../charts/chart43.xml"/><Relationship Id="rId4" Type="http://schemas.openxmlformats.org/officeDocument/2006/relationships/chart" Target="../charts/chart42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8.xml"/><Relationship Id="rId7" Type="http://schemas.openxmlformats.org/officeDocument/2006/relationships/chart" Target="../charts/chart52.xml"/><Relationship Id="rId2" Type="http://schemas.openxmlformats.org/officeDocument/2006/relationships/chart" Target="../charts/chart47.xml"/><Relationship Id="rId1" Type="http://schemas.openxmlformats.org/officeDocument/2006/relationships/chart" Target="../charts/chart46.xml"/><Relationship Id="rId6" Type="http://schemas.openxmlformats.org/officeDocument/2006/relationships/chart" Target="../charts/chart51.xml"/><Relationship Id="rId5" Type="http://schemas.openxmlformats.org/officeDocument/2006/relationships/chart" Target="../charts/chart50.xml"/><Relationship Id="rId4" Type="http://schemas.openxmlformats.org/officeDocument/2006/relationships/chart" Target="../charts/chart49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5.xml"/><Relationship Id="rId2" Type="http://schemas.openxmlformats.org/officeDocument/2006/relationships/chart" Target="../charts/chart54.xml"/><Relationship Id="rId1" Type="http://schemas.openxmlformats.org/officeDocument/2006/relationships/chart" Target="../charts/chart53.xml"/><Relationship Id="rId6" Type="http://schemas.openxmlformats.org/officeDocument/2006/relationships/chart" Target="../charts/chart58.xml"/><Relationship Id="rId5" Type="http://schemas.openxmlformats.org/officeDocument/2006/relationships/chart" Target="../charts/chart57.xml"/><Relationship Id="rId4" Type="http://schemas.openxmlformats.org/officeDocument/2006/relationships/chart" Target="../charts/chart56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1.xml"/><Relationship Id="rId2" Type="http://schemas.openxmlformats.org/officeDocument/2006/relationships/chart" Target="../charts/chart60.xml"/><Relationship Id="rId1" Type="http://schemas.openxmlformats.org/officeDocument/2006/relationships/chart" Target="../charts/chart59.xml"/><Relationship Id="rId6" Type="http://schemas.openxmlformats.org/officeDocument/2006/relationships/chart" Target="../charts/chart64.xml"/><Relationship Id="rId5" Type="http://schemas.openxmlformats.org/officeDocument/2006/relationships/chart" Target="../charts/chart63.xml"/><Relationship Id="rId4" Type="http://schemas.openxmlformats.org/officeDocument/2006/relationships/chart" Target="../charts/chart62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7.xml"/><Relationship Id="rId2" Type="http://schemas.openxmlformats.org/officeDocument/2006/relationships/chart" Target="../charts/chart66.xml"/><Relationship Id="rId1" Type="http://schemas.openxmlformats.org/officeDocument/2006/relationships/chart" Target="../charts/chart65.xml"/><Relationship Id="rId6" Type="http://schemas.openxmlformats.org/officeDocument/2006/relationships/chart" Target="../charts/chart70.xml"/><Relationship Id="rId5" Type="http://schemas.openxmlformats.org/officeDocument/2006/relationships/chart" Target="../charts/chart69.xml"/><Relationship Id="rId4" Type="http://schemas.openxmlformats.org/officeDocument/2006/relationships/chart" Target="../charts/chart68.xml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3.xml"/><Relationship Id="rId2" Type="http://schemas.openxmlformats.org/officeDocument/2006/relationships/chart" Target="../charts/chart72.xml"/><Relationship Id="rId1" Type="http://schemas.openxmlformats.org/officeDocument/2006/relationships/chart" Target="../charts/chart71.xml"/><Relationship Id="rId6" Type="http://schemas.openxmlformats.org/officeDocument/2006/relationships/chart" Target="../charts/chart76.xml"/><Relationship Id="rId5" Type="http://schemas.openxmlformats.org/officeDocument/2006/relationships/chart" Target="../charts/chart75.xml"/><Relationship Id="rId4" Type="http://schemas.openxmlformats.org/officeDocument/2006/relationships/chart" Target="../charts/chart7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704590</xdr:colOff>
      <xdr:row>70</xdr:row>
      <xdr:rowOff>117432</xdr:rowOff>
    </xdr:from>
    <xdr:to>
      <xdr:col>5</xdr:col>
      <xdr:colOff>274878</xdr:colOff>
      <xdr:row>85</xdr:row>
      <xdr:rowOff>120563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508870</xdr:colOff>
      <xdr:row>70</xdr:row>
      <xdr:rowOff>104384</xdr:rowOff>
    </xdr:from>
    <xdr:to>
      <xdr:col>9</xdr:col>
      <xdr:colOff>731556</xdr:colOff>
      <xdr:row>85</xdr:row>
      <xdr:rowOff>107515</xdr:rowOff>
    </xdr:to>
    <xdr:graphicFrame macro="">
      <xdr:nvGraphicFramePr>
        <xdr:cNvPr id="5" name="Graphiqu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691541</xdr:colOff>
      <xdr:row>86</xdr:row>
      <xdr:rowOff>130480</xdr:rowOff>
    </xdr:from>
    <xdr:to>
      <xdr:col>5</xdr:col>
      <xdr:colOff>261829</xdr:colOff>
      <xdr:row>101</xdr:row>
      <xdr:rowOff>133611</xdr:rowOff>
    </xdr:to>
    <xdr:graphicFrame macro="">
      <xdr:nvGraphicFramePr>
        <xdr:cNvPr id="6" name="Graphiqu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5</xdr:col>
      <xdr:colOff>508870</xdr:colOff>
      <xdr:row>86</xdr:row>
      <xdr:rowOff>130480</xdr:rowOff>
    </xdr:from>
    <xdr:to>
      <xdr:col>9</xdr:col>
      <xdr:colOff>731556</xdr:colOff>
      <xdr:row>101</xdr:row>
      <xdr:rowOff>133611</xdr:rowOff>
    </xdr:to>
    <xdr:graphicFrame macro="">
      <xdr:nvGraphicFramePr>
        <xdr:cNvPr id="7" name="Graphique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10</xdr:col>
      <xdr:colOff>923795</xdr:colOff>
      <xdr:row>24</xdr:row>
      <xdr:rowOff>102818</xdr:rowOff>
    </xdr:from>
    <xdr:to>
      <xdr:col>15</xdr:col>
      <xdr:colOff>41754</xdr:colOff>
      <xdr:row>38</xdr:row>
      <xdr:rowOff>105950</xdr:rowOff>
    </xdr:to>
    <xdr:graphicFrame macro="">
      <xdr:nvGraphicFramePr>
        <xdr:cNvPr id="3" name="Graphiqu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14</xdr:col>
      <xdr:colOff>443630</xdr:colOff>
      <xdr:row>20</xdr:row>
      <xdr:rowOff>169624</xdr:rowOff>
    </xdr:from>
    <xdr:to>
      <xdr:col>19</xdr:col>
      <xdr:colOff>31315</xdr:colOff>
      <xdr:row>33</xdr:row>
      <xdr:rowOff>185804</xdr:rowOff>
    </xdr:to>
    <xdr:graphicFrame macro="">
      <xdr:nvGraphicFramePr>
        <xdr:cNvPr id="8" name="Graphique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974650</xdr:colOff>
      <xdr:row>34</xdr:row>
      <xdr:rowOff>1</xdr:rowOff>
    </xdr:from>
    <xdr:to>
      <xdr:col>14</xdr:col>
      <xdr:colOff>753139</xdr:colOff>
      <xdr:row>53</xdr:row>
      <xdr:rowOff>116418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10583</xdr:colOff>
      <xdr:row>34</xdr:row>
      <xdr:rowOff>0</xdr:rowOff>
    </xdr:from>
    <xdr:to>
      <xdr:col>25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29</xdr:col>
      <xdr:colOff>0</xdr:colOff>
      <xdr:row>34</xdr:row>
      <xdr:rowOff>0</xdr:rowOff>
    </xdr:from>
    <xdr:to>
      <xdr:col>37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28</xdr:col>
      <xdr:colOff>766031</xdr:colOff>
      <xdr:row>62</xdr:row>
      <xdr:rowOff>40318</xdr:rowOff>
    </xdr:from>
    <xdr:to>
      <xdr:col>37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295957</xdr:colOff>
      <xdr:row>54</xdr:row>
      <xdr:rowOff>15121</xdr:rowOff>
    </xdr:from>
    <xdr:to>
      <xdr:col>14</xdr:col>
      <xdr:colOff>103021</xdr:colOff>
      <xdr:row>73</xdr:row>
      <xdr:rowOff>131538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29</xdr:col>
      <xdr:colOff>0</xdr:colOff>
      <xdr:row>34</xdr:row>
      <xdr:rowOff>0</xdr:rowOff>
    </xdr:from>
    <xdr:to>
      <xdr:col>37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28</xdr:col>
      <xdr:colOff>766031</xdr:colOff>
      <xdr:row>62</xdr:row>
      <xdr:rowOff>40318</xdr:rowOff>
    </xdr:from>
    <xdr:to>
      <xdr:col>37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17</xdr:col>
      <xdr:colOff>0</xdr:colOff>
      <xdr:row>84</xdr:row>
      <xdr:rowOff>0</xdr:rowOff>
    </xdr:from>
    <xdr:to>
      <xdr:col>22</xdr:col>
      <xdr:colOff>587375</xdr:colOff>
      <xdr:row>98</xdr:row>
      <xdr:rowOff>76200</xdr:rowOff>
    </xdr:to>
    <xdr:graphicFrame macro="">
      <xdr:nvGraphicFramePr>
        <xdr:cNvPr id="10" name="Graphique 9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17</xdr:col>
      <xdr:colOff>0</xdr:colOff>
      <xdr:row>64</xdr:row>
      <xdr:rowOff>0</xdr:rowOff>
    </xdr:from>
    <xdr:to>
      <xdr:col>24</xdr:col>
      <xdr:colOff>569064</xdr:colOff>
      <xdr:row>83</xdr:row>
      <xdr:rowOff>116417</xdr:rowOff>
    </xdr:to>
    <xdr:graphicFrame macro="">
      <xdr:nvGraphicFramePr>
        <xdr:cNvPr id="11" name="Chart 2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974650</xdr:colOff>
      <xdr:row>34</xdr:row>
      <xdr:rowOff>1</xdr:rowOff>
    </xdr:from>
    <xdr:to>
      <xdr:col>14</xdr:col>
      <xdr:colOff>753139</xdr:colOff>
      <xdr:row>53</xdr:row>
      <xdr:rowOff>116418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20</xdr:col>
      <xdr:colOff>10583</xdr:colOff>
      <xdr:row>34</xdr:row>
      <xdr:rowOff>0</xdr:rowOff>
    </xdr:from>
    <xdr:to>
      <xdr:col>27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31</xdr:col>
      <xdr:colOff>0</xdr:colOff>
      <xdr:row>34</xdr:row>
      <xdr:rowOff>0</xdr:rowOff>
    </xdr:from>
    <xdr:to>
      <xdr:col>39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30</xdr:col>
      <xdr:colOff>766031</xdr:colOff>
      <xdr:row>62</xdr:row>
      <xdr:rowOff>40318</xdr:rowOff>
    </xdr:from>
    <xdr:to>
      <xdr:col>39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974650</xdr:colOff>
      <xdr:row>34</xdr:row>
      <xdr:rowOff>1</xdr:rowOff>
    </xdr:from>
    <xdr:to>
      <xdr:col>14</xdr:col>
      <xdr:colOff>753139</xdr:colOff>
      <xdr:row>53</xdr:row>
      <xdr:rowOff>116418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10583</xdr:colOff>
      <xdr:row>34</xdr:row>
      <xdr:rowOff>0</xdr:rowOff>
    </xdr:from>
    <xdr:to>
      <xdr:col>25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29</xdr:col>
      <xdr:colOff>0</xdr:colOff>
      <xdr:row>34</xdr:row>
      <xdr:rowOff>0</xdr:rowOff>
    </xdr:from>
    <xdr:to>
      <xdr:col>37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28</xdr:col>
      <xdr:colOff>766031</xdr:colOff>
      <xdr:row>62</xdr:row>
      <xdr:rowOff>40318</xdr:rowOff>
    </xdr:from>
    <xdr:to>
      <xdr:col>37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974650</xdr:colOff>
      <xdr:row>34</xdr:row>
      <xdr:rowOff>1</xdr:rowOff>
    </xdr:from>
    <xdr:to>
      <xdr:col>14</xdr:col>
      <xdr:colOff>753139</xdr:colOff>
      <xdr:row>53</xdr:row>
      <xdr:rowOff>116418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10583</xdr:colOff>
      <xdr:row>34</xdr:row>
      <xdr:rowOff>0</xdr:rowOff>
    </xdr:from>
    <xdr:to>
      <xdr:col>25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05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29</xdr:col>
      <xdr:colOff>0</xdr:colOff>
      <xdr:row>34</xdr:row>
      <xdr:rowOff>0</xdr:rowOff>
    </xdr:from>
    <xdr:to>
      <xdr:col>37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05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28</xdr:col>
      <xdr:colOff>766031</xdr:colOff>
      <xdr:row>62</xdr:row>
      <xdr:rowOff>40318</xdr:rowOff>
    </xdr:from>
    <xdr:to>
      <xdr:col>37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05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7</xdr:col>
      <xdr:colOff>0</xdr:colOff>
      <xdr:row>57</xdr:row>
      <xdr:rowOff>0</xdr:rowOff>
    </xdr:from>
    <xdr:to>
      <xdr:col>13</xdr:col>
      <xdr:colOff>252381</xdr:colOff>
      <xdr:row>69</xdr:row>
      <xdr:rowOff>32869</xdr:rowOff>
    </xdr:to>
    <xdr:graphicFrame macro="">
      <xdr:nvGraphicFramePr>
        <xdr:cNvPr id="8" name="Chart 2">
          <a:extLst>
            <a:ext uri="{FF2B5EF4-FFF2-40B4-BE49-F238E27FC236}">
              <a16:creationId xmlns:a16="http://schemas.microsoft.com/office/drawing/2014/main" id="{00000000-0008-0000-0500-00000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974650</xdr:colOff>
      <xdr:row>34</xdr:row>
      <xdr:rowOff>1</xdr:rowOff>
    </xdr:from>
    <xdr:to>
      <xdr:col>14</xdr:col>
      <xdr:colOff>753139</xdr:colOff>
      <xdr:row>53</xdr:row>
      <xdr:rowOff>116418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20</xdr:col>
      <xdr:colOff>10583</xdr:colOff>
      <xdr:row>34</xdr:row>
      <xdr:rowOff>0</xdr:rowOff>
    </xdr:from>
    <xdr:to>
      <xdr:col>27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31</xdr:col>
      <xdr:colOff>0</xdr:colOff>
      <xdr:row>34</xdr:row>
      <xdr:rowOff>0</xdr:rowOff>
    </xdr:from>
    <xdr:to>
      <xdr:col>39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30</xdr:col>
      <xdr:colOff>766031</xdr:colOff>
      <xdr:row>62</xdr:row>
      <xdr:rowOff>40318</xdr:rowOff>
    </xdr:from>
    <xdr:to>
      <xdr:col>39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06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7</xdr:col>
      <xdr:colOff>0</xdr:colOff>
      <xdr:row>57</xdr:row>
      <xdr:rowOff>0</xdr:rowOff>
    </xdr:from>
    <xdr:to>
      <xdr:col>13</xdr:col>
      <xdr:colOff>252381</xdr:colOff>
      <xdr:row>69</xdr:row>
      <xdr:rowOff>32869</xdr:rowOff>
    </xdr:to>
    <xdr:graphicFrame macro="">
      <xdr:nvGraphicFramePr>
        <xdr:cNvPr id="8" name="Chart 2">
          <a:extLst>
            <a:ext uri="{FF2B5EF4-FFF2-40B4-BE49-F238E27FC236}">
              <a16:creationId xmlns:a16="http://schemas.microsoft.com/office/drawing/2014/main" id="{00000000-0008-0000-0600-00000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974650</xdr:colOff>
      <xdr:row>34</xdr:row>
      <xdr:rowOff>1</xdr:rowOff>
    </xdr:from>
    <xdr:to>
      <xdr:col>14</xdr:col>
      <xdr:colOff>753139</xdr:colOff>
      <xdr:row>53</xdr:row>
      <xdr:rowOff>116418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07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20</xdr:col>
      <xdr:colOff>10583</xdr:colOff>
      <xdr:row>34</xdr:row>
      <xdr:rowOff>0</xdr:rowOff>
    </xdr:from>
    <xdr:to>
      <xdr:col>27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07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31</xdr:col>
      <xdr:colOff>0</xdr:colOff>
      <xdr:row>34</xdr:row>
      <xdr:rowOff>0</xdr:rowOff>
    </xdr:from>
    <xdr:to>
      <xdr:col>39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07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30</xdr:col>
      <xdr:colOff>766031</xdr:colOff>
      <xdr:row>62</xdr:row>
      <xdr:rowOff>40318</xdr:rowOff>
    </xdr:from>
    <xdr:to>
      <xdr:col>39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07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7</xdr:col>
      <xdr:colOff>0</xdr:colOff>
      <xdr:row>57</xdr:row>
      <xdr:rowOff>0</xdr:rowOff>
    </xdr:from>
    <xdr:to>
      <xdr:col>13</xdr:col>
      <xdr:colOff>252381</xdr:colOff>
      <xdr:row>69</xdr:row>
      <xdr:rowOff>32869</xdr:rowOff>
    </xdr:to>
    <xdr:graphicFrame macro="">
      <xdr:nvGraphicFramePr>
        <xdr:cNvPr id="8" name="Chart 2">
          <a:extLst>
            <a:ext uri="{FF2B5EF4-FFF2-40B4-BE49-F238E27FC236}">
              <a16:creationId xmlns:a16="http://schemas.microsoft.com/office/drawing/2014/main" id="{00000000-0008-0000-0700-00000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974650</xdr:colOff>
      <xdr:row>34</xdr:row>
      <xdr:rowOff>1</xdr:rowOff>
    </xdr:from>
    <xdr:to>
      <xdr:col>14</xdr:col>
      <xdr:colOff>753139</xdr:colOff>
      <xdr:row>53</xdr:row>
      <xdr:rowOff>116418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08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20</xdr:col>
      <xdr:colOff>10583</xdr:colOff>
      <xdr:row>34</xdr:row>
      <xdr:rowOff>0</xdr:rowOff>
    </xdr:from>
    <xdr:to>
      <xdr:col>27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08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31</xdr:col>
      <xdr:colOff>0</xdr:colOff>
      <xdr:row>34</xdr:row>
      <xdr:rowOff>0</xdr:rowOff>
    </xdr:from>
    <xdr:to>
      <xdr:col>39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08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30</xdr:col>
      <xdr:colOff>766031</xdr:colOff>
      <xdr:row>62</xdr:row>
      <xdr:rowOff>40318</xdr:rowOff>
    </xdr:from>
    <xdr:to>
      <xdr:col>39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08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09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974650</xdr:colOff>
      <xdr:row>34</xdr:row>
      <xdr:rowOff>1</xdr:rowOff>
    </xdr:from>
    <xdr:to>
      <xdr:col>14</xdr:col>
      <xdr:colOff>753139</xdr:colOff>
      <xdr:row>53</xdr:row>
      <xdr:rowOff>116418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09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10583</xdr:colOff>
      <xdr:row>34</xdr:row>
      <xdr:rowOff>0</xdr:rowOff>
    </xdr:from>
    <xdr:to>
      <xdr:col>25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09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29</xdr:col>
      <xdr:colOff>0</xdr:colOff>
      <xdr:row>34</xdr:row>
      <xdr:rowOff>0</xdr:rowOff>
    </xdr:from>
    <xdr:to>
      <xdr:col>37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09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28</xdr:col>
      <xdr:colOff>766031</xdr:colOff>
      <xdr:row>62</xdr:row>
      <xdr:rowOff>40318</xdr:rowOff>
    </xdr:from>
    <xdr:to>
      <xdr:col>37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09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0A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974650</xdr:colOff>
      <xdr:row>34</xdr:row>
      <xdr:rowOff>1</xdr:rowOff>
    </xdr:from>
    <xdr:to>
      <xdr:col>14</xdr:col>
      <xdr:colOff>753139</xdr:colOff>
      <xdr:row>53</xdr:row>
      <xdr:rowOff>116418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0A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10583</xdr:colOff>
      <xdr:row>34</xdr:row>
      <xdr:rowOff>0</xdr:rowOff>
    </xdr:from>
    <xdr:to>
      <xdr:col>25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0A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29</xdr:col>
      <xdr:colOff>0</xdr:colOff>
      <xdr:row>34</xdr:row>
      <xdr:rowOff>0</xdr:rowOff>
    </xdr:from>
    <xdr:to>
      <xdr:col>37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0A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28</xdr:col>
      <xdr:colOff>766031</xdr:colOff>
      <xdr:row>62</xdr:row>
      <xdr:rowOff>40318</xdr:rowOff>
    </xdr:from>
    <xdr:to>
      <xdr:col>37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0A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0B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974650</xdr:colOff>
      <xdr:row>34</xdr:row>
      <xdr:rowOff>1</xdr:rowOff>
    </xdr:from>
    <xdr:to>
      <xdr:col>14</xdr:col>
      <xdr:colOff>753139</xdr:colOff>
      <xdr:row>53</xdr:row>
      <xdr:rowOff>116418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0B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10583</xdr:colOff>
      <xdr:row>34</xdr:row>
      <xdr:rowOff>0</xdr:rowOff>
    </xdr:from>
    <xdr:to>
      <xdr:col>25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0B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29</xdr:col>
      <xdr:colOff>0</xdr:colOff>
      <xdr:row>34</xdr:row>
      <xdr:rowOff>0</xdr:rowOff>
    </xdr:from>
    <xdr:to>
      <xdr:col>37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0B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28</xdr:col>
      <xdr:colOff>766031</xdr:colOff>
      <xdr:row>62</xdr:row>
      <xdr:rowOff>40318</xdr:rowOff>
    </xdr:from>
    <xdr:to>
      <xdr:col>37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0B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66"/>
  <sheetViews>
    <sheetView topLeftCell="A37" zoomScale="73" zoomScaleNormal="90" workbookViewId="0">
      <selection activeCell="E41" sqref="E41"/>
    </sheetView>
  </sheetViews>
  <sheetFormatPr baseColWidth="10" defaultColWidth="10.81640625" defaultRowHeight="14.5" x14ac:dyDescent="0.35"/>
  <cols>
    <col min="1" max="1" width="24.81640625" style="113" customWidth="1"/>
    <col min="2" max="2" width="1.453125" style="113" customWidth="1"/>
    <col min="3" max="3" width="14.81640625" style="113" bestFit="1" customWidth="1"/>
    <col min="4" max="12" width="15.54296875" style="113" bestFit="1" customWidth="1"/>
    <col min="13" max="13" width="19.1796875" style="113" bestFit="1" customWidth="1"/>
    <col min="14" max="15" width="15.54296875" style="113" bestFit="1" customWidth="1"/>
    <col min="16" max="18" width="14.81640625" style="113" bestFit="1" customWidth="1"/>
    <col min="19" max="20" width="14.453125" style="113" bestFit="1" customWidth="1"/>
    <col min="21" max="16384" width="10.81640625" style="113"/>
  </cols>
  <sheetData>
    <row r="1" spans="1:20" ht="28.5" x14ac:dyDescent="0.65">
      <c r="A1" s="112" t="s">
        <v>27</v>
      </c>
    </row>
    <row r="2" spans="1:20" s="114" customFormat="1" x14ac:dyDescent="0.35">
      <c r="A2" s="114" t="s">
        <v>123</v>
      </c>
      <c r="C2" s="114" t="s">
        <v>125</v>
      </c>
      <c r="D2" s="114" t="s">
        <v>124</v>
      </c>
      <c r="E2" s="114" t="s">
        <v>124</v>
      </c>
      <c r="F2" s="114" t="s">
        <v>124</v>
      </c>
      <c r="G2" s="114" t="s">
        <v>125</v>
      </c>
    </row>
    <row r="3" spans="1:20" x14ac:dyDescent="0.35">
      <c r="A3" s="114" t="s">
        <v>26</v>
      </c>
      <c r="B3" s="115"/>
      <c r="C3" s="118" t="str">
        <f ca="1">MAY190407_2!$D2</f>
        <v>MAY190407_2</v>
      </c>
      <c r="D3" s="118" t="str">
        <f ca="1">MAY190407_3!$D2</f>
        <v>MAY190407_3</v>
      </c>
      <c r="E3" s="118" t="str">
        <f ca="1">MAY190405_2!$D2</f>
        <v>MAY190405_2</v>
      </c>
      <c r="F3" s="118" t="str">
        <f ca="1">MAY190407_4!$D2</f>
        <v>MAY190407_4</v>
      </c>
      <c r="G3" s="118" t="str">
        <f ca="1">MAY190407_5!$D2</f>
        <v>MAY190407_5</v>
      </c>
      <c r="H3" s="119"/>
      <c r="I3" s="119"/>
      <c r="J3" s="119"/>
      <c r="K3" s="119"/>
      <c r="L3" s="119"/>
      <c r="M3" s="119"/>
      <c r="N3" s="119"/>
      <c r="O3" s="119"/>
      <c r="P3" s="119"/>
      <c r="Q3" s="119"/>
      <c r="R3" s="119"/>
      <c r="S3" s="119"/>
      <c r="T3" s="119"/>
    </row>
    <row r="4" spans="1:20" ht="3" customHeight="1" x14ac:dyDescent="0.35">
      <c r="B4" s="119"/>
    </row>
    <row r="5" spans="1:20" ht="7.5" customHeight="1" x14ac:dyDescent="0.35">
      <c r="B5" s="119"/>
    </row>
    <row r="6" spans="1:20" x14ac:dyDescent="0.35">
      <c r="A6" s="126" t="s">
        <v>92</v>
      </c>
      <c r="B6" s="116"/>
      <c r="C6" s="116" t="s">
        <v>115</v>
      </c>
      <c r="D6" s="116"/>
      <c r="E6" s="116" t="s">
        <v>113</v>
      </c>
      <c r="F6" s="116"/>
      <c r="G6" s="116" t="s">
        <v>113</v>
      </c>
    </row>
    <row r="7" spans="1:20" ht="8.5" customHeight="1" x14ac:dyDescent="0.35">
      <c r="C7" s="128"/>
      <c r="D7" s="128"/>
      <c r="F7" s="128"/>
    </row>
    <row r="8" spans="1:20" x14ac:dyDescent="0.35">
      <c r="A8" s="114" t="s">
        <v>25</v>
      </c>
      <c r="B8" s="117"/>
      <c r="C8" s="118"/>
      <c r="D8" s="118">
        <f t="shared" ref="D8:G8" ca="1" si="0">IF(D45&gt;0,INDIRECT(D$6&amp;"!"&amp;ADDRESS(69,3)),INDIRECT(D$3&amp;"!"&amp;ADDRESS(69,3)))</f>
        <v>-3.6507110147023378</v>
      </c>
      <c r="E8" s="118">
        <f t="shared" ca="1" si="0"/>
        <v>-3.8548162014976173</v>
      </c>
      <c r="F8" s="118">
        <f t="shared" ca="1" si="0"/>
        <v>-3.586013349514563</v>
      </c>
      <c r="G8" s="118">
        <f t="shared" ca="1" si="0"/>
        <v>-2.4766634348056362</v>
      </c>
      <c r="H8" s="118"/>
      <c r="I8" s="118"/>
      <c r="J8" s="118"/>
      <c r="K8" s="118"/>
      <c r="L8" s="118"/>
      <c r="M8" s="118"/>
      <c r="N8" s="118"/>
      <c r="O8" s="118"/>
      <c r="P8" s="118"/>
      <c r="Q8" s="118"/>
      <c r="R8" s="118"/>
      <c r="S8" s="118"/>
      <c r="T8" s="118"/>
    </row>
    <row r="9" spans="1:20" x14ac:dyDescent="0.35">
      <c r="A9" s="114" t="s">
        <v>24</v>
      </c>
      <c r="B9" s="117"/>
      <c r="C9" s="118">
        <f ca="1">IF(C45&gt;0,INDIRECT(C$6&amp;"!"&amp;ADDRESS(70,3)),INDIRECT(C$3&amp;"!"&amp;ADDRESS(70,3)))</f>
        <v>-1.0238440111420612</v>
      </c>
      <c r="D9" s="118">
        <f t="shared" ref="D9:G9" ca="1" si="1">IF(D45&gt;0,INDIRECT(D$6&amp;"!"&amp;ADDRESS(70,3)),INDIRECT(D$3&amp;"!"&amp;ADDRESS(70,3)))</f>
        <v>-2.9891881349045102</v>
      </c>
      <c r="E9" s="118">
        <f t="shared" ca="1" si="1"/>
        <v>-3.2643781942078363</v>
      </c>
      <c r="F9" s="118">
        <f t="shared" ca="1" si="1"/>
        <v>-2.899179190751445</v>
      </c>
      <c r="G9" s="118">
        <f t="shared" ca="1" si="1"/>
        <v>-1.866964805839461</v>
      </c>
      <c r="H9" s="118"/>
      <c r="I9" s="118"/>
      <c r="J9" s="118"/>
      <c r="K9" s="118"/>
      <c r="L9" s="118" t="str">
        <f ca="1">D3</f>
        <v>MAY190407_3</v>
      </c>
      <c r="M9" s="118" t="str">
        <f ca="1">F3</f>
        <v>MAY190407_4</v>
      </c>
      <c r="N9" s="118"/>
      <c r="O9" s="118"/>
      <c r="P9" s="118"/>
      <c r="Q9" s="118"/>
      <c r="R9" s="118"/>
      <c r="S9" s="118"/>
      <c r="T9" s="118"/>
    </row>
    <row r="10" spans="1:20" x14ac:dyDescent="0.35">
      <c r="A10" s="114" t="s">
        <v>23</v>
      </c>
      <c r="B10" s="117"/>
      <c r="C10" s="118">
        <f ca="1">IF(C45&gt;0,INDIRECT(C$6&amp;"!"&amp;ADDRESS(71,3)),INDIRECT(C$3&amp;"!"&amp;ADDRESS(71,3)))</f>
        <v>0.14512383900928813</v>
      </c>
      <c r="D10" s="118">
        <f t="shared" ref="D10:G10" ca="1" si="2">IF(D45&gt;0,INDIRECT(D$6&amp;"!"&amp;ADDRESS(71,3)),INDIRECT(D$3&amp;"!"&amp;ADDRESS(71,3)))</f>
        <v>-2.6966680211296219</v>
      </c>
      <c r="E10" s="118">
        <f t="shared" ca="1" si="2"/>
        <v>-2.8760573550649884</v>
      </c>
      <c r="F10" s="118">
        <f t="shared" ca="1" si="2"/>
        <v>-2.4941970630033157</v>
      </c>
      <c r="G10" s="118">
        <f t="shared" ca="1" si="2"/>
        <v>-1.4916729552624832</v>
      </c>
      <c r="H10" s="118"/>
      <c r="I10" s="118"/>
      <c r="J10" s="118"/>
      <c r="K10" s="118" t="s">
        <v>121</v>
      </c>
      <c r="L10" s="118">
        <f ca="1">2^(-D11)</f>
        <v>3.4810508793218196</v>
      </c>
      <c r="M10" s="118">
        <f ca="1">2^(-F11)</f>
        <v>2.6448662456456939</v>
      </c>
      <c r="N10" s="118"/>
      <c r="O10" s="118"/>
      <c r="P10" s="118"/>
      <c r="Q10" s="118"/>
      <c r="R10" s="118"/>
      <c r="S10" s="118"/>
      <c r="T10" s="118"/>
    </row>
    <row r="11" spans="1:20" x14ac:dyDescent="0.35">
      <c r="A11" s="114" t="s">
        <v>22</v>
      </c>
      <c r="B11" s="117"/>
      <c r="C11" s="118">
        <f ca="1">IF(C45&gt;0,INDIRECT(C$6&amp;"!"&amp;ADDRESS(72,3)),INDIRECT(C$3&amp;"!"&amp;ADDRESS(72,3)))</f>
        <v>3.673868312757202</v>
      </c>
      <c r="D11" s="118">
        <f t="shared" ref="D11:G11" ca="1" si="3">IF(D45&gt;0,INDIRECT(D$6&amp;"!"&amp;ADDRESS(72,3)),INDIRECT(D$3&amp;"!"&amp;ADDRESS(72,3)))</f>
        <v>-1.7995229007633582</v>
      </c>
      <c r="E11" s="118">
        <f t="shared" ca="1" si="3"/>
        <v>-1.8591433278418446</v>
      </c>
      <c r="F11" s="118">
        <f t="shared" ca="1" si="3"/>
        <v>-1.4031947652040031</v>
      </c>
      <c r="G11" s="118">
        <f t="shared" ca="1" si="3"/>
        <v>-5.3206498673971148E-2</v>
      </c>
      <c r="H11" s="118"/>
      <c r="I11" s="118"/>
      <c r="J11" s="118"/>
      <c r="K11" s="118" t="s">
        <v>122</v>
      </c>
      <c r="L11" s="118">
        <f ca="1">LN(L10)</f>
        <v>1.2473342250171759</v>
      </c>
      <c r="M11" s="118">
        <f ca="1">LN(M10)</f>
        <v>0.97262049527762917</v>
      </c>
      <c r="N11" s="118"/>
      <c r="O11" s="118"/>
      <c r="P11" s="118"/>
      <c r="Q11" s="118"/>
      <c r="R11" s="118"/>
      <c r="S11" s="118"/>
      <c r="T11" s="118"/>
    </row>
    <row r="12" spans="1:20" x14ac:dyDescent="0.35">
      <c r="A12" s="114" t="s">
        <v>21</v>
      </c>
      <c r="B12" s="117"/>
      <c r="C12" s="118">
        <f ca="1">IF(C45&gt;0,INDIRECT(C$6&amp;"!"&amp;ADDRESS(73,3)),INDIRECT(C$3&amp;"!"&amp;ADDRESS(73,3)))</f>
        <v>4.2235598309608537</v>
      </c>
      <c r="D12" s="118">
        <f t="shared" ref="D12:G12" ca="1" si="4">IF(D45&gt;0,INDIRECT(D$6&amp;"!"&amp;ADDRESS(73,3)),INDIRECT(D$3&amp;"!"&amp;ADDRESS(73,3)))</f>
        <v>-0.63483796296296136</v>
      </c>
      <c r="E12" s="118">
        <f t="shared" ca="1" si="4"/>
        <v>-0.27203600248292809</v>
      </c>
      <c r="F12" s="118">
        <f t="shared" ca="1" si="4"/>
        <v>0.51634214186369876</v>
      </c>
      <c r="G12" s="118">
        <f t="shared" ca="1" si="4"/>
        <v>4.0220554015567052</v>
      </c>
      <c r="H12" s="118"/>
      <c r="I12" s="118"/>
      <c r="J12" s="118"/>
      <c r="K12" s="118"/>
      <c r="L12" s="118"/>
      <c r="M12" s="118"/>
      <c r="N12" s="118"/>
      <c r="O12" s="118"/>
      <c r="P12" s="118"/>
      <c r="Q12" s="118"/>
      <c r="R12" s="118"/>
      <c r="S12" s="118"/>
      <c r="T12" s="118"/>
    </row>
    <row r="13" spans="1:20" x14ac:dyDescent="0.35">
      <c r="A13" s="127" t="s">
        <v>20</v>
      </c>
      <c r="B13" s="118"/>
      <c r="C13" s="118">
        <f ca="1">IF(C45&gt;0,INDIRECT(C$6&amp;"!"&amp;ADDRESS(74,3)),INDIRECT(C$3&amp;"!"&amp;ADDRESS(74,3)))</f>
        <v>4.3230782918149471</v>
      </c>
      <c r="D13" s="118">
        <f t="shared" ref="D13:G13" ca="1" si="5">IF(D45&gt;0,INDIRECT(D$6&amp;"!"&amp;ADDRESS(74,3)),INDIRECT(D$3&amp;"!"&amp;ADDRESS(74,3)))</f>
        <v>8.3103448275866368E-2</v>
      </c>
      <c r="E13" s="118">
        <f t="shared" ca="1" si="5"/>
        <v>2.4468965517241581</v>
      </c>
      <c r="F13" s="118">
        <f t="shared" ca="1" si="5"/>
        <v>4.0419321609888899</v>
      </c>
      <c r="G13" s="118">
        <f t="shared" ca="1" si="5"/>
        <v>4.1941154569962915</v>
      </c>
      <c r="H13" s="118"/>
      <c r="I13" s="118"/>
      <c r="J13" s="118"/>
      <c r="K13" s="118"/>
      <c r="L13" s="118"/>
      <c r="M13" s="118"/>
      <c r="N13" s="118"/>
      <c r="O13" s="118"/>
      <c r="P13" s="118"/>
      <c r="Q13" s="118"/>
      <c r="R13" s="118"/>
      <c r="S13" s="118"/>
      <c r="T13" s="118"/>
    </row>
    <row r="14" spans="1:20" x14ac:dyDescent="0.35">
      <c r="A14" s="127" t="s">
        <v>19</v>
      </c>
      <c r="B14" s="118"/>
      <c r="C14" s="118">
        <f ca="1">IF(C45&gt;0,INDIRECT(C$6&amp;"!"&amp;ADDRESS(75,3)),INDIRECT(C$3&amp;"!"&amp;ADDRESS(75,3)))</f>
        <v>4.4447119661921706</v>
      </c>
      <c r="D14" s="118">
        <f t="shared" ref="D14:G14" ca="1" si="6">IF(D45&gt;0,INDIRECT(D$6&amp;"!"&amp;ADDRESS(75,3)),INDIRECT(D$3&amp;"!"&amp;ADDRESS(75,3)))</f>
        <v>3.7303587856485794</v>
      </c>
      <c r="E14" s="118">
        <f t="shared" ca="1" si="6"/>
        <v>4.2296537484116916</v>
      </c>
      <c r="F14" s="118">
        <f t="shared" ca="1" si="6"/>
        <v>4.356853800309028</v>
      </c>
      <c r="G14" s="118">
        <f t="shared" ca="1" si="6"/>
        <v>4.4044110803113412</v>
      </c>
      <c r="H14" s="118"/>
      <c r="I14" s="118"/>
      <c r="J14" s="118"/>
      <c r="K14" s="118"/>
      <c r="L14" s="118"/>
      <c r="M14" s="118"/>
      <c r="N14" s="118"/>
      <c r="O14" s="118"/>
      <c r="P14" s="118"/>
      <c r="Q14" s="118"/>
      <c r="R14" s="118"/>
      <c r="S14" s="118"/>
      <c r="T14" s="118"/>
    </row>
    <row r="15" spans="1:20" ht="8.5" customHeight="1" x14ac:dyDescent="0.35">
      <c r="A15" s="127"/>
      <c r="B15" s="119"/>
      <c r="C15" s="118"/>
      <c r="D15" s="118"/>
      <c r="E15" s="118"/>
      <c r="F15" s="118"/>
      <c r="G15" s="118"/>
      <c r="H15" s="118"/>
      <c r="I15" s="118"/>
      <c r="J15" s="118"/>
      <c r="K15" s="118"/>
      <c r="L15" s="118"/>
      <c r="M15" s="119"/>
      <c r="N15" s="118"/>
      <c r="O15" s="118"/>
      <c r="P15" s="118"/>
      <c r="Q15" s="118"/>
      <c r="R15" s="118"/>
      <c r="S15" s="118"/>
      <c r="T15" s="118"/>
    </row>
    <row r="16" spans="1:20" x14ac:dyDescent="0.35">
      <c r="A16" s="127" t="s">
        <v>18</v>
      </c>
      <c r="B16" s="118"/>
      <c r="C16" s="118">
        <f ca="1">IF(C45&gt;0,INDIRECT(C$6&amp;"!"&amp;ADDRESS(85,4)),INDIRECT(C$3&amp;"!"&amp;ADDRESS(85,4)))</f>
        <v>2.3243675311433627</v>
      </c>
      <c r="D16" s="118">
        <f t="shared" ref="D16:G16" ca="1" si="7">IF(D45&gt;0,INDIRECT(D$6&amp;"!"&amp;ADDRESS(85,4)),INDIRECT(D$3&amp;"!"&amp;ADDRESS(85,4)))</f>
        <v>-1.5685358624640007</v>
      </c>
      <c r="E16" s="118">
        <f t="shared" ca="1" si="7"/>
        <v>-0.89220832344184087</v>
      </c>
      <c r="F16" s="118">
        <f t="shared" ca="1" si="7"/>
        <v>-8.6813931655519427E-2</v>
      </c>
      <c r="G16" s="118">
        <f t="shared" ca="1" si="7"/>
        <v>0.75798138416095295</v>
      </c>
      <c r="H16" s="118"/>
      <c r="I16" s="118"/>
      <c r="J16" s="118"/>
      <c r="K16" s="118"/>
      <c r="L16" s="118"/>
      <c r="M16" s="118"/>
      <c r="N16" s="118"/>
      <c r="O16" s="118"/>
      <c r="P16" s="118"/>
      <c r="Q16" s="118"/>
      <c r="R16" s="118"/>
      <c r="S16" s="119"/>
      <c r="T16" s="118"/>
    </row>
    <row r="17" spans="1:20" x14ac:dyDescent="0.35">
      <c r="A17" s="127" t="s">
        <v>17</v>
      </c>
      <c r="B17" s="118"/>
      <c r="C17" s="118">
        <f ca="1">IF(C45&gt;0,INDIRECT(C$6&amp;"!"&amp;ADDRESS(86,4)),INDIRECT(C$3&amp;"!"&amp;ADDRESS(86,4)))</f>
        <v>3.673868312757202</v>
      </c>
      <c r="D17" s="118">
        <f t="shared" ref="D17:G17" ca="1" si="8">IF(D45&gt;0,INDIRECT(D$6&amp;"!"&amp;ADDRESS(86,4)),INDIRECT(D$3&amp;"!"&amp;ADDRESS(86,4)))</f>
        <v>-1.7995229007633582</v>
      </c>
      <c r="E17" s="118">
        <f t="shared" ca="1" si="8"/>
        <v>-1.8591433278418446</v>
      </c>
      <c r="F17" s="118">
        <f t="shared" ca="1" si="8"/>
        <v>-1.4031947652040031</v>
      </c>
      <c r="G17" s="118">
        <f t="shared" ca="1" si="8"/>
        <v>-5.3206498673971148E-2</v>
      </c>
      <c r="H17" s="118"/>
      <c r="I17" s="118"/>
      <c r="J17" s="118"/>
      <c r="K17" s="118"/>
      <c r="L17" s="118"/>
      <c r="M17" s="118"/>
      <c r="N17" s="118"/>
      <c r="O17" s="118"/>
      <c r="P17" s="118"/>
      <c r="Q17" s="118"/>
      <c r="R17" s="118"/>
      <c r="S17" s="119"/>
      <c r="T17" s="118"/>
    </row>
    <row r="18" spans="1:20" x14ac:dyDescent="0.35">
      <c r="A18" s="127" t="s">
        <v>16</v>
      </c>
      <c r="B18" s="118"/>
      <c r="C18" s="118">
        <f ca="1">IF(C45&gt;0,INDIRECT(C$6&amp;"!"&amp;ADDRESS(87,4)),INDIRECT(C$3&amp;"!"&amp;ADDRESS(87,4)))</f>
        <v>2.673461151478504</v>
      </c>
      <c r="D18" s="118">
        <f t="shared" ref="D18:G18" ca="1" si="9">IF(D45&gt;0,INDIRECT(D$6&amp;"!"&amp;ADDRESS(87,4)),INDIRECT(D$3&amp;"!"&amp;ADDRESS(87,4)))</f>
        <v>1.5361457915901884</v>
      </c>
      <c r="E18" s="118">
        <f t="shared" ca="1" si="9"/>
        <v>2.8556373729659974</v>
      </c>
      <c r="F18" s="118">
        <f t="shared" ca="1" si="9"/>
        <v>3.4705556758701674</v>
      </c>
      <c r="G18" s="118">
        <f t="shared" ca="1" si="9"/>
        <v>3.0305401314178764</v>
      </c>
      <c r="H18" s="118"/>
      <c r="I18" s="118"/>
      <c r="J18" s="118"/>
      <c r="K18" s="118"/>
      <c r="L18" s="118"/>
      <c r="M18" s="118"/>
      <c r="N18" s="118"/>
      <c r="O18" s="118"/>
      <c r="P18" s="118"/>
      <c r="Q18" s="118"/>
      <c r="R18" s="118"/>
      <c r="S18" s="119"/>
      <c r="T18" s="118"/>
    </row>
    <row r="19" spans="1:20" x14ac:dyDescent="0.35">
      <c r="A19" s="127" t="s">
        <v>15</v>
      </c>
      <c r="B19" s="118"/>
      <c r="C19" s="118">
        <f ca="1">IF(C45&gt;0,INDIRECT(C$6&amp;"!"&amp;ADDRESS(88,4)),INDIRECT(C$3&amp;"!"&amp;ADDRESS(88,4)))</f>
        <v>-0.14013071851712983</v>
      </c>
      <c r="D19" s="118">
        <f t="shared" ref="D19:G19" ca="1" si="10">IF(D45&gt;0,INDIRECT(D$6&amp;"!"&amp;ADDRESS(88,4)),INDIRECT(D$3&amp;"!"&amp;ADDRESS(88,4)))</f>
        <v>-0.72034945636233794</v>
      </c>
      <c r="E19" s="118">
        <f t="shared" ca="1" si="10"/>
        <v>0.36477379628781376</v>
      </c>
      <c r="F19" s="118">
        <f t="shared" ca="1" si="10"/>
        <v>0.73358504320870932</v>
      </c>
      <c r="G19" s="118">
        <f t="shared" ca="1" si="10"/>
        <v>0.78545640268988004</v>
      </c>
      <c r="H19" s="118"/>
      <c r="I19" s="118"/>
      <c r="J19" s="118"/>
      <c r="K19" s="118"/>
      <c r="L19" s="118"/>
      <c r="M19" s="118"/>
      <c r="N19" s="118"/>
      <c r="O19" s="118"/>
      <c r="P19" s="118"/>
      <c r="Q19" s="118"/>
      <c r="R19" s="118"/>
      <c r="S19" s="119"/>
      <c r="T19" s="118"/>
    </row>
    <row r="20" spans="1:20" ht="29" x14ac:dyDescent="0.35">
      <c r="A20" s="120" t="s">
        <v>14</v>
      </c>
      <c r="B20" s="117"/>
      <c r="C20" s="118">
        <f ca="1">IF(C45&gt;0,INDIRECT(C$6&amp;"!"&amp;ADDRESS(89,4)),INDIRECT(C$3&amp;"!"&amp;ADDRESS(89,4)))</f>
        <v>2.4410512773930706</v>
      </c>
      <c r="D20" s="118">
        <f t="shared" ref="D20:G20" ca="1" si="11">IF(D45&gt;0,INDIRECT(D$6&amp;"!"&amp;ADDRESS(89,4)),INDIRECT(D$3&amp;"!"&amp;ADDRESS(89,4)))</f>
        <v>1.8864168049391725</v>
      </c>
      <c r="E20" s="118">
        <f t="shared" ca="1" si="11"/>
        <v>2.6527383758631968</v>
      </c>
      <c r="F20" s="118">
        <f t="shared" ca="1" si="11"/>
        <v>2.938742557605325</v>
      </c>
      <c r="G20" s="118">
        <f t="shared" ca="1" si="11"/>
        <v>2.5578571134539345</v>
      </c>
      <c r="H20" s="118"/>
      <c r="I20" s="118"/>
      <c r="J20" s="118"/>
      <c r="K20" s="118"/>
      <c r="L20" s="118"/>
      <c r="M20" s="118"/>
      <c r="N20" s="118"/>
      <c r="O20" s="118"/>
      <c r="P20" s="118"/>
      <c r="Q20" s="118"/>
      <c r="R20" s="118"/>
      <c r="S20" s="119"/>
      <c r="T20" s="118"/>
    </row>
    <row r="21" spans="1:20" x14ac:dyDescent="0.35">
      <c r="A21" s="121" t="s">
        <v>13</v>
      </c>
      <c r="B21" s="117"/>
      <c r="C21" s="118">
        <f ca="1">IF(C45&gt;0,INDIRECT(C$6&amp;"!"&amp;ADDRESS(90,4)),INDIRECT(C$3&amp;"!"&amp;ADDRESS(90,4)))</f>
        <v>-0.77282110197400811</v>
      </c>
      <c r="D21" s="118">
        <f t="shared" ref="D21:G21" ca="1" si="12">IF(D45&gt;0,INDIRECT(D$6&amp;"!"&amp;ADDRESS(90,4)),INDIRECT(D$3&amp;"!"&amp;ADDRESS(90,4)))</f>
        <v>0.36197379381237116</v>
      </c>
      <c r="E21" s="118">
        <f t="shared" ca="1" si="12"/>
        <v>0.50710159681418587</v>
      </c>
      <c r="F21" s="118">
        <f t="shared" ca="1" si="12"/>
        <v>0.50965985493178323</v>
      </c>
      <c r="G21" s="118">
        <f t="shared" ca="1" si="12"/>
        <v>0.34856165081697288</v>
      </c>
      <c r="H21" s="118"/>
      <c r="I21" s="118"/>
      <c r="J21" s="118"/>
      <c r="K21" s="118"/>
      <c r="L21" s="118"/>
      <c r="M21" s="118"/>
      <c r="N21" s="118"/>
      <c r="O21" s="118"/>
      <c r="P21" s="118"/>
      <c r="Q21" s="118"/>
      <c r="R21" s="118"/>
      <c r="S21" s="119"/>
      <c r="T21" s="118"/>
    </row>
    <row r="22" spans="1:20" x14ac:dyDescent="0.35">
      <c r="A22" s="114" t="s">
        <v>12</v>
      </c>
      <c r="B22" s="117"/>
      <c r="C22" s="118">
        <f ca="1">IF(C45&gt;0,INDIRECT(C$6&amp;"!"&amp;ADDRESS(91,4)),INDIRECT(C$3&amp;"!"&amp;ADDRESS(91,4)))</f>
        <v>0.72018958226428842</v>
      </c>
      <c r="D22" s="118">
        <f t="shared" ref="D22:G22" ca="1" si="13">IF(D45&gt;0,INDIRECT(D$6&amp;"!"&amp;ADDRESS(91,4)),INDIRECT(D$3&amp;"!"&amp;ADDRESS(91,4)))</f>
        <v>0.74218135632870663</v>
      </c>
      <c r="E22" s="118">
        <f t="shared" ca="1" si="13"/>
        <v>0.99180030094437466</v>
      </c>
      <c r="F22" s="118">
        <f t="shared" ca="1" si="13"/>
        <v>1.0384210148739572</v>
      </c>
      <c r="G22" s="118">
        <f t="shared" ca="1" si="13"/>
        <v>0.49583976547329073</v>
      </c>
      <c r="H22" s="118"/>
      <c r="I22" s="118"/>
      <c r="J22" s="118"/>
      <c r="K22" s="118"/>
      <c r="L22" s="118"/>
      <c r="M22" s="118"/>
      <c r="N22" s="118"/>
      <c r="O22" s="118"/>
      <c r="P22" s="118"/>
      <c r="Q22" s="118"/>
      <c r="R22" s="118"/>
      <c r="S22" s="119"/>
      <c r="T22" s="118"/>
    </row>
    <row r="23" spans="1:20" x14ac:dyDescent="0.35">
      <c r="A23" s="114" t="s">
        <v>11</v>
      </c>
      <c r="B23" s="117"/>
      <c r="C23" s="118">
        <f ca="1">IF(C45&gt;0,INDIRECT(C$6&amp;"!"&amp;ADDRESS(92,4)),INDIRECT(C$3&amp;"!"&amp;ADDRESS(92,4)))</f>
        <v>2.3243675311433627</v>
      </c>
      <c r="D23" s="118">
        <f t="shared" ref="D23:G23" ca="1" si="14">IF(D45&gt;0,INDIRECT(D$6&amp;"!"&amp;ADDRESS(92,4)),INDIRECT(D$3&amp;"!"&amp;ADDRESS(92,4)))</f>
        <v>-1.5685358624640005</v>
      </c>
      <c r="E23" s="118">
        <f t="shared" ca="1" si="14"/>
        <v>-0.89220832344184098</v>
      </c>
      <c r="F23" s="118">
        <f t="shared" ca="1" si="14"/>
        <v>-8.6813931655519497E-2</v>
      </c>
      <c r="G23" s="118">
        <f t="shared" ca="1" si="14"/>
        <v>0.75798138416095318</v>
      </c>
      <c r="H23" s="118"/>
      <c r="I23" s="118"/>
      <c r="J23" s="118"/>
      <c r="K23" s="118"/>
      <c r="L23" s="118"/>
      <c r="M23" s="118"/>
      <c r="N23" s="118"/>
      <c r="O23" s="118"/>
      <c r="P23" s="118"/>
      <c r="Q23" s="118"/>
      <c r="R23" s="118"/>
      <c r="S23" s="118"/>
      <c r="T23" s="118"/>
    </row>
    <row r="24" spans="1:20" x14ac:dyDescent="0.35">
      <c r="A24" s="114" t="s">
        <v>10</v>
      </c>
      <c r="B24" s="117"/>
      <c r="C24" s="118">
        <f ca="1">IF(C45&gt;0,INDIRECT(C$6&amp;"!"&amp;ADDRESS(94,4)),INDIRECT(C$3&amp;"!"&amp;ADDRESS(94,4)))</f>
        <v>1.649617140336443</v>
      </c>
      <c r="D24" s="118">
        <f t="shared" ref="D24:G24" ca="1" si="15">IF(D45&gt;0,INDIRECT(D$6&amp;"!"&amp;ADDRESS(94,4)),INDIRECT(D$3&amp;"!"&amp;ADDRESS(94,4)))</f>
        <v>-1.4530423433143218</v>
      </c>
      <c r="E24" s="118">
        <f t="shared" ca="1" si="15"/>
        <v>-0.40874082124183908</v>
      </c>
      <c r="F24" s="118">
        <f t="shared" ca="1" si="15"/>
        <v>0.57137648511872241</v>
      </c>
      <c r="G24" s="118">
        <f t="shared" ca="1" si="15"/>
        <v>1.1635753255784151</v>
      </c>
      <c r="H24" s="118"/>
      <c r="I24" s="118"/>
      <c r="J24" s="118"/>
      <c r="K24" s="118"/>
      <c r="L24" s="118"/>
      <c r="M24" s="118"/>
      <c r="N24" s="118"/>
      <c r="O24" s="118"/>
      <c r="P24" s="118"/>
      <c r="Q24" s="118"/>
      <c r="R24" s="118"/>
      <c r="S24" s="119"/>
      <c r="T24" s="118"/>
    </row>
    <row r="25" spans="1:20" x14ac:dyDescent="0.35">
      <c r="A25" s="114" t="s">
        <v>9</v>
      </c>
      <c r="B25" s="117"/>
      <c r="C25" s="118">
        <f ca="1">IF(C45&gt;0,INDIRECT(C$6&amp;"!"&amp;ADDRESS(95,4)),INDIRECT(C$3&amp;"!"&amp;ADDRESS(95,4)))</f>
        <v>72.694357839686205</v>
      </c>
      <c r="D25" s="118">
        <f t="shared" ref="D25:G25" ca="1" si="16">IF(D45&gt;0,INDIRECT(D$6&amp;"!"&amp;ADDRESS(95,4)),INDIRECT(D$3&amp;"!"&amp;ADDRESS(95,4)))</f>
        <v>12.795669350402591</v>
      </c>
      <c r="E25" s="118">
        <f t="shared" ca="1" si="16"/>
        <v>19.71975794606665</v>
      </c>
      <c r="F25" s="118">
        <f t="shared" ca="1" si="16"/>
        <v>25.060395785145204</v>
      </c>
      <c r="G25" s="118">
        <f t="shared" ca="1" si="16"/>
        <v>45.043763843201141</v>
      </c>
      <c r="H25" s="118"/>
      <c r="I25" s="118"/>
      <c r="J25" s="118"/>
      <c r="K25" s="118"/>
      <c r="L25" s="118"/>
      <c r="M25" s="118"/>
      <c r="N25" s="118"/>
      <c r="O25" s="118"/>
      <c r="P25" s="118"/>
      <c r="Q25" s="118"/>
      <c r="R25" s="118"/>
      <c r="S25" s="119"/>
      <c r="T25" s="118"/>
    </row>
    <row r="26" spans="1:20" x14ac:dyDescent="0.35">
      <c r="A26" s="114" t="s">
        <v>8</v>
      </c>
      <c r="B26" s="117"/>
      <c r="C26" s="118">
        <f ca="1">IF(C45&gt;0,INDIRECT(C$6&amp;"!"&amp;ADDRESS(96,4)),INDIRECT(C$3&amp;"!"&amp;ADDRESS(96,4)))</f>
        <v>45.217741124409137</v>
      </c>
      <c r="D26" s="118">
        <f t="shared" ref="D26:G26" ca="1" si="17">IF(D45&gt;0,INDIRECT(D$6&amp;"!"&amp;ADDRESS(96,4)),INDIRECT(D$3&amp;"!"&amp;ADDRESS(96,4)))</f>
        <v>3.5342801420213306</v>
      </c>
      <c r="E26" s="118">
        <f t="shared" ca="1" si="17"/>
        <v>9.2474002702544169</v>
      </c>
      <c r="F26" s="118">
        <f t="shared" ca="1" si="17"/>
        <v>17.464662040606527</v>
      </c>
      <c r="G26" s="118">
        <f t="shared" ca="1" si="17"/>
        <v>26.153658898360888</v>
      </c>
      <c r="H26" s="118"/>
      <c r="I26" s="118"/>
      <c r="J26" s="118"/>
      <c r="K26" s="118"/>
      <c r="L26" s="118"/>
      <c r="M26" s="118"/>
      <c r="N26" s="118"/>
      <c r="O26" s="118"/>
      <c r="P26" s="118"/>
      <c r="Q26" s="118"/>
      <c r="R26" s="118"/>
      <c r="S26" s="119"/>
      <c r="T26" s="118"/>
    </row>
    <row r="27" spans="1:20" x14ac:dyDescent="0.35">
      <c r="A27" s="114"/>
      <c r="B27" s="118"/>
      <c r="C27" s="118"/>
      <c r="D27" s="118"/>
      <c r="E27" s="118"/>
      <c r="F27" s="118"/>
      <c r="G27" s="118"/>
      <c r="H27" s="118"/>
      <c r="I27" s="118"/>
      <c r="J27" s="118"/>
      <c r="K27" s="118"/>
      <c r="L27" s="118"/>
      <c r="M27" s="119"/>
      <c r="N27" s="118"/>
      <c r="O27" s="118"/>
      <c r="P27" s="118"/>
      <c r="Q27" s="118"/>
      <c r="R27" s="118"/>
      <c r="S27" s="118"/>
      <c r="T27" s="119"/>
    </row>
    <row r="28" spans="1:20" x14ac:dyDescent="0.35">
      <c r="A28" s="122" t="s">
        <v>40</v>
      </c>
      <c r="B28" s="118"/>
      <c r="C28" s="118">
        <f ca="1">IF(C45&gt;0,INDIRECT(C$6&amp;"!"&amp;ADDRESS(77,2)),INDIRECT(C$3&amp;"!"&amp;ADDRESS(77,2)))</f>
        <v>0</v>
      </c>
      <c r="D28" s="118">
        <f t="shared" ref="D28:G28" ca="1" si="18">IF(D45&gt;0,INDIRECT(D$6&amp;"!"&amp;ADDRESS(77,2)),INDIRECT(D$3&amp;"!"&amp;ADDRESS(77,2)))</f>
        <v>0</v>
      </c>
      <c r="E28" s="118">
        <f t="shared" ca="1" si="18"/>
        <v>0</v>
      </c>
      <c r="F28" s="118">
        <f t="shared" ca="1" si="18"/>
        <v>0</v>
      </c>
      <c r="G28" s="118">
        <f t="shared" ca="1" si="18"/>
        <v>0</v>
      </c>
      <c r="H28" s="118"/>
      <c r="I28" s="118"/>
      <c r="J28" s="118"/>
      <c r="K28" s="118"/>
      <c r="L28" s="118"/>
      <c r="M28" s="118"/>
      <c r="N28" s="118"/>
      <c r="O28" s="118"/>
      <c r="P28" s="118"/>
      <c r="Q28" s="118"/>
      <c r="R28" s="118"/>
      <c r="S28" s="119"/>
      <c r="T28" s="118"/>
    </row>
    <row r="29" spans="1:20" x14ac:dyDescent="0.35">
      <c r="A29" s="124" t="s">
        <v>39</v>
      </c>
      <c r="B29" s="119"/>
      <c r="C29" s="118">
        <f ca="1">IF(C45&gt;0,INDIRECT(C$6&amp;"!"&amp;ADDRESS(78,2)),INDIRECT(C$3&amp;"!"&amp;ADDRESS(78,2)))</f>
        <v>0.16172181434174795</v>
      </c>
      <c r="D29" s="118">
        <f t="shared" ref="D29:G29" ca="1" si="19">IF(D45&gt;0,INDIRECT(D$6&amp;"!"&amp;ADDRESS(78,2)),INDIRECT(D$3&amp;"!"&amp;ADDRESS(78,2)))</f>
        <v>0.68689053358003693</v>
      </c>
      <c r="E29" s="118">
        <f t="shared" ca="1" si="19"/>
        <v>0.66150637447858518</v>
      </c>
      <c r="F29" s="118">
        <f t="shared" ca="1" si="19"/>
        <v>0.58076329992289899</v>
      </c>
      <c r="G29" s="118">
        <f t="shared" ca="1" si="19"/>
        <v>0.39723883015872968</v>
      </c>
      <c r="H29" s="118"/>
      <c r="I29" s="118"/>
      <c r="J29" s="118"/>
      <c r="K29" s="118"/>
      <c r="L29" s="118"/>
      <c r="M29" s="118"/>
      <c r="N29" s="118"/>
      <c r="O29" s="118"/>
      <c r="P29" s="118"/>
      <c r="Q29" s="118"/>
      <c r="R29" s="118"/>
      <c r="S29" s="119"/>
      <c r="T29" s="118"/>
    </row>
    <row r="30" spans="1:20" x14ac:dyDescent="0.35">
      <c r="A30" s="124" t="s">
        <v>38</v>
      </c>
      <c r="C30" s="118">
        <f ca="1">IF(C45&gt;0,INDIRECT(C$6&amp;"!"&amp;ADDRESS(79,2)),INDIRECT(C$3&amp;"!"&amp;ADDRESS(79,2)))</f>
        <v>0.83827818565825207</v>
      </c>
      <c r="D30" s="118">
        <f t="shared" ref="D30:G30" ca="1" si="20">IF(D45&gt;0,INDIRECT(D$6&amp;"!"&amp;ADDRESS(79,2)),INDIRECT(D$3&amp;"!"&amp;ADDRESS(79,2)))</f>
        <v>0.31310946641996296</v>
      </c>
      <c r="E30" s="118">
        <f t="shared" ca="1" si="20"/>
        <v>0.33849362552141471</v>
      </c>
      <c r="F30" s="118">
        <f t="shared" ca="1" si="20"/>
        <v>0.41923670007710095</v>
      </c>
      <c r="G30" s="118">
        <f t="shared" ca="1" si="20"/>
        <v>0.60276116984127015</v>
      </c>
      <c r="H30" s="118"/>
      <c r="I30" s="118"/>
      <c r="J30" s="118"/>
      <c r="K30" s="118"/>
      <c r="L30" s="118"/>
      <c r="M30" s="118"/>
      <c r="N30" s="118"/>
      <c r="O30" s="118"/>
      <c r="P30" s="118"/>
      <c r="Q30" s="118"/>
      <c r="R30" s="118"/>
      <c r="S30" s="119"/>
      <c r="T30" s="118"/>
    </row>
    <row r="31" spans="1:20" x14ac:dyDescent="0.35">
      <c r="A31" s="114"/>
      <c r="C31" s="118"/>
      <c r="D31" s="118"/>
      <c r="E31" s="118"/>
      <c r="F31" s="118"/>
      <c r="G31" s="118"/>
      <c r="H31" s="118"/>
      <c r="I31" s="118"/>
      <c r="J31" s="118"/>
      <c r="K31" s="118"/>
      <c r="L31" s="118"/>
      <c r="M31" s="118"/>
      <c r="N31" s="118"/>
      <c r="O31" s="118"/>
      <c r="P31" s="118"/>
      <c r="Q31" s="118"/>
      <c r="R31" s="118"/>
      <c r="S31" s="119"/>
      <c r="T31" s="118"/>
    </row>
    <row r="32" spans="1:20" x14ac:dyDescent="0.35">
      <c r="A32" s="123" t="s">
        <v>7</v>
      </c>
      <c r="C32" s="118">
        <f ca="1">IF(C45&gt;0,INDIRECT(C$6&amp;"!"&amp;ADDRESS(77,5)),INDIRECT(C$3&amp;"!"&amp;ADDRESS(77,5)))</f>
        <v>16.172181434174796</v>
      </c>
      <c r="D32" s="118">
        <f t="shared" ref="D32:G32" ca="1" si="21">IF(D45&gt;0,INDIRECT(D$6&amp;"!"&amp;ADDRESS(77,5)),INDIRECT(D$3&amp;"!"&amp;ADDRESS(77,5)))</f>
        <v>68.689053358003676</v>
      </c>
      <c r="E32" s="118">
        <f t="shared" ca="1" si="21"/>
        <v>66.150637447858514</v>
      </c>
      <c r="F32" s="118">
        <f t="shared" ca="1" si="21"/>
        <v>58.076329992289899</v>
      </c>
      <c r="G32" s="118">
        <f t="shared" ca="1" si="21"/>
        <v>39.723883015872971</v>
      </c>
      <c r="H32" s="118"/>
      <c r="I32" s="118"/>
      <c r="J32" s="118"/>
      <c r="K32" s="118"/>
      <c r="L32" s="118"/>
      <c r="M32" s="118"/>
      <c r="N32" s="118"/>
      <c r="O32" s="118"/>
      <c r="P32" s="118"/>
      <c r="Q32" s="118"/>
      <c r="R32" s="118"/>
      <c r="S32" s="119"/>
      <c r="T32" s="118"/>
    </row>
    <row r="33" spans="1:20" x14ac:dyDescent="0.35">
      <c r="A33" s="123" t="s">
        <v>6</v>
      </c>
      <c r="C33" s="118">
        <f ca="1">IF(C45&gt;0,INDIRECT(C$6&amp;"!"&amp;ADDRESS(78,5)),INDIRECT(C$3&amp;"!"&amp;ADDRESS(78,5)))</f>
        <v>38.610077441416074</v>
      </c>
      <c r="D33" s="118">
        <f t="shared" ref="D33:G33" ca="1" si="22">IF(D45&gt;0,INDIRECT(D$6&amp;"!"&amp;ADDRESS(78,5)),INDIRECT(D$3&amp;"!"&amp;ADDRESS(78,5)))</f>
        <v>27.776666499974993</v>
      </c>
      <c r="E33" s="118">
        <f t="shared" ca="1" si="22"/>
        <v>24.601962281887069</v>
      </c>
      <c r="F33" s="118">
        <f t="shared" ca="1" si="22"/>
        <v>24.45900796710357</v>
      </c>
      <c r="G33" s="118">
        <f t="shared" ca="1" si="22"/>
        <v>34.122458085766169</v>
      </c>
      <c r="H33" s="118"/>
      <c r="I33" s="118"/>
      <c r="J33" s="118"/>
      <c r="K33" s="118"/>
      <c r="L33" s="118"/>
      <c r="M33" s="118"/>
      <c r="N33" s="118"/>
      <c r="O33" s="118"/>
      <c r="P33" s="118"/>
      <c r="Q33" s="118"/>
      <c r="R33" s="118"/>
      <c r="S33" s="119"/>
      <c r="T33" s="118"/>
    </row>
    <row r="34" spans="1:20" x14ac:dyDescent="0.35">
      <c r="A34" s="123" t="s">
        <v>5</v>
      </c>
      <c r="C34" s="118">
        <f ca="1">IF(C45&gt;0,INDIRECT(C$6&amp;"!"&amp;ADDRESS(79,5)),INDIRECT(C$3&amp;"!"&amp;ADDRESS(79,5)))</f>
        <v>45.217741124409137</v>
      </c>
      <c r="D34" s="118">
        <f t="shared" ref="D34:G34" ca="1" si="23">IF(D45&gt;0,INDIRECT(D$6&amp;"!"&amp;ADDRESS(79,5)),INDIRECT(D$3&amp;"!"&amp;ADDRESS(79,5)))</f>
        <v>3.5342801420213026</v>
      </c>
      <c r="E34" s="118">
        <f t="shared" ca="1" si="23"/>
        <v>9.2474002702543903</v>
      </c>
      <c r="F34" s="118">
        <f t="shared" ca="1" si="23"/>
        <v>17.464662040606527</v>
      </c>
      <c r="G34" s="118">
        <f t="shared" ca="1" si="23"/>
        <v>26.153658898360852</v>
      </c>
      <c r="H34" s="118"/>
      <c r="I34" s="118"/>
      <c r="J34" s="118"/>
      <c r="K34" s="118"/>
      <c r="L34" s="118"/>
      <c r="M34" s="118"/>
      <c r="N34" s="118"/>
      <c r="O34" s="118"/>
      <c r="P34" s="118"/>
      <c r="Q34" s="118"/>
      <c r="R34" s="118"/>
      <c r="S34" s="119"/>
      <c r="T34" s="118"/>
    </row>
    <row r="35" spans="1:20" x14ac:dyDescent="0.35">
      <c r="C35" s="137">
        <f ca="1">C34/SUM(C32:C34)</f>
        <v>0.45217741124409139</v>
      </c>
      <c r="D35" s="137">
        <f t="shared" ref="D35:G35" ca="1" si="24">D34/SUM(D32:D34)</f>
        <v>3.5342801420213038E-2</v>
      </c>
      <c r="E35" s="137">
        <f t="shared" ca="1" si="24"/>
        <v>9.2474002702543925E-2</v>
      </c>
      <c r="F35" s="137">
        <f t="shared" ca="1" si="24"/>
        <v>0.17464662040606527</v>
      </c>
      <c r="G35" s="137">
        <f t="shared" ca="1" si="24"/>
        <v>0.26153658898360854</v>
      </c>
    </row>
    <row r="36" spans="1:20" x14ac:dyDescent="0.35">
      <c r="A36" s="126" t="s">
        <v>93</v>
      </c>
      <c r="B36" s="116"/>
      <c r="C36" s="129"/>
      <c r="D36" s="129"/>
      <c r="E36" s="136"/>
      <c r="F36" s="129"/>
      <c r="G36" s="129"/>
    </row>
    <row r="37" spans="1:20" x14ac:dyDescent="0.35">
      <c r="C37" s="128"/>
      <c r="D37" s="128"/>
      <c r="E37" s="118"/>
      <c r="F37" s="128"/>
      <c r="G37" s="128"/>
    </row>
    <row r="38" spans="1:20" x14ac:dyDescent="0.35">
      <c r="A38" s="125" t="s">
        <v>4</v>
      </c>
      <c r="C38" s="118">
        <f ca="1">INDIRECT(C$3&amp;"!"&amp;ADDRESS(81,2))</f>
        <v>23.573200992555829</v>
      </c>
      <c r="D38" s="118">
        <f ca="1">INDIRECT(D$3&amp;"!"&amp;ADDRESS(81,2))</f>
        <v>75.858327337106715</v>
      </c>
      <c r="E38" s="118">
        <f ca="1">INDIRECT(E$3&amp;"!"&amp;ADDRESS(81,2))</f>
        <v>91.738475211561507</v>
      </c>
      <c r="F38" s="118">
        <f t="shared" ref="F38:G38" ca="1" si="25">INDIRECT(F$3&amp;"!"&amp;ADDRESS(81,2))</f>
        <v>78.33940128565726</v>
      </c>
      <c r="G38" s="118">
        <f t="shared" ca="1" si="25"/>
        <v>81.377036773106539</v>
      </c>
      <c r="H38" s="118"/>
      <c r="I38" s="118"/>
      <c r="J38" s="118"/>
      <c r="K38" s="118"/>
      <c r="L38" s="118"/>
      <c r="M38" s="118"/>
      <c r="N38" s="118"/>
      <c r="O38" s="119"/>
      <c r="P38" s="119"/>
      <c r="Q38" s="118"/>
      <c r="R38" s="118"/>
      <c r="S38" s="119"/>
      <c r="T38" s="118"/>
    </row>
    <row r="39" spans="1:20" x14ac:dyDescent="0.35">
      <c r="A39" s="125" t="s">
        <v>0</v>
      </c>
      <c r="C39" s="118">
        <f ca="1">INDIRECT(C$3&amp;"!"&amp;ADDRESS(82,2))</f>
        <v>3.6853230401617498</v>
      </c>
      <c r="D39" s="118">
        <f ca="1">INDIRECT(D$3&amp;"!"&amp;ADDRESS(82,2))</f>
        <v>24.125743581596815</v>
      </c>
      <c r="E39" s="118">
        <f ca="1">INDIRECT(E$3&amp;"!"&amp;ADDRESS(82,2))</f>
        <v>2.2296070172726923</v>
      </c>
      <c r="F39" s="118">
        <f t="shared" ref="F39:G39" ca="1" si="26">INDIRECT(F$3&amp;"!"&amp;ADDRESS(82,2))</f>
        <v>21.660598714342722</v>
      </c>
      <c r="G39" s="118">
        <f t="shared" ca="1" si="26"/>
        <v>7.0027409166244556</v>
      </c>
      <c r="H39" s="118"/>
      <c r="I39" s="118"/>
      <c r="J39" s="118"/>
      <c r="K39" s="118"/>
      <c r="L39" s="118"/>
      <c r="M39" s="118"/>
      <c r="N39" s="118"/>
      <c r="O39" s="119"/>
      <c r="P39" s="119"/>
      <c r="Q39" s="118"/>
      <c r="R39" s="118"/>
      <c r="S39" s="119"/>
      <c r="T39" s="118"/>
    </row>
    <row r="40" spans="1:20" x14ac:dyDescent="0.35">
      <c r="A40" s="125" t="s">
        <v>3</v>
      </c>
      <c r="C40" s="118">
        <f ca="1">INDIRECT(C$3&amp;"!"&amp;ADDRESS(83,2))</f>
        <v>0</v>
      </c>
      <c r="D40" s="118">
        <f ca="1">INDIRECT(D$3&amp;"!"&amp;ADDRESS(83,2))</f>
        <v>1.5929081296458526E-2</v>
      </c>
      <c r="E40" s="118">
        <f ca="1">INDIRECT(E$3&amp;"!"&amp;ADDRESS(83,2))</f>
        <v>0</v>
      </c>
      <c r="F40" s="118">
        <f t="shared" ref="F40:G40" ca="1" si="27">INDIRECT(F$3&amp;"!"&amp;ADDRESS(83,2))</f>
        <v>0</v>
      </c>
      <c r="G40" s="118">
        <f t="shared" ca="1" si="27"/>
        <v>0</v>
      </c>
      <c r="H40" s="118"/>
      <c r="I40" s="118"/>
      <c r="J40" s="118"/>
      <c r="K40" s="118"/>
      <c r="L40" s="118"/>
      <c r="M40" s="118"/>
      <c r="N40" s="118"/>
      <c r="O40" s="119"/>
      <c r="P40" s="119"/>
      <c r="Q40" s="118"/>
      <c r="R40" s="118"/>
      <c r="S40" s="119"/>
      <c r="T40" s="118"/>
    </row>
    <row r="41" spans="1:20" x14ac:dyDescent="0.35">
      <c r="C41" s="118"/>
      <c r="D41" s="118"/>
      <c r="E41" s="118"/>
      <c r="F41" s="118"/>
      <c r="G41" s="118"/>
      <c r="H41" s="118"/>
      <c r="I41" s="118"/>
      <c r="J41" s="118"/>
      <c r="K41" s="118"/>
      <c r="L41" s="118"/>
      <c r="M41" s="118"/>
      <c r="N41" s="118"/>
      <c r="O41" s="119"/>
      <c r="P41" s="119"/>
      <c r="Q41" s="118"/>
      <c r="R41" s="118"/>
      <c r="S41" s="119"/>
      <c r="T41" s="118"/>
    </row>
    <row r="42" spans="1:20" x14ac:dyDescent="0.35">
      <c r="A42" s="125" t="s">
        <v>4</v>
      </c>
      <c r="C42" s="118">
        <f ca="1">INDIRECT(C$3&amp;"!"&amp;ADDRESS(81,5))</f>
        <v>23.573200992555829</v>
      </c>
      <c r="D42" s="118">
        <f ca="1">INDIRECT(D$3&amp;"!"&amp;ADDRESS(81,5))</f>
        <v>75.858327337106715</v>
      </c>
      <c r="E42" s="118">
        <f ca="1">INDIRECT(E$3&amp;"!"&amp;ADDRESS(81,5))</f>
        <v>91.738475211561507</v>
      </c>
      <c r="F42" s="118">
        <f t="shared" ref="F42:G42" ca="1" si="28">INDIRECT(F$3&amp;"!"&amp;ADDRESS(81,5))</f>
        <v>78.33940128565726</v>
      </c>
      <c r="G42" s="118">
        <f t="shared" ca="1" si="28"/>
        <v>81.377036773106539</v>
      </c>
      <c r="H42" s="118"/>
      <c r="I42" s="118"/>
      <c r="J42" s="118"/>
      <c r="K42" s="118"/>
      <c r="L42" s="118"/>
      <c r="M42" s="118"/>
      <c r="N42" s="118"/>
      <c r="O42" s="119"/>
      <c r="P42" s="119"/>
      <c r="Q42" s="118"/>
      <c r="R42" s="118"/>
      <c r="S42" s="119"/>
      <c r="T42" s="118"/>
    </row>
    <row r="43" spans="1:20" x14ac:dyDescent="0.35">
      <c r="A43" s="125" t="s">
        <v>0</v>
      </c>
      <c r="C43" s="118">
        <f ca="1">INDIRECT(C$3&amp;"!"&amp;ADDRESS(82,5))</f>
        <v>3.6853230401617498</v>
      </c>
      <c r="D43" s="118">
        <f ca="1">INDIRECT(D$3&amp;"!"&amp;ADDRESS(82,5))</f>
        <v>24.125743581596815</v>
      </c>
      <c r="E43" s="118">
        <f ca="1">INDIRECT(E$3&amp;"!"&amp;ADDRESS(82,5))</f>
        <v>2.2296070172726923</v>
      </c>
      <c r="F43" s="118">
        <f t="shared" ref="F43:G43" ca="1" si="29">INDIRECT(F$3&amp;"!"&amp;ADDRESS(82,5))</f>
        <v>21.660598714342722</v>
      </c>
      <c r="G43" s="118">
        <f t="shared" ca="1" si="29"/>
        <v>7.0027409166244556</v>
      </c>
      <c r="H43" s="118"/>
      <c r="I43" s="118"/>
      <c r="J43" s="118"/>
      <c r="K43" s="118"/>
      <c r="L43" s="118"/>
      <c r="M43" s="118"/>
      <c r="N43" s="118"/>
      <c r="O43" s="119"/>
      <c r="P43" s="119"/>
      <c r="Q43" s="118"/>
      <c r="R43" s="118"/>
      <c r="S43" s="119"/>
      <c r="T43" s="118"/>
    </row>
    <row r="44" spans="1:20" x14ac:dyDescent="0.35">
      <c r="A44" s="125" t="s">
        <v>37</v>
      </c>
      <c r="C44" s="118">
        <f ca="1">INDIRECT(C$3&amp;"!"&amp;ADDRESS(83,5))</f>
        <v>72.741475967282412</v>
      </c>
      <c r="D44" s="118">
        <f ca="1">INDIRECT(D$3&amp;"!"&amp;ADDRESS(83,5))</f>
        <v>0</v>
      </c>
      <c r="E44" s="118">
        <f ca="1">INDIRECT(E$3&amp;"!"&amp;ADDRESS(83,5))</f>
        <v>6.0319177711658112</v>
      </c>
      <c r="F44" s="118">
        <f t="shared" ref="F44:G44" ca="1" si="30">INDIRECT(F$3&amp;"!"&amp;ADDRESS(83,5))</f>
        <v>0</v>
      </c>
      <c r="G44" s="118">
        <f t="shared" ca="1" si="30"/>
        <v>11.620222310269012</v>
      </c>
      <c r="H44" s="118"/>
      <c r="I44" s="118"/>
      <c r="J44" s="118"/>
      <c r="K44" s="118"/>
      <c r="L44" s="118"/>
      <c r="M44" s="118"/>
      <c r="N44" s="118"/>
      <c r="O44" s="119"/>
      <c r="P44" s="119"/>
      <c r="Q44" s="118"/>
      <c r="R44" s="118"/>
      <c r="S44" s="119"/>
      <c r="T44" s="118"/>
    </row>
    <row r="45" spans="1:20" x14ac:dyDescent="0.35">
      <c r="A45" s="113" t="s">
        <v>112</v>
      </c>
      <c r="C45" s="118">
        <f ca="1">(INDIRECT(C$3&amp;"!"&amp;ADDRESS(34,13)))/(INDIRECT(C$3&amp;"!"&amp;ADDRESS(4,2)))</f>
        <v>0.26277155779639649</v>
      </c>
      <c r="D45" s="118">
        <f t="shared" ref="D45:G45" ca="1" si="31">(INDIRECT(D$3&amp;"!"&amp;ADDRESS(34,13)))/(INDIRECT(D$3&amp;"!"&amp;ADDRESS(4,2)))</f>
        <v>0</v>
      </c>
      <c r="E45" s="118">
        <f t="shared" ca="1" si="31"/>
        <v>4.3844619835407106E-2</v>
      </c>
      <c r="F45" s="118">
        <f t="shared" ca="1" si="31"/>
        <v>0</v>
      </c>
      <c r="G45" s="118">
        <f t="shared" ca="1" si="31"/>
        <v>0</v>
      </c>
      <c r="H45" s="118"/>
      <c r="I45" s="118"/>
      <c r="J45" s="118"/>
      <c r="K45" s="118"/>
      <c r="L45" s="118"/>
      <c r="M45" s="118"/>
      <c r="N45" s="118"/>
      <c r="O45" s="119"/>
      <c r="P45" s="119"/>
      <c r="Q45" s="118"/>
      <c r="R45" s="118"/>
      <c r="S45" s="119"/>
      <c r="T45" s="118"/>
    </row>
    <row r="46" spans="1:20" x14ac:dyDescent="0.35">
      <c r="C46" s="118"/>
      <c r="D46" s="118"/>
      <c r="E46" s="118"/>
      <c r="F46" s="118"/>
      <c r="G46" s="118"/>
      <c r="H46" s="118"/>
      <c r="I46" s="118"/>
      <c r="J46" s="118"/>
      <c r="K46" s="118"/>
      <c r="L46" s="118"/>
      <c r="M46" s="118"/>
      <c r="N46" s="118"/>
      <c r="O46" s="119"/>
      <c r="P46" s="119"/>
      <c r="Q46" s="118"/>
      <c r="R46" s="118"/>
      <c r="S46" s="119"/>
      <c r="T46" s="118"/>
    </row>
    <row r="47" spans="1:20" x14ac:dyDescent="0.35">
      <c r="A47" s="114" t="s">
        <v>2</v>
      </c>
      <c r="C47" s="118">
        <f ca="1">INDIRECT(C$3&amp;"!"&amp;ADDRESS(81,8))</f>
        <v>27.646662171274439</v>
      </c>
      <c r="D47" s="118">
        <f ca="1">INDIRECT(D$3&amp;"!"&amp;ADDRESS(81,8))</f>
        <v>48.537131133166035</v>
      </c>
      <c r="E47" s="118">
        <f ca="1">INDIRECT(E$3&amp;"!"&amp;ADDRESS(81,8))</f>
        <v>78.493297146146901</v>
      </c>
      <c r="F47" s="118">
        <f t="shared" ref="F47:G47" ca="1" si="32">INDIRECT(F$3&amp;"!"&amp;ADDRESS(81,8))</f>
        <v>72.27299982947639</v>
      </c>
      <c r="G47" s="118">
        <f t="shared" ca="1" si="32"/>
        <v>9.0818910097535106</v>
      </c>
      <c r="H47" s="118"/>
      <c r="I47" s="118"/>
      <c r="J47" s="118"/>
      <c r="K47" s="118"/>
      <c r="L47" s="118"/>
      <c r="M47" s="118"/>
      <c r="N47" s="118"/>
      <c r="O47" s="119"/>
      <c r="P47" s="119"/>
      <c r="Q47" s="118"/>
      <c r="R47" s="118"/>
      <c r="S47" s="119"/>
      <c r="T47" s="118"/>
    </row>
    <row r="48" spans="1:20" x14ac:dyDescent="0.35">
      <c r="A48" s="114" t="s">
        <v>1</v>
      </c>
      <c r="C48" s="118">
        <f ca="1">INDIRECT(C$3&amp;"!"&amp;ADDRESS(82,8))</f>
        <v>58.833445718138883</v>
      </c>
      <c r="D48" s="118">
        <f ca="1">INDIRECT(D$3&amp;"!"&amp;ADDRESS(82,8))</f>
        <v>27.321196203940687</v>
      </c>
      <c r="E48" s="118">
        <f ca="1">INDIRECT(E$3&amp;"!"&amp;ADDRESS(82,8))</f>
        <v>19.133974833456701</v>
      </c>
      <c r="F48" s="118">
        <f t="shared" ref="F48:G48" ca="1" si="33">INDIRECT(F$3&amp;"!"&amp;ADDRESS(82,8))</f>
        <v>6.0664014561808877</v>
      </c>
      <c r="G48" s="118">
        <f t="shared" ca="1" si="33"/>
        <v>82.994643804343326</v>
      </c>
      <c r="H48" s="118"/>
      <c r="I48" s="118"/>
      <c r="J48" s="118"/>
      <c r="K48" s="118"/>
      <c r="L48" s="118"/>
      <c r="M48" s="118"/>
      <c r="N48" s="118"/>
      <c r="O48" s="119"/>
      <c r="P48" s="119"/>
      <c r="Q48" s="118"/>
      <c r="R48" s="118"/>
      <c r="S48" s="119"/>
      <c r="T48" s="118"/>
    </row>
    <row r="49" spans="1:20" x14ac:dyDescent="0.35">
      <c r="A49" s="114" t="s">
        <v>0</v>
      </c>
      <c r="C49" s="118">
        <f ca="1">INDIRECT(C$3&amp;"!"&amp;ADDRESS(83,8))</f>
        <v>13.519892110586644</v>
      </c>
      <c r="D49" s="118">
        <f ca="1">INDIRECT(D$3&amp;"!"&amp;ADDRESS(83,8))</f>
        <v>24.125743581596815</v>
      </c>
      <c r="E49" s="118">
        <f ca="1">INDIRECT(E$3&amp;"!"&amp;ADDRESS(83,8))</f>
        <v>2.3727280203964147</v>
      </c>
      <c r="F49" s="118">
        <f t="shared" ref="F49:G49" ca="1" si="34">INDIRECT(F$3&amp;"!"&amp;ADDRESS(83,8))</f>
        <v>21.660598714342722</v>
      </c>
      <c r="G49" s="118">
        <f t="shared" ca="1" si="34"/>
        <v>7.9234651859031739</v>
      </c>
      <c r="H49" s="118"/>
      <c r="I49" s="118"/>
      <c r="J49" s="118"/>
      <c r="K49" s="118"/>
      <c r="L49" s="118"/>
      <c r="M49" s="118"/>
      <c r="N49" s="118"/>
      <c r="O49" s="119"/>
      <c r="P49" s="119"/>
      <c r="Q49" s="118"/>
      <c r="R49" s="118"/>
      <c r="S49" s="119"/>
      <c r="T49" s="118"/>
    </row>
    <row r="50" spans="1:20" x14ac:dyDescent="0.35">
      <c r="C50" s="128"/>
      <c r="E50" s="118"/>
    </row>
    <row r="51" spans="1:20" x14ac:dyDescent="0.35">
      <c r="A51" s="113" t="s">
        <v>126</v>
      </c>
      <c r="C51" s="128">
        <f ca="1">100*((INDIRECT(C$3&amp;"!"&amp;ADDRESS(34,11)))/((INDIRECT(C$3&amp;"!"&amp;ADDRESS(34,11)))+(INDIRECT(C$3&amp;"!"&amp;ADDRESS(34,12))+(INDIRECT(C$3&amp;"!"&amp;ADDRESS(34,15))))))</f>
        <v>21.197007481296762</v>
      </c>
      <c r="D51" s="128">
        <f t="shared" ref="D51:G51" ca="1" si="35">100*((INDIRECT(D$3&amp;"!"&amp;ADDRESS(34,11)))/((INDIRECT(D$3&amp;"!"&amp;ADDRESS(34,11)))+(INDIRECT(D$3&amp;"!"&amp;ADDRESS(34,12))+(INDIRECT(D$3&amp;"!"&amp;ADDRESS(34,15))))))</f>
        <v>35.616260752643605</v>
      </c>
      <c r="E51" s="128">
        <f t="shared" ca="1" si="35"/>
        <v>100</v>
      </c>
      <c r="F51" s="128">
        <f t="shared" ca="1" si="35"/>
        <v>17.033488836882636</v>
      </c>
      <c r="G51" s="128">
        <f t="shared" ca="1" si="35"/>
        <v>77.178658473295627</v>
      </c>
    </row>
    <row r="52" spans="1:20" x14ac:dyDescent="0.35">
      <c r="A52" s="113" t="s">
        <v>127</v>
      </c>
      <c r="C52" s="128">
        <f ca="1">100*((INDIRECT(C$3&amp;"!"&amp;ADDRESS(34,12)))/((INDIRECT(C$3&amp;"!"&amp;ADDRESS(34,11)))+(INDIRECT(C$3&amp;"!"&amp;ADDRESS(34,12))+(INDIRECT(C$3&amp;"!"&amp;ADDRESS(34,15))))))</f>
        <v>78.802992518703249</v>
      </c>
      <c r="D52" s="128">
        <f t="shared" ref="D52:G52" ca="1" si="36">100*((INDIRECT(D$3&amp;"!"&amp;ADDRESS(34,12)))/((INDIRECT(D$3&amp;"!"&amp;ADDRESS(34,11)))+(INDIRECT(D$3&amp;"!"&amp;ADDRESS(34,12))+(INDIRECT(D$3&amp;"!"&amp;ADDRESS(34,15))))))</f>
        <v>64.317757566969576</v>
      </c>
      <c r="E52" s="128">
        <f t="shared" ca="1" si="36"/>
        <v>0</v>
      </c>
      <c r="F52" s="128">
        <f t="shared" ca="1" si="36"/>
        <v>82.966511163117374</v>
      </c>
      <c r="G52" s="128">
        <f t="shared" ca="1" si="36"/>
        <v>22.821341526704384</v>
      </c>
    </row>
    <row r="53" spans="1:20" x14ac:dyDescent="0.35">
      <c r="A53" s="113" t="s">
        <v>128</v>
      </c>
      <c r="C53" s="128">
        <f ca="1">100*((INDIRECT(C$3&amp;"!"&amp;ADDRESS(34,15)))/((INDIRECT(C$3&amp;"!"&amp;ADDRESS(34,11)))+(INDIRECT(C$3&amp;"!"&amp;ADDRESS(34,12))+(INDIRECT(C$3&amp;"!"&amp;ADDRESS(34,15))))))</f>
        <v>0</v>
      </c>
      <c r="D53" s="128">
        <f t="shared" ref="D53:G53" ca="1" si="37">100*((INDIRECT(D$3&amp;"!"&amp;ADDRESS(34,15)))/((INDIRECT(D$3&amp;"!"&amp;ADDRESS(34,11)))+(INDIRECT(D$3&amp;"!"&amp;ADDRESS(34,12))+(INDIRECT(D$3&amp;"!"&amp;ADDRESS(34,15))))))</f>
        <v>6.5981680386803368E-2</v>
      </c>
      <c r="E53" s="128">
        <f t="shared" ca="1" si="37"/>
        <v>0</v>
      </c>
      <c r="F53" s="128">
        <f t="shared" ca="1" si="37"/>
        <v>0</v>
      </c>
      <c r="G53" s="128">
        <f t="shared" ca="1" si="37"/>
        <v>0</v>
      </c>
    </row>
    <row r="54" spans="1:20" x14ac:dyDescent="0.35">
      <c r="C54" s="128"/>
      <c r="E54" s="118"/>
    </row>
    <row r="55" spans="1:20" x14ac:dyDescent="0.35">
      <c r="A55" s="114" t="s">
        <v>101</v>
      </c>
      <c r="C55" s="118" t="str">
        <f ca="1">INDIRECT(C$3&amp;"!"&amp;ADDRESS(98,3))</f>
        <v>Mixed</v>
      </c>
      <c r="D55" s="118" t="str">
        <f ca="1">INDIRECT(D$3&amp;"!"&amp;ADDRESS(98,3))</f>
        <v>No Mixed</v>
      </c>
      <c r="E55" s="118" t="str">
        <f ca="1">INDIRECT(E$3&amp;"!"&amp;ADDRESS(98,3))</f>
        <v>Mixed</v>
      </c>
      <c r="F55" s="118" t="str">
        <f t="shared" ref="F55:G55" ca="1" si="38">INDIRECT(F$3&amp;"!"&amp;ADDRESS(98,3))</f>
        <v>No Mixed</v>
      </c>
      <c r="G55" s="118" t="str">
        <f t="shared" ca="1" si="38"/>
        <v>Mixed</v>
      </c>
    </row>
    <row r="56" spans="1:20" x14ac:dyDescent="0.35">
      <c r="A56" s="114" t="s">
        <v>102</v>
      </c>
      <c r="C56" s="118" t="str">
        <f ca="1">INDIRECT(C$3&amp;"!"&amp;ADDRESS(99,3))</f>
        <v>Obsidian</v>
      </c>
      <c r="D56" s="118" t="str">
        <f ca="1">INDIRECT(D$3&amp;"!"&amp;ADDRESS(99,3))</f>
        <v>No obsidian</v>
      </c>
      <c r="E56" s="118" t="str">
        <f ca="1">INDIRECT(E$3&amp;"!"&amp;ADDRESS(99,3))</f>
        <v>No obsidian</v>
      </c>
      <c r="F56" s="118" t="str">
        <f t="shared" ref="F56:G56" ca="1" si="39">INDIRECT(F$3&amp;"!"&amp;ADDRESS(99,3))</f>
        <v>No obsidian</v>
      </c>
      <c r="G56" s="118" t="str">
        <f t="shared" ca="1" si="39"/>
        <v>Obsidian</v>
      </c>
    </row>
    <row r="58" spans="1:20" x14ac:dyDescent="0.35">
      <c r="A58" s="114" t="s">
        <v>106</v>
      </c>
      <c r="C58" s="128">
        <f ca="1">C48/(C48+C47)</f>
        <v>0.68031189083820665</v>
      </c>
      <c r="D58" s="128">
        <f ca="1">D48/(D48+D47)</f>
        <v>0.3601608045287904</v>
      </c>
      <c r="E58" s="128">
        <f ca="1">E48/(E48+E47)</f>
        <v>0.19599005939092706</v>
      </c>
      <c r="F58" s="128">
        <f t="shared" ref="F58:G58" ca="1" si="40">F48/(F48+F47)</f>
        <v>7.7437424292538623E-2</v>
      </c>
      <c r="G58" s="128">
        <f t="shared" ca="1" si="40"/>
        <v>0.90136584713912282</v>
      </c>
    </row>
    <row r="59" spans="1:20" x14ac:dyDescent="0.35">
      <c r="A59" s="113" t="s">
        <v>107</v>
      </c>
      <c r="C59" s="128">
        <f ca="1">C42*C58</f>
        <v>16.037128940354744</v>
      </c>
      <c r="D59" s="128">
        <f t="shared" ref="D59:G59" ca="1" si="41">D42*D58</f>
        <v>27.321196203940691</v>
      </c>
      <c r="E59" s="128">
        <f t="shared" ca="1" si="41"/>
        <v>17.979829205147031</v>
      </c>
      <c r="F59" s="128">
        <f t="shared" ca="1" si="41"/>
        <v>6.0664014561808868</v>
      </c>
      <c r="G59" s="128">
        <f t="shared" ca="1" si="41"/>
        <v>73.350481688662725</v>
      </c>
    </row>
    <row r="60" spans="1:20" x14ac:dyDescent="0.35">
      <c r="A60" s="113" t="s">
        <v>84</v>
      </c>
      <c r="C60" s="128">
        <f ca="1">C42*(1-C58)</f>
        <v>7.5360720522010833</v>
      </c>
      <c r="D60" s="128">
        <f t="shared" ref="D60:G60" ca="1" si="42">D42*(1-D58)</f>
        <v>48.537131133166028</v>
      </c>
      <c r="E60" s="128">
        <f t="shared" ca="1" si="42"/>
        <v>73.75864600641448</v>
      </c>
      <c r="F60" s="128">
        <f t="shared" ca="1" si="42"/>
        <v>72.272999829476376</v>
      </c>
      <c r="G60" s="128">
        <f t="shared" ca="1" si="42"/>
        <v>8.0265550844438138</v>
      </c>
    </row>
    <row r="61" spans="1:20" x14ac:dyDescent="0.35">
      <c r="A61" s="113" t="s">
        <v>108</v>
      </c>
      <c r="C61" s="128">
        <f ca="1">C39</f>
        <v>3.6853230401617498</v>
      </c>
      <c r="D61" s="128">
        <f ca="1">D39</f>
        <v>24.125743581596815</v>
      </c>
      <c r="E61" s="128">
        <f t="shared" ref="E61:G61" ca="1" si="43">E39</f>
        <v>2.2296070172726923</v>
      </c>
      <c r="F61" s="128">
        <f t="shared" ca="1" si="43"/>
        <v>21.660598714342722</v>
      </c>
      <c r="G61" s="128">
        <f t="shared" ca="1" si="43"/>
        <v>7.0027409166244556</v>
      </c>
    </row>
    <row r="62" spans="1:20" x14ac:dyDescent="0.35">
      <c r="A62" s="113" t="s">
        <v>109</v>
      </c>
      <c r="C62" s="128">
        <f ca="1">C44</f>
        <v>72.741475967282412</v>
      </c>
      <c r="D62" s="128">
        <f t="shared" ref="D62:G62" ca="1" si="44">D44</f>
        <v>0</v>
      </c>
      <c r="E62" s="128">
        <f t="shared" ca="1" si="44"/>
        <v>6.0319177711658112</v>
      </c>
      <c r="F62" s="128">
        <f t="shared" ca="1" si="44"/>
        <v>0</v>
      </c>
      <c r="G62" s="128">
        <f t="shared" ca="1" si="44"/>
        <v>11.620222310269012</v>
      </c>
    </row>
    <row r="63" spans="1:20" x14ac:dyDescent="0.35">
      <c r="A63" s="113" t="s">
        <v>76</v>
      </c>
      <c r="C63" s="128">
        <f ca="1">SUM(C59:C62)</f>
        <v>99.999999999999986</v>
      </c>
      <c r="D63" s="128">
        <f ca="1">SUM(D59:D62)</f>
        <v>99.984070918703537</v>
      </c>
      <c r="E63" s="128">
        <f ca="1">SUM(E59:E62)</f>
        <v>100.00000000000001</v>
      </c>
      <c r="F63" s="128">
        <f t="shared" ref="F63:G63" ca="1" si="45">SUM(F59:F62)</f>
        <v>99.999999999999986</v>
      </c>
      <c r="G63" s="128">
        <f t="shared" ca="1" si="45"/>
        <v>100.00000000000001</v>
      </c>
    </row>
    <row r="65" spans="1:7" x14ac:dyDescent="0.35">
      <c r="A65" s="113" t="s">
        <v>110</v>
      </c>
      <c r="C65" s="128">
        <f ca="1">(C42)/(C43+C42)</f>
        <v>0.86480107889413349</v>
      </c>
      <c r="D65" s="128">
        <f ca="1">(D42)/(D43+D42)</f>
        <v>0.7587041279684108</v>
      </c>
      <c r="E65" s="128">
        <f t="shared" ref="E65:G65" ca="1" si="46">(E42)/(E43+E42)</f>
        <v>0.9762727197960358</v>
      </c>
      <c r="F65" s="128">
        <f t="shared" ca="1" si="46"/>
        <v>0.78339401285657273</v>
      </c>
      <c r="G65" s="128">
        <f t="shared" ca="1" si="46"/>
        <v>0.92076534814096822</v>
      </c>
    </row>
    <row r="66" spans="1:7" x14ac:dyDescent="0.35">
      <c r="A66" s="113" t="s">
        <v>111</v>
      </c>
      <c r="C66" s="128">
        <f t="shared" ref="C66:G66" ca="1" si="47">C47/(C47+C48)</f>
        <v>0.31968810916179347</v>
      </c>
      <c r="D66" s="128">
        <f t="shared" ca="1" si="47"/>
        <v>0.63983919547120971</v>
      </c>
      <c r="E66" s="128">
        <f t="shared" ca="1" si="47"/>
        <v>0.80400994060907294</v>
      </c>
      <c r="F66" s="128">
        <f t="shared" ca="1" si="47"/>
        <v>0.92256257570746147</v>
      </c>
      <c r="G66" s="128">
        <f t="shared" ca="1" si="47"/>
        <v>9.8634152860877233E-2</v>
      </c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L99"/>
  <sheetViews>
    <sheetView topLeftCell="A17" zoomScale="63" zoomScaleNormal="100" workbookViewId="0">
      <selection activeCell="G34" sqref="G34:O34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14.1796875" bestFit="1" customWidth="1"/>
    <col min="18" max="18" width="14.1796875" bestFit="1" customWidth="1"/>
    <col min="23" max="23" width="11.453125" customWidth="1"/>
  </cols>
  <sheetData>
    <row r="1" spans="1:38" ht="15" thickBot="1" x14ac:dyDescent="0.4">
      <c r="A1" s="111"/>
      <c r="F1" s="110"/>
    </row>
    <row r="2" spans="1:38" ht="15" thickBot="1" x14ac:dyDescent="0.4">
      <c r="A2" s="157" t="s">
        <v>91</v>
      </c>
      <c r="B2" s="158"/>
      <c r="C2" s="158"/>
      <c r="D2" s="159" t="str">
        <f ca="1">RIGHT(CELL("nomfichier",A1),LEN(CELL("nomfichier",A1))-FIND("]",CELL("nomfichier",A1)))</f>
        <v>Blank</v>
      </c>
      <c r="E2" s="160"/>
      <c r="G2" s="109" t="s">
        <v>90</v>
      </c>
      <c r="H2" s="108" t="str">
        <f ca="1">D2</f>
        <v>Blank</v>
      </c>
      <c r="I2" s="108"/>
      <c r="J2" s="107"/>
      <c r="K2" s="161" t="s">
        <v>89</v>
      </c>
      <c r="L2" s="162"/>
      <c r="M2" s="162"/>
      <c r="N2" s="162"/>
      <c r="O2" s="163"/>
    </row>
    <row r="3" spans="1:38" ht="15" thickBot="1" x14ac:dyDescent="0.4">
      <c r="A3" s="106"/>
      <c r="B3" s="105"/>
      <c r="C3" s="105"/>
      <c r="D3" s="105"/>
      <c r="E3" s="104"/>
      <c r="G3" s="103"/>
      <c r="H3" s="154" t="s">
        <v>88</v>
      </c>
      <c r="I3" s="155"/>
      <c r="J3" s="156"/>
      <c r="K3" s="154" t="s">
        <v>87</v>
      </c>
      <c r="L3" s="155"/>
      <c r="M3" s="155"/>
      <c r="N3" s="155"/>
      <c r="O3" s="156"/>
      <c r="S3" s="154" t="s">
        <v>88</v>
      </c>
      <c r="T3" s="155"/>
      <c r="U3" s="156"/>
      <c r="V3" s="154" t="s">
        <v>87</v>
      </c>
      <c r="W3" s="155"/>
      <c r="X3" s="155"/>
      <c r="Y3" s="155"/>
      <c r="Z3" s="156"/>
      <c r="AD3" s="154" t="s">
        <v>88</v>
      </c>
      <c r="AE3" s="155"/>
      <c r="AF3" s="156"/>
      <c r="AG3" s="154" t="s">
        <v>87</v>
      </c>
      <c r="AH3" s="155"/>
      <c r="AI3" s="155"/>
      <c r="AJ3" s="155"/>
      <c r="AK3" s="156"/>
    </row>
    <row r="4" spans="1:38" ht="15" thickBot="1" x14ac:dyDescent="0.4">
      <c r="A4" s="102" t="s">
        <v>86</v>
      </c>
      <c r="B4" s="101">
        <f>SUM(C7:C33)</f>
        <v>0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77</v>
      </c>
      <c r="P4" s="94" t="s">
        <v>76</v>
      </c>
      <c r="R4" s="97" t="str">
        <f t="shared" ref="R4:Z4" si="0">G4</f>
        <v>Grain size (phi)</v>
      </c>
      <c r="S4" s="95" t="str">
        <f t="shared" si="0"/>
        <v>Pumices</v>
      </c>
      <c r="T4" s="95" t="str">
        <f t="shared" si="0"/>
        <v>Dense juveniles</v>
      </c>
      <c r="U4" s="95" t="str">
        <f t="shared" si="0"/>
        <v>Obsidian</v>
      </c>
      <c r="V4" s="96" t="str">
        <f t="shared" si="0"/>
        <v>Coral fragments</v>
      </c>
      <c r="W4" s="95" t="str">
        <f t="shared" si="0"/>
        <v>Mafic clasts</v>
      </c>
      <c r="X4" s="95" t="str">
        <f t="shared" si="0"/>
        <v>Aggregate</v>
      </c>
      <c r="Y4" s="95" t="str">
        <f t="shared" si="0"/>
        <v>Accretionnary lapilli</v>
      </c>
      <c r="Z4" s="94" t="str">
        <f t="shared" si="0"/>
        <v>Crystals</v>
      </c>
      <c r="AA4" s="94" t="s">
        <v>76</v>
      </c>
      <c r="AC4" s="97" t="str">
        <f t="shared" ref="AC4:AK4" si="1">R4</f>
        <v>Grain size (phi)</v>
      </c>
      <c r="AD4" s="95" t="str">
        <f t="shared" si="1"/>
        <v>Pumices</v>
      </c>
      <c r="AE4" s="95" t="str">
        <f t="shared" si="1"/>
        <v>Dense juveniles</v>
      </c>
      <c r="AF4" s="95" t="str">
        <f t="shared" si="1"/>
        <v>Obsidian</v>
      </c>
      <c r="AG4" s="96" t="str">
        <f t="shared" si="1"/>
        <v>Coral fragments</v>
      </c>
      <c r="AH4" s="95" t="str">
        <f t="shared" si="1"/>
        <v>Mafic clasts</v>
      </c>
      <c r="AI4" s="95" t="str">
        <f t="shared" si="1"/>
        <v>Aggregate</v>
      </c>
      <c r="AJ4" s="95" t="str">
        <f t="shared" si="1"/>
        <v>Accretionnary lapilli</v>
      </c>
      <c r="AK4" s="94" t="str">
        <f t="shared" si="1"/>
        <v>Crystals</v>
      </c>
      <c r="AL4" s="94" t="s">
        <v>76</v>
      </c>
    </row>
    <row r="5" spans="1:38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R5" s="77"/>
      <c r="S5" s="85"/>
      <c r="T5" s="84"/>
      <c r="U5" s="83"/>
      <c r="V5" s="84"/>
      <c r="W5" s="84"/>
      <c r="X5" s="84"/>
      <c r="Y5" s="84"/>
      <c r="Z5" s="83"/>
      <c r="AA5" s="82"/>
      <c r="AC5" s="77"/>
      <c r="AD5" s="85"/>
      <c r="AE5" s="84"/>
      <c r="AF5" s="83"/>
      <c r="AG5" s="85"/>
      <c r="AH5" s="84"/>
      <c r="AI5" s="84"/>
      <c r="AJ5" s="84"/>
      <c r="AK5" s="83"/>
      <c r="AL5" s="82"/>
    </row>
    <row r="6" spans="1:38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R6" s="77"/>
      <c r="S6" s="77"/>
      <c r="U6" s="76"/>
      <c r="Z6" s="76"/>
      <c r="AA6" s="49"/>
      <c r="AC6" s="77"/>
      <c r="AD6" s="77"/>
      <c r="AF6" s="76"/>
      <c r="AG6" s="77"/>
      <c r="AK6" s="76"/>
      <c r="AL6" s="49"/>
    </row>
    <row r="7" spans="1:38" x14ac:dyDescent="0.35">
      <c r="A7" s="75" t="s">
        <v>70</v>
      </c>
      <c r="B7" s="74">
        <v>-7.5</v>
      </c>
      <c r="C7" s="72"/>
      <c r="D7" s="55" t="e">
        <f t="shared" ref="D7:D33" si="2">(C7/SUM($C$7:$C$33))*100</f>
        <v>#DIV/0!</v>
      </c>
      <c r="E7" s="73">
        <v>0</v>
      </c>
      <c r="G7" s="48">
        <f t="shared" ref="G7:G33" si="3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4">SUM(H7:O7)</f>
        <v>0</v>
      </c>
      <c r="R7" s="48">
        <f t="shared" ref="R7:R33" si="5">G7</f>
        <v>-7.5</v>
      </c>
      <c r="S7" s="47" t="e">
        <f t="shared" ref="S7:S33" si="6">100*H7/$P7</f>
        <v>#DIV/0!</v>
      </c>
      <c r="T7" s="46" t="e">
        <f t="shared" ref="T7:T33" si="7">100*I7/$P7</f>
        <v>#DIV/0!</v>
      </c>
      <c r="U7" s="45" t="e">
        <f t="shared" ref="U7:U33" si="8">100*J7/$P7</f>
        <v>#DIV/0!</v>
      </c>
      <c r="V7" s="46" t="e">
        <f t="shared" ref="V7:V33" si="9">100*K7/$P7</f>
        <v>#DIV/0!</v>
      </c>
      <c r="W7" s="46" t="e">
        <f t="shared" ref="W7:W33" si="10">100*L7/$P7</f>
        <v>#DIV/0!</v>
      </c>
      <c r="X7" s="46" t="e">
        <f t="shared" ref="X7:X33" si="11">100*M7/$P7</f>
        <v>#DIV/0!</v>
      </c>
      <c r="Y7" s="46" t="e">
        <f t="shared" ref="Y7:Y33" si="12">100*N7/$P7</f>
        <v>#DIV/0!</v>
      </c>
      <c r="Z7" s="45" t="e">
        <f t="shared" ref="Z7:Z33" si="13">100*O7/$P7</f>
        <v>#DIV/0!</v>
      </c>
      <c r="AA7" s="49" t="e">
        <f t="shared" ref="AA7:AA33" si="14">SUM(S7:Z7)</f>
        <v>#DIV/0!</v>
      </c>
      <c r="AC7" s="48">
        <f t="shared" ref="AC7:AC33" si="15">R7</f>
        <v>-7.5</v>
      </c>
      <c r="AD7" s="47" t="e">
        <f t="shared" ref="AD7:AK14" si="16">S7*100/(SUM($S7:$W7)+SUM($Y7:$Z7))</f>
        <v>#DIV/0!</v>
      </c>
      <c r="AE7" s="46" t="e">
        <f t="shared" si="16"/>
        <v>#DIV/0!</v>
      </c>
      <c r="AF7" s="45" t="e">
        <f t="shared" si="16"/>
        <v>#DIV/0!</v>
      </c>
      <c r="AG7" s="47" t="e">
        <f t="shared" si="16"/>
        <v>#DIV/0!</v>
      </c>
      <c r="AH7" s="46" t="e">
        <f t="shared" si="16"/>
        <v>#DIV/0!</v>
      </c>
      <c r="AI7" s="46" t="e">
        <f t="shared" si="16"/>
        <v>#DIV/0!</v>
      </c>
      <c r="AJ7" s="46" t="e">
        <f t="shared" si="16"/>
        <v>#DIV/0!</v>
      </c>
      <c r="AK7" s="45" t="e">
        <f t="shared" si="16"/>
        <v>#DIV/0!</v>
      </c>
      <c r="AL7" s="44" t="e">
        <f t="shared" ref="AL7:AL33" si="17">SUM(AD7:AK7)</f>
        <v>#DIV/0!</v>
      </c>
    </row>
    <row r="8" spans="1:38" x14ac:dyDescent="0.35">
      <c r="A8" s="58" t="s">
        <v>69</v>
      </c>
      <c r="B8" s="57">
        <v>-7</v>
      </c>
      <c r="C8" s="72"/>
      <c r="D8" s="55" t="e">
        <f t="shared" si="2"/>
        <v>#DIV/0!</v>
      </c>
      <c r="E8" s="73" t="e">
        <f>SUM(D6,D8)</f>
        <v>#DIV/0!</v>
      </c>
      <c r="G8" s="48">
        <f t="shared" si="3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4"/>
        <v>0</v>
      </c>
      <c r="R8" s="48">
        <f t="shared" si="5"/>
        <v>-7</v>
      </c>
      <c r="S8" s="47" t="e">
        <f t="shared" si="6"/>
        <v>#DIV/0!</v>
      </c>
      <c r="T8" s="46" t="e">
        <f t="shared" si="7"/>
        <v>#DIV/0!</v>
      </c>
      <c r="U8" s="45" t="e">
        <f t="shared" si="8"/>
        <v>#DIV/0!</v>
      </c>
      <c r="V8" s="46" t="e">
        <f t="shared" si="9"/>
        <v>#DIV/0!</v>
      </c>
      <c r="W8" s="46" t="e">
        <f t="shared" si="10"/>
        <v>#DIV/0!</v>
      </c>
      <c r="X8" s="46" t="e">
        <f t="shared" si="11"/>
        <v>#DIV/0!</v>
      </c>
      <c r="Y8" s="46" t="e">
        <f t="shared" si="12"/>
        <v>#DIV/0!</v>
      </c>
      <c r="Z8" s="45" t="e">
        <f t="shared" si="13"/>
        <v>#DIV/0!</v>
      </c>
      <c r="AA8" s="49" t="e">
        <f t="shared" si="14"/>
        <v>#DIV/0!</v>
      </c>
      <c r="AC8" s="48">
        <f t="shared" si="15"/>
        <v>-7</v>
      </c>
      <c r="AD8" s="47" t="e">
        <f t="shared" si="16"/>
        <v>#DIV/0!</v>
      </c>
      <c r="AE8" s="46" t="e">
        <f t="shared" si="16"/>
        <v>#DIV/0!</v>
      </c>
      <c r="AF8" s="45" t="e">
        <f t="shared" si="16"/>
        <v>#DIV/0!</v>
      </c>
      <c r="AG8" s="47" t="e">
        <f t="shared" si="16"/>
        <v>#DIV/0!</v>
      </c>
      <c r="AH8" s="46" t="e">
        <f t="shared" si="16"/>
        <v>#DIV/0!</v>
      </c>
      <c r="AI8" s="46" t="e">
        <f t="shared" si="16"/>
        <v>#DIV/0!</v>
      </c>
      <c r="AJ8" s="46" t="e">
        <f t="shared" si="16"/>
        <v>#DIV/0!</v>
      </c>
      <c r="AK8" s="45" t="e">
        <f t="shared" si="16"/>
        <v>#DIV/0!</v>
      </c>
      <c r="AL8" s="44" t="e">
        <f t="shared" si="17"/>
        <v>#DIV/0!</v>
      </c>
    </row>
    <row r="9" spans="1:38" x14ac:dyDescent="0.35">
      <c r="A9" s="58" t="s">
        <v>68</v>
      </c>
      <c r="B9" s="57">
        <v>-6.5</v>
      </c>
      <c r="C9" s="72"/>
      <c r="D9" s="55" t="e">
        <f t="shared" si="2"/>
        <v>#DIV/0!</v>
      </c>
      <c r="E9" s="73" t="e">
        <f>SUM(D6:D9)</f>
        <v>#DIV/0!</v>
      </c>
      <c r="G9" s="48">
        <f t="shared" si="3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4"/>
        <v>0</v>
      </c>
      <c r="R9" s="48">
        <f t="shared" si="5"/>
        <v>-6.5</v>
      </c>
      <c r="S9" s="47" t="e">
        <f t="shared" si="6"/>
        <v>#DIV/0!</v>
      </c>
      <c r="T9" s="46" t="e">
        <f t="shared" si="7"/>
        <v>#DIV/0!</v>
      </c>
      <c r="U9" s="45" t="e">
        <f t="shared" si="8"/>
        <v>#DIV/0!</v>
      </c>
      <c r="V9" s="46" t="e">
        <f t="shared" si="9"/>
        <v>#DIV/0!</v>
      </c>
      <c r="W9" s="46" t="e">
        <f t="shared" si="10"/>
        <v>#DIV/0!</v>
      </c>
      <c r="X9" s="46" t="e">
        <f t="shared" si="11"/>
        <v>#DIV/0!</v>
      </c>
      <c r="Y9" s="46" t="e">
        <f t="shared" si="12"/>
        <v>#DIV/0!</v>
      </c>
      <c r="Z9" s="45" t="e">
        <f t="shared" si="13"/>
        <v>#DIV/0!</v>
      </c>
      <c r="AA9" s="49" t="e">
        <f t="shared" si="14"/>
        <v>#DIV/0!</v>
      </c>
      <c r="AC9" s="48">
        <f t="shared" si="15"/>
        <v>-6.5</v>
      </c>
      <c r="AD9" s="47" t="e">
        <f t="shared" si="16"/>
        <v>#DIV/0!</v>
      </c>
      <c r="AE9" s="46" t="e">
        <f t="shared" si="16"/>
        <v>#DIV/0!</v>
      </c>
      <c r="AF9" s="45" t="e">
        <f t="shared" si="16"/>
        <v>#DIV/0!</v>
      </c>
      <c r="AG9" s="47" t="e">
        <f t="shared" si="16"/>
        <v>#DIV/0!</v>
      </c>
      <c r="AH9" s="46" t="e">
        <f t="shared" si="16"/>
        <v>#DIV/0!</v>
      </c>
      <c r="AI9" s="46" t="e">
        <f t="shared" si="16"/>
        <v>#DIV/0!</v>
      </c>
      <c r="AJ9" s="46" t="e">
        <f t="shared" si="16"/>
        <v>#DIV/0!</v>
      </c>
      <c r="AK9" s="45" t="e">
        <f t="shared" si="16"/>
        <v>#DIV/0!</v>
      </c>
      <c r="AL9" s="44" t="e">
        <f t="shared" si="17"/>
        <v>#DIV/0!</v>
      </c>
    </row>
    <row r="10" spans="1:38" x14ac:dyDescent="0.35">
      <c r="A10" s="58" t="s">
        <v>67</v>
      </c>
      <c r="B10" s="57">
        <v>-6</v>
      </c>
      <c r="C10" s="72"/>
      <c r="D10" s="55" t="e">
        <f t="shared" si="2"/>
        <v>#DIV/0!</v>
      </c>
      <c r="E10" s="54" t="e">
        <f>SUM(D6:D10)</f>
        <v>#DIV/0!</v>
      </c>
      <c r="G10" s="48">
        <f t="shared" si="3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4"/>
        <v>0</v>
      </c>
      <c r="R10" s="48">
        <f t="shared" si="5"/>
        <v>-6</v>
      </c>
      <c r="S10" s="47" t="e">
        <f t="shared" si="6"/>
        <v>#DIV/0!</v>
      </c>
      <c r="T10" s="46" t="e">
        <f t="shared" si="7"/>
        <v>#DIV/0!</v>
      </c>
      <c r="U10" s="45" t="e">
        <f t="shared" si="8"/>
        <v>#DIV/0!</v>
      </c>
      <c r="V10" s="46" t="e">
        <f t="shared" si="9"/>
        <v>#DIV/0!</v>
      </c>
      <c r="W10" s="46" t="e">
        <f t="shared" si="10"/>
        <v>#DIV/0!</v>
      </c>
      <c r="X10" s="46" t="e">
        <f t="shared" si="11"/>
        <v>#DIV/0!</v>
      </c>
      <c r="Y10" s="46" t="e">
        <f t="shared" si="12"/>
        <v>#DIV/0!</v>
      </c>
      <c r="Z10" s="45" t="e">
        <f t="shared" si="13"/>
        <v>#DIV/0!</v>
      </c>
      <c r="AA10" s="49" t="e">
        <f t="shared" si="14"/>
        <v>#DIV/0!</v>
      </c>
      <c r="AC10" s="48">
        <f t="shared" si="15"/>
        <v>-6</v>
      </c>
      <c r="AD10" s="47" t="e">
        <f t="shared" si="16"/>
        <v>#DIV/0!</v>
      </c>
      <c r="AE10" s="46" t="e">
        <f t="shared" si="16"/>
        <v>#DIV/0!</v>
      </c>
      <c r="AF10" s="45" t="e">
        <f t="shared" si="16"/>
        <v>#DIV/0!</v>
      </c>
      <c r="AG10" s="47" t="e">
        <f t="shared" si="16"/>
        <v>#DIV/0!</v>
      </c>
      <c r="AH10" s="46" t="e">
        <f t="shared" si="16"/>
        <v>#DIV/0!</v>
      </c>
      <c r="AI10" s="46" t="e">
        <f t="shared" si="16"/>
        <v>#DIV/0!</v>
      </c>
      <c r="AJ10" s="46" t="e">
        <f t="shared" si="16"/>
        <v>#DIV/0!</v>
      </c>
      <c r="AK10" s="45" t="e">
        <f t="shared" si="16"/>
        <v>#DIV/0!</v>
      </c>
      <c r="AL10" s="44" t="e">
        <f t="shared" si="17"/>
        <v>#DIV/0!</v>
      </c>
    </row>
    <row r="11" spans="1:38" x14ac:dyDescent="0.35">
      <c r="A11" s="58" t="s">
        <v>66</v>
      </c>
      <c r="B11" s="57">
        <v>-5.5</v>
      </c>
      <c r="C11" s="62"/>
      <c r="D11" s="55" t="e">
        <f t="shared" si="2"/>
        <v>#DIV/0!</v>
      </c>
      <c r="E11" s="54" t="e">
        <f>SUM(D6:D11)</f>
        <v>#DIV/0!</v>
      </c>
      <c r="G11" s="48">
        <f t="shared" si="3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50">
        <f t="shared" si="4"/>
        <v>0</v>
      </c>
      <c r="R11" s="48">
        <f t="shared" si="5"/>
        <v>-5.5</v>
      </c>
      <c r="S11" s="47" t="e">
        <f t="shared" si="6"/>
        <v>#DIV/0!</v>
      </c>
      <c r="T11" s="46" t="e">
        <f t="shared" si="7"/>
        <v>#DIV/0!</v>
      </c>
      <c r="U11" s="45" t="e">
        <f t="shared" si="8"/>
        <v>#DIV/0!</v>
      </c>
      <c r="V11" s="46" t="e">
        <f t="shared" si="9"/>
        <v>#DIV/0!</v>
      </c>
      <c r="W11" s="46" t="e">
        <f t="shared" si="10"/>
        <v>#DIV/0!</v>
      </c>
      <c r="X11" s="46" t="e">
        <f t="shared" si="11"/>
        <v>#DIV/0!</v>
      </c>
      <c r="Y11" s="46" t="e">
        <f t="shared" si="12"/>
        <v>#DIV/0!</v>
      </c>
      <c r="Z11" s="45" t="e">
        <f t="shared" si="13"/>
        <v>#DIV/0!</v>
      </c>
      <c r="AA11" s="49" t="e">
        <f t="shared" si="14"/>
        <v>#DIV/0!</v>
      </c>
      <c r="AC11" s="48">
        <f t="shared" si="15"/>
        <v>-5.5</v>
      </c>
      <c r="AD11" s="47" t="e">
        <f t="shared" si="16"/>
        <v>#DIV/0!</v>
      </c>
      <c r="AE11" s="46" t="e">
        <f t="shared" si="16"/>
        <v>#DIV/0!</v>
      </c>
      <c r="AF11" s="45" t="e">
        <f t="shared" si="16"/>
        <v>#DIV/0!</v>
      </c>
      <c r="AG11" s="47" t="e">
        <f t="shared" si="16"/>
        <v>#DIV/0!</v>
      </c>
      <c r="AH11" s="46" t="e">
        <f t="shared" si="16"/>
        <v>#DIV/0!</v>
      </c>
      <c r="AI11" s="46" t="e">
        <f t="shared" si="16"/>
        <v>#DIV/0!</v>
      </c>
      <c r="AJ11" s="46" t="e">
        <f t="shared" si="16"/>
        <v>#DIV/0!</v>
      </c>
      <c r="AK11" s="45" t="e">
        <f t="shared" si="16"/>
        <v>#DIV/0!</v>
      </c>
      <c r="AL11" s="44" t="e">
        <f t="shared" si="17"/>
        <v>#DIV/0!</v>
      </c>
    </row>
    <row r="12" spans="1:38" x14ac:dyDescent="0.35">
      <c r="A12" s="58" t="s">
        <v>65</v>
      </c>
      <c r="B12" s="57">
        <v>-5</v>
      </c>
      <c r="C12" s="62"/>
      <c r="D12" s="55" t="e">
        <f t="shared" si="2"/>
        <v>#DIV/0!</v>
      </c>
      <c r="E12" s="54" t="e">
        <f>SUM(D6:D12)</f>
        <v>#DIV/0!</v>
      </c>
      <c r="G12" s="48">
        <f t="shared" si="3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50">
        <f t="shared" si="4"/>
        <v>0</v>
      </c>
      <c r="R12" s="48">
        <f t="shared" si="5"/>
        <v>-5</v>
      </c>
      <c r="S12" s="47" t="e">
        <f t="shared" si="6"/>
        <v>#DIV/0!</v>
      </c>
      <c r="T12" s="46" t="e">
        <f t="shared" si="7"/>
        <v>#DIV/0!</v>
      </c>
      <c r="U12" s="45" t="e">
        <f t="shared" si="8"/>
        <v>#DIV/0!</v>
      </c>
      <c r="V12" s="46" t="e">
        <f t="shared" si="9"/>
        <v>#DIV/0!</v>
      </c>
      <c r="W12" s="46" t="e">
        <f t="shared" si="10"/>
        <v>#DIV/0!</v>
      </c>
      <c r="X12" s="46" t="e">
        <f t="shared" si="11"/>
        <v>#DIV/0!</v>
      </c>
      <c r="Y12" s="46" t="e">
        <f t="shared" si="12"/>
        <v>#DIV/0!</v>
      </c>
      <c r="Z12" s="45" t="e">
        <f t="shared" si="13"/>
        <v>#DIV/0!</v>
      </c>
      <c r="AA12" s="49" t="e">
        <f t="shared" si="14"/>
        <v>#DIV/0!</v>
      </c>
      <c r="AC12" s="48">
        <f t="shared" si="15"/>
        <v>-5</v>
      </c>
      <c r="AD12" s="47" t="e">
        <f t="shared" si="16"/>
        <v>#DIV/0!</v>
      </c>
      <c r="AE12" s="46" t="e">
        <f t="shared" si="16"/>
        <v>#DIV/0!</v>
      </c>
      <c r="AF12" s="45" t="e">
        <f t="shared" si="16"/>
        <v>#DIV/0!</v>
      </c>
      <c r="AG12" s="47" t="e">
        <f t="shared" si="16"/>
        <v>#DIV/0!</v>
      </c>
      <c r="AH12" s="46" t="e">
        <f t="shared" si="16"/>
        <v>#DIV/0!</v>
      </c>
      <c r="AI12" s="46" t="e">
        <f t="shared" si="16"/>
        <v>#DIV/0!</v>
      </c>
      <c r="AJ12" s="46" t="e">
        <f t="shared" si="16"/>
        <v>#DIV/0!</v>
      </c>
      <c r="AK12" s="45" t="e">
        <f t="shared" si="16"/>
        <v>#DIV/0!</v>
      </c>
      <c r="AL12" s="44" t="e">
        <f t="shared" si="17"/>
        <v>#DIV/0!</v>
      </c>
    </row>
    <row r="13" spans="1:38" x14ac:dyDescent="0.35">
      <c r="A13" s="58" t="s">
        <v>64</v>
      </c>
      <c r="B13" s="57">
        <v>-4.5</v>
      </c>
      <c r="C13" s="62"/>
      <c r="D13" s="55" t="e">
        <f t="shared" si="2"/>
        <v>#DIV/0!</v>
      </c>
      <c r="E13" s="54" t="e">
        <f>SUM(D7:D13)</f>
        <v>#DIV/0!</v>
      </c>
      <c r="G13" s="48">
        <f t="shared" si="3"/>
        <v>-4.5</v>
      </c>
      <c r="H13" s="61">
        <v>0</v>
      </c>
      <c r="I13" s="60">
        <v>0</v>
      </c>
      <c r="J13" s="59">
        <v>0</v>
      </c>
      <c r="K13" s="60">
        <v>0</v>
      </c>
      <c r="L13" s="60">
        <v>0</v>
      </c>
      <c r="M13" s="60">
        <v>0</v>
      </c>
      <c r="N13" s="60">
        <v>0</v>
      </c>
      <c r="O13" s="60">
        <v>0</v>
      </c>
      <c r="P13" s="50">
        <f t="shared" si="4"/>
        <v>0</v>
      </c>
      <c r="R13" s="48">
        <f t="shared" si="5"/>
        <v>-4.5</v>
      </c>
      <c r="S13" s="47" t="e">
        <f t="shared" si="6"/>
        <v>#DIV/0!</v>
      </c>
      <c r="T13" s="46" t="e">
        <f t="shared" si="7"/>
        <v>#DIV/0!</v>
      </c>
      <c r="U13" s="45" t="e">
        <f t="shared" si="8"/>
        <v>#DIV/0!</v>
      </c>
      <c r="V13" s="46" t="e">
        <f t="shared" si="9"/>
        <v>#DIV/0!</v>
      </c>
      <c r="W13" s="46" t="e">
        <f t="shared" si="10"/>
        <v>#DIV/0!</v>
      </c>
      <c r="X13" s="46" t="e">
        <f t="shared" si="11"/>
        <v>#DIV/0!</v>
      </c>
      <c r="Y13" s="46" t="e">
        <f t="shared" si="12"/>
        <v>#DIV/0!</v>
      </c>
      <c r="Z13" s="45" t="e">
        <f t="shared" si="13"/>
        <v>#DIV/0!</v>
      </c>
      <c r="AA13" s="49" t="e">
        <f t="shared" si="14"/>
        <v>#DIV/0!</v>
      </c>
      <c r="AC13" s="48">
        <f t="shared" si="15"/>
        <v>-4.5</v>
      </c>
      <c r="AD13" s="47" t="e">
        <f t="shared" si="16"/>
        <v>#DIV/0!</v>
      </c>
      <c r="AE13" s="46" t="e">
        <f t="shared" si="16"/>
        <v>#DIV/0!</v>
      </c>
      <c r="AF13" s="45" t="e">
        <f t="shared" si="16"/>
        <v>#DIV/0!</v>
      </c>
      <c r="AG13" s="47" t="e">
        <f t="shared" si="16"/>
        <v>#DIV/0!</v>
      </c>
      <c r="AH13" s="46" t="e">
        <f t="shared" si="16"/>
        <v>#DIV/0!</v>
      </c>
      <c r="AI13" s="46" t="e">
        <f t="shared" si="16"/>
        <v>#DIV/0!</v>
      </c>
      <c r="AJ13" s="46" t="e">
        <f t="shared" si="16"/>
        <v>#DIV/0!</v>
      </c>
      <c r="AK13" s="45" t="e">
        <f t="shared" si="16"/>
        <v>#DIV/0!</v>
      </c>
      <c r="AL13" s="44" t="e">
        <f t="shared" si="17"/>
        <v>#DIV/0!</v>
      </c>
    </row>
    <row r="14" spans="1:38" x14ac:dyDescent="0.35">
      <c r="A14" s="58" t="s">
        <v>63</v>
      </c>
      <c r="B14" s="57">
        <v>-4</v>
      </c>
      <c r="C14" s="62"/>
      <c r="D14" s="55" t="e">
        <f t="shared" si="2"/>
        <v>#DIV/0!</v>
      </c>
      <c r="E14" s="54" t="e">
        <f>SUM(D8:D14)</f>
        <v>#DIV/0!</v>
      </c>
      <c r="G14" s="48">
        <f t="shared" si="3"/>
        <v>-4</v>
      </c>
      <c r="H14" s="61">
        <v>0</v>
      </c>
      <c r="I14" s="60">
        <v>0</v>
      </c>
      <c r="J14" s="59">
        <v>0</v>
      </c>
      <c r="K14" s="60">
        <v>0</v>
      </c>
      <c r="L14" s="60">
        <v>0</v>
      </c>
      <c r="M14" s="60">
        <v>0</v>
      </c>
      <c r="N14" s="60">
        <v>0</v>
      </c>
      <c r="O14" s="60">
        <v>0</v>
      </c>
      <c r="P14" s="50">
        <f t="shared" si="4"/>
        <v>0</v>
      </c>
      <c r="R14" s="48">
        <f t="shared" si="5"/>
        <v>-4</v>
      </c>
      <c r="S14" s="47" t="e">
        <f t="shared" si="6"/>
        <v>#DIV/0!</v>
      </c>
      <c r="T14" s="46" t="e">
        <f t="shared" si="7"/>
        <v>#DIV/0!</v>
      </c>
      <c r="U14" s="45" t="e">
        <f t="shared" si="8"/>
        <v>#DIV/0!</v>
      </c>
      <c r="V14" s="46" t="e">
        <f t="shared" si="9"/>
        <v>#DIV/0!</v>
      </c>
      <c r="W14" s="46" t="e">
        <f t="shared" si="10"/>
        <v>#DIV/0!</v>
      </c>
      <c r="X14" s="46" t="e">
        <f t="shared" si="11"/>
        <v>#DIV/0!</v>
      </c>
      <c r="Y14" s="46" t="e">
        <f t="shared" si="12"/>
        <v>#DIV/0!</v>
      </c>
      <c r="Z14" s="45" t="e">
        <f t="shared" si="13"/>
        <v>#DIV/0!</v>
      </c>
      <c r="AA14" s="49" t="e">
        <f t="shared" si="14"/>
        <v>#DIV/0!</v>
      </c>
      <c r="AC14" s="48">
        <f t="shared" si="15"/>
        <v>-4</v>
      </c>
      <c r="AD14" s="47" t="e">
        <f t="shared" si="16"/>
        <v>#DIV/0!</v>
      </c>
      <c r="AE14" s="46" t="e">
        <f t="shared" si="16"/>
        <v>#DIV/0!</v>
      </c>
      <c r="AF14" s="45" t="e">
        <f t="shared" si="16"/>
        <v>#DIV/0!</v>
      </c>
      <c r="AG14" s="47" t="e">
        <f t="shared" si="16"/>
        <v>#DIV/0!</v>
      </c>
      <c r="AH14" s="46" t="e">
        <f t="shared" si="16"/>
        <v>#DIV/0!</v>
      </c>
      <c r="AI14" s="46" t="e">
        <f t="shared" si="16"/>
        <v>#DIV/0!</v>
      </c>
      <c r="AJ14" s="46" t="e">
        <f t="shared" si="16"/>
        <v>#DIV/0!</v>
      </c>
      <c r="AK14" s="45" t="e">
        <f t="shared" si="16"/>
        <v>#DIV/0!</v>
      </c>
      <c r="AL14" s="44" t="e">
        <f t="shared" si="17"/>
        <v>#DIV/0!</v>
      </c>
    </row>
    <row r="15" spans="1:38" x14ac:dyDescent="0.35">
      <c r="A15" s="58" t="s">
        <v>62</v>
      </c>
      <c r="B15" s="57">
        <v>-3.5</v>
      </c>
      <c r="C15" s="62"/>
      <c r="D15" s="55" t="e">
        <f t="shared" si="2"/>
        <v>#DIV/0!</v>
      </c>
      <c r="E15" s="54" t="e">
        <f>SUM(D6:D15)</f>
        <v>#DIV/0!</v>
      </c>
      <c r="G15" s="48">
        <f t="shared" si="3"/>
        <v>-3.5</v>
      </c>
      <c r="H15" s="61">
        <v>0</v>
      </c>
      <c r="I15" s="60">
        <v>0</v>
      </c>
      <c r="J15" s="59">
        <v>0</v>
      </c>
      <c r="K15" s="60">
        <v>0</v>
      </c>
      <c r="L15" s="60">
        <v>0</v>
      </c>
      <c r="M15" s="60">
        <v>0</v>
      </c>
      <c r="N15" s="60">
        <v>0</v>
      </c>
      <c r="O15" s="59">
        <v>0</v>
      </c>
      <c r="P15" s="50">
        <f t="shared" si="4"/>
        <v>0</v>
      </c>
      <c r="R15" s="48">
        <f t="shared" si="5"/>
        <v>-3.5</v>
      </c>
      <c r="S15" s="67" t="e">
        <f t="shared" si="6"/>
        <v>#DIV/0!</v>
      </c>
      <c r="T15" s="66" t="e">
        <f t="shared" si="7"/>
        <v>#DIV/0!</v>
      </c>
      <c r="U15" s="65" t="e">
        <f t="shared" si="8"/>
        <v>#DIV/0!</v>
      </c>
      <c r="V15" s="66" t="e">
        <f t="shared" si="9"/>
        <v>#DIV/0!</v>
      </c>
      <c r="W15" s="66" t="e">
        <f t="shared" si="10"/>
        <v>#DIV/0!</v>
      </c>
      <c r="X15" s="66" t="e">
        <f t="shared" si="11"/>
        <v>#DIV/0!</v>
      </c>
      <c r="Y15" s="66" t="e">
        <f t="shared" si="12"/>
        <v>#DIV/0!</v>
      </c>
      <c r="Z15" s="65" t="e">
        <f t="shared" si="13"/>
        <v>#DIV/0!</v>
      </c>
      <c r="AA15" s="50" t="e">
        <f t="shared" si="14"/>
        <v>#DIV/0!</v>
      </c>
      <c r="AC15" s="48">
        <f t="shared" si="15"/>
        <v>-3.5</v>
      </c>
      <c r="AD15" s="67" t="e">
        <f t="shared" ref="AD15:AD33" si="18">S15*100/(SUM($S15:$W15)+SUM($Y15:$Z15))</f>
        <v>#DIV/0!</v>
      </c>
      <c r="AE15" s="66" t="e">
        <f t="shared" ref="AE15:AE33" si="19">T15*100/(SUM($S15:$W15)+SUM($Y15:$Z15))</f>
        <v>#DIV/0!</v>
      </c>
      <c r="AF15" s="65" t="e">
        <f t="shared" ref="AF15:AF33" si="20">U15*100/(SUM($S15:$W15)+SUM($Y15:$Z15))</f>
        <v>#DIV/0!</v>
      </c>
      <c r="AG15" s="67" t="e">
        <f t="shared" ref="AG15:AG33" si="21">V15*100/(SUM($S15:$W15)+SUM($Y15:$Z15))</f>
        <v>#DIV/0!</v>
      </c>
      <c r="AH15" s="66" t="e">
        <f t="shared" ref="AH15:AH33" si="22">W15*100/(SUM($S15:$W15)+SUM($Y15:$Z15))</f>
        <v>#DIV/0!</v>
      </c>
      <c r="AI15" s="66">
        <v>0</v>
      </c>
      <c r="AJ15" s="66" t="e">
        <f t="shared" ref="AJ15:AJ33" si="23">Y15*100/(SUM($S15:$W15)+SUM($Y15:$Z15))</f>
        <v>#DIV/0!</v>
      </c>
      <c r="AK15" s="65" t="e">
        <f t="shared" ref="AK15:AK33" si="24">Z15*100/(SUM($S15:$W15)+SUM($Y15:$Z15))</f>
        <v>#DIV/0!</v>
      </c>
      <c r="AL15" s="64" t="e">
        <f t="shared" si="17"/>
        <v>#DIV/0!</v>
      </c>
    </row>
    <row r="16" spans="1:38" x14ac:dyDescent="0.35">
      <c r="A16" s="71" t="s">
        <v>61</v>
      </c>
      <c r="B16" s="57">
        <v>-3</v>
      </c>
      <c r="C16" s="62"/>
      <c r="D16" s="55" t="e">
        <f t="shared" si="2"/>
        <v>#DIV/0!</v>
      </c>
      <c r="E16" s="54" t="e">
        <f>SUM(D6:D16)</f>
        <v>#DIV/0!</v>
      </c>
      <c r="G16" s="48">
        <f t="shared" si="3"/>
        <v>-3</v>
      </c>
      <c r="H16" s="61">
        <v>0</v>
      </c>
      <c r="I16" s="60">
        <v>0</v>
      </c>
      <c r="J16" s="59">
        <v>0</v>
      </c>
      <c r="K16" s="60">
        <v>0</v>
      </c>
      <c r="L16" s="60">
        <v>0</v>
      </c>
      <c r="M16" s="60">
        <v>0</v>
      </c>
      <c r="N16" s="60">
        <v>0</v>
      </c>
      <c r="O16" s="59">
        <v>0</v>
      </c>
      <c r="P16" s="50">
        <f t="shared" si="4"/>
        <v>0</v>
      </c>
      <c r="R16" s="48">
        <f t="shared" si="5"/>
        <v>-3</v>
      </c>
      <c r="S16" s="67" t="e">
        <f t="shared" si="6"/>
        <v>#DIV/0!</v>
      </c>
      <c r="T16" s="66" t="e">
        <f t="shared" si="7"/>
        <v>#DIV/0!</v>
      </c>
      <c r="U16" s="65" t="e">
        <f t="shared" si="8"/>
        <v>#DIV/0!</v>
      </c>
      <c r="V16" s="66" t="e">
        <f t="shared" si="9"/>
        <v>#DIV/0!</v>
      </c>
      <c r="W16" s="66" t="e">
        <f t="shared" si="10"/>
        <v>#DIV/0!</v>
      </c>
      <c r="X16" s="66" t="e">
        <f t="shared" si="11"/>
        <v>#DIV/0!</v>
      </c>
      <c r="Y16" s="66" t="e">
        <f t="shared" si="12"/>
        <v>#DIV/0!</v>
      </c>
      <c r="Z16" s="65" t="e">
        <f t="shared" si="13"/>
        <v>#DIV/0!</v>
      </c>
      <c r="AA16" s="50" t="e">
        <f t="shared" si="14"/>
        <v>#DIV/0!</v>
      </c>
      <c r="AC16" s="48">
        <f t="shared" si="15"/>
        <v>-3</v>
      </c>
      <c r="AD16" s="67" t="e">
        <f t="shared" si="18"/>
        <v>#DIV/0!</v>
      </c>
      <c r="AE16" s="66" t="e">
        <f t="shared" si="19"/>
        <v>#DIV/0!</v>
      </c>
      <c r="AF16" s="65" t="e">
        <f t="shared" si="20"/>
        <v>#DIV/0!</v>
      </c>
      <c r="AG16" s="67" t="e">
        <f t="shared" si="21"/>
        <v>#DIV/0!</v>
      </c>
      <c r="AH16" s="66" t="e">
        <f t="shared" si="22"/>
        <v>#DIV/0!</v>
      </c>
      <c r="AI16" s="66">
        <v>0</v>
      </c>
      <c r="AJ16" s="66" t="e">
        <f t="shared" si="23"/>
        <v>#DIV/0!</v>
      </c>
      <c r="AK16" s="65" t="e">
        <f t="shared" si="24"/>
        <v>#DIV/0!</v>
      </c>
      <c r="AL16" s="64" t="e">
        <f t="shared" si="17"/>
        <v>#DIV/0!</v>
      </c>
    </row>
    <row r="17" spans="1:38" x14ac:dyDescent="0.35">
      <c r="A17" s="71" t="s">
        <v>60</v>
      </c>
      <c r="B17" s="57">
        <v>-2.5</v>
      </c>
      <c r="C17" s="62"/>
      <c r="D17" s="55" t="e">
        <f t="shared" si="2"/>
        <v>#DIV/0!</v>
      </c>
      <c r="E17" s="54" t="e">
        <f>SUM(D6:D17)</f>
        <v>#DIV/0!</v>
      </c>
      <c r="G17" s="48">
        <f t="shared" si="3"/>
        <v>-2.5</v>
      </c>
      <c r="H17" s="61">
        <v>0</v>
      </c>
      <c r="I17" s="60">
        <v>0</v>
      </c>
      <c r="J17" s="59">
        <v>0</v>
      </c>
      <c r="K17" s="60">
        <v>0</v>
      </c>
      <c r="L17" s="60">
        <v>0</v>
      </c>
      <c r="M17" s="60">
        <v>0</v>
      </c>
      <c r="N17" s="60">
        <v>0</v>
      </c>
      <c r="O17" s="59">
        <v>0</v>
      </c>
      <c r="P17" s="50">
        <f t="shared" si="4"/>
        <v>0</v>
      </c>
      <c r="R17" s="48">
        <f t="shared" si="5"/>
        <v>-2.5</v>
      </c>
      <c r="S17" s="67" t="e">
        <f t="shared" si="6"/>
        <v>#DIV/0!</v>
      </c>
      <c r="T17" s="66" t="e">
        <f t="shared" si="7"/>
        <v>#DIV/0!</v>
      </c>
      <c r="U17" s="65" t="e">
        <f t="shared" si="8"/>
        <v>#DIV/0!</v>
      </c>
      <c r="V17" s="66" t="e">
        <f t="shared" si="9"/>
        <v>#DIV/0!</v>
      </c>
      <c r="W17" s="66" t="e">
        <f t="shared" si="10"/>
        <v>#DIV/0!</v>
      </c>
      <c r="X17" s="66" t="e">
        <f t="shared" si="11"/>
        <v>#DIV/0!</v>
      </c>
      <c r="Y17" s="66" t="e">
        <f t="shared" si="12"/>
        <v>#DIV/0!</v>
      </c>
      <c r="Z17" s="65" t="e">
        <f t="shared" si="13"/>
        <v>#DIV/0!</v>
      </c>
      <c r="AA17" s="50" t="e">
        <f t="shared" si="14"/>
        <v>#DIV/0!</v>
      </c>
      <c r="AC17" s="48">
        <f t="shared" si="15"/>
        <v>-2.5</v>
      </c>
      <c r="AD17" s="67" t="e">
        <f t="shared" si="18"/>
        <v>#DIV/0!</v>
      </c>
      <c r="AE17" s="66" t="e">
        <f t="shared" si="19"/>
        <v>#DIV/0!</v>
      </c>
      <c r="AF17" s="65" t="e">
        <f t="shared" si="20"/>
        <v>#DIV/0!</v>
      </c>
      <c r="AG17" s="67" t="e">
        <f t="shared" si="21"/>
        <v>#DIV/0!</v>
      </c>
      <c r="AH17" s="66" t="e">
        <f t="shared" si="22"/>
        <v>#DIV/0!</v>
      </c>
      <c r="AI17" s="66">
        <v>0</v>
      </c>
      <c r="AJ17" s="66" t="e">
        <f t="shared" si="23"/>
        <v>#DIV/0!</v>
      </c>
      <c r="AK17" s="65" t="e">
        <f t="shared" si="24"/>
        <v>#DIV/0!</v>
      </c>
      <c r="AL17" s="64" t="e">
        <f t="shared" si="17"/>
        <v>#DIV/0!</v>
      </c>
    </row>
    <row r="18" spans="1:38" x14ac:dyDescent="0.35">
      <c r="A18" s="58" t="s">
        <v>59</v>
      </c>
      <c r="B18" s="57">
        <v>-2</v>
      </c>
      <c r="C18" s="62"/>
      <c r="D18" s="55" t="e">
        <f t="shared" si="2"/>
        <v>#DIV/0!</v>
      </c>
      <c r="E18" s="54" t="e">
        <f>SUM(D6:D18)</f>
        <v>#DIV/0!</v>
      </c>
      <c r="G18" s="48">
        <f t="shared" si="3"/>
        <v>-2</v>
      </c>
      <c r="H18" s="61">
        <v>0</v>
      </c>
      <c r="I18" s="60">
        <v>0</v>
      </c>
      <c r="J18" s="59">
        <v>0</v>
      </c>
      <c r="K18" s="60">
        <v>0</v>
      </c>
      <c r="L18" s="60">
        <v>0</v>
      </c>
      <c r="M18" s="60">
        <v>0</v>
      </c>
      <c r="N18" s="60">
        <v>0</v>
      </c>
      <c r="O18" s="59">
        <v>0</v>
      </c>
      <c r="P18" s="50">
        <f t="shared" si="4"/>
        <v>0</v>
      </c>
      <c r="R18" s="48">
        <f t="shared" si="5"/>
        <v>-2</v>
      </c>
      <c r="S18" s="67" t="e">
        <f t="shared" si="6"/>
        <v>#DIV/0!</v>
      </c>
      <c r="T18" s="66" t="e">
        <f t="shared" si="7"/>
        <v>#DIV/0!</v>
      </c>
      <c r="U18" s="65" t="e">
        <f t="shared" si="8"/>
        <v>#DIV/0!</v>
      </c>
      <c r="V18" s="66" t="e">
        <f t="shared" si="9"/>
        <v>#DIV/0!</v>
      </c>
      <c r="W18" s="66" t="e">
        <f t="shared" si="10"/>
        <v>#DIV/0!</v>
      </c>
      <c r="X18" s="66" t="e">
        <f t="shared" si="11"/>
        <v>#DIV/0!</v>
      </c>
      <c r="Y18" s="66" t="e">
        <f t="shared" si="12"/>
        <v>#DIV/0!</v>
      </c>
      <c r="Z18" s="65" t="e">
        <f t="shared" si="13"/>
        <v>#DIV/0!</v>
      </c>
      <c r="AA18" s="50" t="e">
        <f t="shared" si="14"/>
        <v>#DIV/0!</v>
      </c>
      <c r="AC18" s="48">
        <f t="shared" si="15"/>
        <v>-2</v>
      </c>
      <c r="AD18" s="67" t="e">
        <f t="shared" si="18"/>
        <v>#DIV/0!</v>
      </c>
      <c r="AE18" s="66" t="e">
        <f t="shared" si="19"/>
        <v>#DIV/0!</v>
      </c>
      <c r="AF18" s="65" t="e">
        <f t="shared" si="20"/>
        <v>#DIV/0!</v>
      </c>
      <c r="AG18" s="67" t="e">
        <f t="shared" si="21"/>
        <v>#DIV/0!</v>
      </c>
      <c r="AH18" s="66" t="e">
        <f t="shared" si="22"/>
        <v>#DIV/0!</v>
      </c>
      <c r="AI18" s="66">
        <v>0</v>
      </c>
      <c r="AJ18" s="66" t="e">
        <f t="shared" si="23"/>
        <v>#DIV/0!</v>
      </c>
      <c r="AK18" s="65" t="e">
        <f t="shared" si="24"/>
        <v>#DIV/0!</v>
      </c>
      <c r="AL18" s="64" t="e">
        <f t="shared" si="17"/>
        <v>#DIV/0!</v>
      </c>
    </row>
    <row r="19" spans="1:38" x14ac:dyDescent="0.35">
      <c r="A19" s="58" t="s">
        <v>58</v>
      </c>
      <c r="B19" s="57">
        <v>-1.5</v>
      </c>
      <c r="C19" s="62"/>
      <c r="D19" s="55" t="e">
        <f t="shared" si="2"/>
        <v>#DIV/0!</v>
      </c>
      <c r="E19" s="54" t="e">
        <f>SUM(D6:D19)</f>
        <v>#DIV/0!</v>
      </c>
      <c r="G19" s="48">
        <f t="shared" si="3"/>
        <v>-1.5</v>
      </c>
      <c r="H19" s="61">
        <v>0</v>
      </c>
      <c r="I19" s="60">
        <v>0</v>
      </c>
      <c r="J19" s="59">
        <v>0</v>
      </c>
      <c r="K19" s="60">
        <v>0</v>
      </c>
      <c r="L19" s="60">
        <v>0</v>
      </c>
      <c r="M19" s="60">
        <v>0</v>
      </c>
      <c r="N19" s="60">
        <v>0</v>
      </c>
      <c r="O19" s="59">
        <v>0</v>
      </c>
      <c r="P19" s="50">
        <f t="shared" si="4"/>
        <v>0</v>
      </c>
      <c r="R19" s="48">
        <f t="shared" si="5"/>
        <v>-1.5</v>
      </c>
      <c r="S19" s="67" t="e">
        <f t="shared" si="6"/>
        <v>#DIV/0!</v>
      </c>
      <c r="T19" s="66" t="e">
        <f t="shared" si="7"/>
        <v>#DIV/0!</v>
      </c>
      <c r="U19" s="65" t="e">
        <f t="shared" si="8"/>
        <v>#DIV/0!</v>
      </c>
      <c r="V19" s="66" t="e">
        <f t="shared" si="9"/>
        <v>#DIV/0!</v>
      </c>
      <c r="W19" s="66" t="e">
        <f t="shared" si="10"/>
        <v>#DIV/0!</v>
      </c>
      <c r="X19" s="66" t="e">
        <f t="shared" si="11"/>
        <v>#DIV/0!</v>
      </c>
      <c r="Y19" s="66" t="e">
        <f t="shared" si="12"/>
        <v>#DIV/0!</v>
      </c>
      <c r="Z19" s="65" t="e">
        <f t="shared" si="13"/>
        <v>#DIV/0!</v>
      </c>
      <c r="AA19" s="50" t="e">
        <f t="shared" si="14"/>
        <v>#DIV/0!</v>
      </c>
      <c r="AC19" s="48">
        <f t="shared" si="15"/>
        <v>-1.5</v>
      </c>
      <c r="AD19" s="67" t="e">
        <f t="shared" si="18"/>
        <v>#DIV/0!</v>
      </c>
      <c r="AE19" s="66" t="e">
        <f t="shared" si="19"/>
        <v>#DIV/0!</v>
      </c>
      <c r="AF19" s="65" t="e">
        <f t="shared" si="20"/>
        <v>#DIV/0!</v>
      </c>
      <c r="AG19" s="67" t="e">
        <f t="shared" si="21"/>
        <v>#DIV/0!</v>
      </c>
      <c r="AH19" s="66" t="e">
        <f t="shared" si="22"/>
        <v>#DIV/0!</v>
      </c>
      <c r="AI19" s="66">
        <v>0</v>
      </c>
      <c r="AJ19" s="66" t="e">
        <f t="shared" si="23"/>
        <v>#DIV/0!</v>
      </c>
      <c r="AK19" s="65" t="e">
        <f t="shared" si="24"/>
        <v>#DIV/0!</v>
      </c>
      <c r="AL19" s="64" t="e">
        <f t="shared" si="17"/>
        <v>#DIV/0!</v>
      </c>
    </row>
    <row r="20" spans="1:38" x14ac:dyDescent="0.35">
      <c r="A20" s="58" t="s">
        <v>57</v>
      </c>
      <c r="B20" s="57">
        <v>-1</v>
      </c>
      <c r="C20" s="62"/>
      <c r="D20" s="55" t="e">
        <f t="shared" si="2"/>
        <v>#DIV/0!</v>
      </c>
      <c r="E20" s="54" t="e">
        <f>SUM(D6:D20)</f>
        <v>#DIV/0!</v>
      </c>
      <c r="G20" s="48">
        <f t="shared" si="3"/>
        <v>-1</v>
      </c>
      <c r="H20" s="61">
        <v>0</v>
      </c>
      <c r="I20" s="60">
        <v>0</v>
      </c>
      <c r="J20" s="59">
        <v>0</v>
      </c>
      <c r="K20" s="60">
        <v>0</v>
      </c>
      <c r="L20" s="60">
        <v>0</v>
      </c>
      <c r="M20" s="60">
        <v>0</v>
      </c>
      <c r="N20" s="60">
        <v>0</v>
      </c>
      <c r="O20" s="59">
        <v>0</v>
      </c>
      <c r="P20" s="50">
        <f t="shared" si="4"/>
        <v>0</v>
      </c>
      <c r="R20" s="48">
        <f t="shared" si="5"/>
        <v>-1</v>
      </c>
      <c r="S20" s="67" t="e">
        <f t="shared" si="6"/>
        <v>#DIV/0!</v>
      </c>
      <c r="T20" s="66" t="e">
        <f t="shared" si="7"/>
        <v>#DIV/0!</v>
      </c>
      <c r="U20" s="65" t="e">
        <f t="shared" si="8"/>
        <v>#DIV/0!</v>
      </c>
      <c r="V20" s="66" t="e">
        <f t="shared" si="9"/>
        <v>#DIV/0!</v>
      </c>
      <c r="W20" s="66" t="e">
        <f t="shared" si="10"/>
        <v>#DIV/0!</v>
      </c>
      <c r="X20" s="66" t="e">
        <f t="shared" si="11"/>
        <v>#DIV/0!</v>
      </c>
      <c r="Y20" s="66" t="e">
        <f t="shared" si="12"/>
        <v>#DIV/0!</v>
      </c>
      <c r="Z20" s="65" t="e">
        <f t="shared" si="13"/>
        <v>#DIV/0!</v>
      </c>
      <c r="AA20" s="50" t="e">
        <f t="shared" si="14"/>
        <v>#DIV/0!</v>
      </c>
      <c r="AC20" s="48">
        <f t="shared" si="15"/>
        <v>-1</v>
      </c>
      <c r="AD20" s="67" t="e">
        <f t="shared" si="18"/>
        <v>#DIV/0!</v>
      </c>
      <c r="AE20" s="66" t="e">
        <f t="shared" si="19"/>
        <v>#DIV/0!</v>
      </c>
      <c r="AF20" s="65" t="e">
        <f t="shared" si="20"/>
        <v>#DIV/0!</v>
      </c>
      <c r="AG20" s="67" t="e">
        <f t="shared" si="21"/>
        <v>#DIV/0!</v>
      </c>
      <c r="AH20" s="66" t="e">
        <f t="shared" si="22"/>
        <v>#DIV/0!</v>
      </c>
      <c r="AI20" s="66">
        <v>0</v>
      </c>
      <c r="AJ20" s="66" t="e">
        <f t="shared" si="23"/>
        <v>#DIV/0!</v>
      </c>
      <c r="AK20" s="65" t="e">
        <f t="shared" si="24"/>
        <v>#DIV/0!</v>
      </c>
      <c r="AL20" s="64" t="e">
        <f t="shared" si="17"/>
        <v>#DIV/0!</v>
      </c>
    </row>
    <row r="21" spans="1:38" x14ac:dyDescent="0.35">
      <c r="A21" s="58" t="s">
        <v>56</v>
      </c>
      <c r="B21" s="57">
        <v>-0.5</v>
      </c>
      <c r="C21" s="62"/>
      <c r="D21" s="55" t="e">
        <f t="shared" si="2"/>
        <v>#DIV/0!</v>
      </c>
      <c r="E21" s="54" t="e">
        <f>SUM(D6:D21)</f>
        <v>#DIV/0!</v>
      </c>
      <c r="G21" s="70">
        <f t="shared" si="3"/>
        <v>-0.5</v>
      </c>
      <c r="H21" s="53">
        <v>0</v>
      </c>
      <c r="I21" s="52">
        <v>0</v>
      </c>
      <c r="J21" s="51">
        <v>0</v>
      </c>
      <c r="K21" s="52">
        <v>0</v>
      </c>
      <c r="L21" s="52">
        <v>0</v>
      </c>
      <c r="M21" s="52">
        <v>0</v>
      </c>
      <c r="N21" s="52">
        <v>0</v>
      </c>
      <c r="O21" s="51">
        <v>0</v>
      </c>
      <c r="P21" s="69">
        <f t="shared" si="4"/>
        <v>0</v>
      </c>
      <c r="Q21" s="68"/>
      <c r="R21" s="48">
        <f t="shared" si="5"/>
        <v>-0.5</v>
      </c>
      <c r="S21" s="67" t="e">
        <f t="shared" si="6"/>
        <v>#DIV/0!</v>
      </c>
      <c r="T21" s="66" t="e">
        <f t="shared" si="7"/>
        <v>#DIV/0!</v>
      </c>
      <c r="U21" s="65" t="e">
        <f t="shared" si="8"/>
        <v>#DIV/0!</v>
      </c>
      <c r="V21" s="66" t="e">
        <f t="shared" si="9"/>
        <v>#DIV/0!</v>
      </c>
      <c r="W21" s="66" t="e">
        <f t="shared" si="10"/>
        <v>#DIV/0!</v>
      </c>
      <c r="X21" s="66" t="e">
        <f t="shared" si="11"/>
        <v>#DIV/0!</v>
      </c>
      <c r="Y21" s="66" t="e">
        <f t="shared" si="12"/>
        <v>#DIV/0!</v>
      </c>
      <c r="Z21" s="65" t="e">
        <f t="shared" si="13"/>
        <v>#DIV/0!</v>
      </c>
      <c r="AA21" s="50" t="e">
        <f t="shared" si="14"/>
        <v>#DIV/0!</v>
      </c>
      <c r="AC21" s="48">
        <f t="shared" si="15"/>
        <v>-0.5</v>
      </c>
      <c r="AD21" s="67" t="e">
        <f t="shared" si="18"/>
        <v>#DIV/0!</v>
      </c>
      <c r="AE21" s="66" t="e">
        <f t="shared" si="19"/>
        <v>#DIV/0!</v>
      </c>
      <c r="AF21" s="65" t="e">
        <f t="shared" si="20"/>
        <v>#DIV/0!</v>
      </c>
      <c r="AG21" s="67" t="e">
        <f t="shared" si="21"/>
        <v>#DIV/0!</v>
      </c>
      <c r="AH21" s="66" t="e">
        <f t="shared" si="22"/>
        <v>#DIV/0!</v>
      </c>
      <c r="AI21" s="66">
        <v>0</v>
      </c>
      <c r="AJ21" s="66" t="e">
        <f t="shared" si="23"/>
        <v>#DIV/0!</v>
      </c>
      <c r="AK21" s="65" t="e">
        <f t="shared" si="24"/>
        <v>#DIV/0!</v>
      </c>
      <c r="AL21" s="64" t="e">
        <f t="shared" si="17"/>
        <v>#DIV/0!</v>
      </c>
    </row>
    <row r="22" spans="1:38" x14ac:dyDescent="0.35">
      <c r="A22" s="58" t="s">
        <v>55</v>
      </c>
      <c r="B22" s="57">
        <v>0</v>
      </c>
      <c r="C22" s="62"/>
      <c r="D22" s="55" t="e">
        <f t="shared" si="2"/>
        <v>#DIV/0!</v>
      </c>
      <c r="E22" s="54" t="e">
        <f>SUM(D6:D22)</f>
        <v>#DIV/0!</v>
      </c>
      <c r="G22" s="48">
        <f t="shared" si="3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4"/>
        <v>0</v>
      </c>
      <c r="R22" s="48">
        <f t="shared" si="5"/>
        <v>0</v>
      </c>
      <c r="S22" s="47" t="e">
        <f t="shared" si="6"/>
        <v>#DIV/0!</v>
      </c>
      <c r="T22" s="46" t="e">
        <f t="shared" si="7"/>
        <v>#DIV/0!</v>
      </c>
      <c r="U22" s="45" t="e">
        <f t="shared" si="8"/>
        <v>#DIV/0!</v>
      </c>
      <c r="V22" s="46" t="e">
        <f t="shared" si="9"/>
        <v>#DIV/0!</v>
      </c>
      <c r="W22" s="46" t="e">
        <f t="shared" si="10"/>
        <v>#DIV/0!</v>
      </c>
      <c r="X22" s="46" t="e">
        <f t="shared" si="11"/>
        <v>#DIV/0!</v>
      </c>
      <c r="Y22" s="46" t="e">
        <f t="shared" si="12"/>
        <v>#DIV/0!</v>
      </c>
      <c r="Z22" s="45" t="e">
        <f t="shared" si="13"/>
        <v>#DIV/0!</v>
      </c>
      <c r="AA22" s="49" t="e">
        <f t="shared" si="14"/>
        <v>#DIV/0!</v>
      </c>
      <c r="AC22" s="48">
        <f t="shared" si="15"/>
        <v>0</v>
      </c>
      <c r="AD22" s="47" t="e">
        <f t="shared" si="18"/>
        <v>#DIV/0!</v>
      </c>
      <c r="AE22" s="46" t="e">
        <f t="shared" si="19"/>
        <v>#DIV/0!</v>
      </c>
      <c r="AF22" s="45" t="e">
        <f t="shared" si="20"/>
        <v>#DIV/0!</v>
      </c>
      <c r="AG22" s="47" t="e">
        <f t="shared" si="21"/>
        <v>#DIV/0!</v>
      </c>
      <c r="AH22" s="46" t="e">
        <f t="shared" si="22"/>
        <v>#DIV/0!</v>
      </c>
      <c r="AI22" s="46" t="e">
        <f t="shared" ref="AI22:AI33" si="25">X22*100/(SUM($S22:$W22)+SUM($Y22:$Z22))</f>
        <v>#DIV/0!</v>
      </c>
      <c r="AJ22" s="46" t="e">
        <f t="shared" si="23"/>
        <v>#DIV/0!</v>
      </c>
      <c r="AK22" s="45" t="e">
        <f t="shared" si="24"/>
        <v>#DIV/0!</v>
      </c>
      <c r="AL22" s="44" t="e">
        <f t="shared" si="17"/>
        <v>#DIV/0!</v>
      </c>
    </row>
    <row r="23" spans="1:38" x14ac:dyDescent="0.35">
      <c r="A23" s="58" t="s">
        <v>54</v>
      </c>
      <c r="B23" s="57">
        <v>0.5</v>
      </c>
      <c r="C23" s="62"/>
      <c r="D23" s="55" t="e">
        <f t="shared" si="2"/>
        <v>#DIV/0!</v>
      </c>
      <c r="E23" s="54" t="e">
        <f>SUM(D6:D23)</f>
        <v>#DIV/0!</v>
      </c>
      <c r="G23" s="48">
        <f t="shared" si="3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4"/>
        <v>0</v>
      </c>
      <c r="R23" s="48">
        <f t="shared" si="5"/>
        <v>0.5</v>
      </c>
      <c r="S23" s="47" t="e">
        <f t="shared" si="6"/>
        <v>#DIV/0!</v>
      </c>
      <c r="T23" s="46" t="e">
        <f t="shared" si="7"/>
        <v>#DIV/0!</v>
      </c>
      <c r="U23" s="45" t="e">
        <f t="shared" si="8"/>
        <v>#DIV/0!</v>
      </c>
      <c r="V23" s="46" t="e">
        <f t="shared" si="9"/>
        <v>#DIV/0!</v>
      </c>
      <c r="W23" s="46" t="e">
        <f t="shared" si="10"/>
        <v>#DIV/0!</v>
      </c>
      <c r="X23" s="46" t="e">
        <f t="shared" si="11"/>
        <v>#DIV/0!</v>
      </c>
      <c r="Y23" s="46" t="e">
        <f t="shared" si="12"/>
        <v>#DIV/0!</v>
      </c>
      <c r="Z23" s="45" t="e">
        <f t="shared" si="13"/>
        <v>#DIV/0!</v>
      </c>
      <c r="AA23" s="49" t="e">
        <f t="shared" si="14"/>
        <v>#DIV/0!</v>
      </c>
      <c r="AC23" s="48">
        <f t="shared" si="15"/>
        <v>0.5</v>
      </c>
      <c r="AD23" s="47" t="e">
        <f t="shared" si="18"/>
        <v>#DIV/0!</v>
      </c>
      <c r="AE23" s="46" t="e">
        <f t="shared" si="19"/>
        <v>#DIV/0!</v>
      </c>
      <c r="AF23" s="45" t="e">
        <f t="shared" si="20"/>
        <v>#DIV/0!</v>
      </c>
      <c r="AG23" s="47" t="e">
        <f t="shared" si="21"/>
        <v>#DIV/0!</v>
      </c>
      <c r="AH23" s="46" t="e">
        <f t="shared" si="22"/>
        <v>#DIV/0!</v>
      </c>
      <c r="AI23" s="46" t="e">
        <f t="shared" si="25"/>
        <v>#DIV/0!</v>
      </c>
      <c r="AJ23" s="46" t="e">
        <f t="shared" si="23"/>
        <v>#DIV/0!</v>
      </c>
      <c r="AK23" s="45" t="e">
        <f t="shared" si="24"/>
        <v>#DIV/0!</v>
      </c>
      <c r="AL23" s="44" t="e">
        <f t="shared" si="17"/>
        <v>#DIV/0!</v>
      </c>
    </row>
    <row r="24" spans="1:38" x14ac:dyDescent="0.35">
      <c r="A24" s="58" t="s">
        <v>53</v>
      </c>
      <c r="B24" s="57">
        <v>1</v>
      </c>
      <c r="C24" s="63"/>
      <c r="D24" s="55" t="e">
        <f t="shared" si="2"/>
        <v>#DIV/0!</v>
      </c>
      <c r="E24" s="54" t="e">
        <f>SUM(D6:D24)</f>
        <v>#DIV/0!</v>
      </c>
      <c r="G24" s="48">
        <f t="shared" si="3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4"/>
        <v>0</v>
      </c>
      <c r="R24" s="48">
        <f t="shared" si="5"/>
        <v>1</v>
      </c>
      <c r="S24" s="47" t="e">
        <f t="shared" si="6"/>
        <v>#DIV/0!</v>
      </c>
      <c r="T24" s="46" t="e">
        <f t="shared" si="7"/>
        <v>#DIV/0!</v>
      </c>
      <c r="U24" s="45" t="e">
        <f t="shared" si="8"/>
        <v>#DIV/0!</v>
      </c>
      <c r="V24" s="46" t="e">
        <f t="shared" si="9"/>
        <v>#DIV/0!</v>
      </c>
      <c r="W24" s="46" t="e">
        <f t="shared" si="10"/>
        <v>#DIV/0!</v>
      </c>
      <c r="X24" s="46" t="e">
        <f t="shared" si="11"/>
        <v>#DIV/0!</v>
      </c>
      <c r="Y24" s="46" t="e">
        <f t="shared" si="12"/>
        <v>#DIV/0!</v>
      </c>
      <c r="Z24" s="45" t="e">
        <f t="shared" si="13"/>
        <v>#DIV/0!</v>
      </c>
      <c r="AA24" s="49" t="e">
        <f t="shared" si="14"/>
        <v>#DIV/0!</v>
      </c>
      <c r="AC24" s="48">
        <f t="shared" si="15"/>
        <v>1</v>
      </c>
      <c r="AD24" s="47" t="e">
        <f t="shared" si="18"/>
        <v>#DIV/0!</v>
      </c>
      <c r="AE24" s="46" t="e">
        <f t="shared" si="19"/>
        <v>#DIV/0!</v>
      </c>
      <c r="AF24" s="45" t="e">
        <f t="shared" si="20"/>
        <v>#DIV/0!</v>
      </c>
      <c r="AG24" s="47" t="e">
        <f t="shared" si="21"/>
        <v>#DIV/0!</v>
      </c>
      <c r="AH24" s="46" t="e">
        <f t="shared" si="22"/>
        <v>#DIV/0!</v>
      </c>
      <c r="AI24" s="46" t="e">
        <f t="shared" si="25"/>
        <v>#DIV/0!</v>
      </c>
      <c r="AJ24" s="46" t="e">
        <f t="shared" si="23"/>
        <v>#DIV/0!</v>
      </c>
      <c r="AK24" s="45" t="e">
        <f t="shared" si="24"/>
        <v>#DIV/0!</v>
      </c>
      <c r="AL24" s="44" t="e">
        <f t="shared" si="17"/>
        <v>#DIV/0!</v>
      </c>
    </row>
    <row r="25" spans="1:38" x14ac:dyDescent="0.35">
      <c r="A25" s="58" t="s">
        <v>52</v>
      </c>
      <c r="B25" s="57">
        <v>1.5</v>
      </c>
      <c r="C25" s="62"/>
      <c r="D25" s="55" t="e">
        <f t="shared" si="2"/>
        <v>#DIV/0!</v>
      </c>
      <c r="E25" s="54" t="e">
        <f>SUM(D6:D25)</f>
        <v>#DIV/0!</v>
      </c>
      <c r="G25" s="48">
        <f t="shared" si="3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4"/>
        <v>0</v>
      </c>
      <c r="R25" s="48">
        <f t="shared" si="5"/>
        <v>1.5</v>
      </c>
      <c r="S25" s="47" t="e">
        <f t="shared" si="6"/>
        <v>#DIV/0!</v>
      </c>
      <c r="T25" s="46" t="e">
        <f t="shared" si="7"/>
        <v>#DIV/0!</v>
      </c>
      <c r="U25" s="45" t="e">
        <f t="shared" si="8"/>
        <v>#DIV/0!</v>
      </c>
      <c r="V25" s="46" t="e">
        <f t="shared" si="9"/>
        <v>#DIV/0!</v>
      </c>
      <c r="W25" s="46" t="e">
        <f t="shared" si="10"/>
        <v>#DIV/0!</v>
      </c>
      <c r="X25" s="46" t="e">
        <f t="shared" si="11"/>
        <v>#DIV/0!</v>
      </c>
      <c r="Y25" s="46" t="e">
        <f t="shared" si="12"/>
        <v>#DIV/0!</v>
      </c>
      <c r="Z25" s="45" t="e">
        <f t="shared" si="13"/>
        <v>#DIV/0!</v>
      </c>
      <c r="AA25" s="49" t="e">
        <f t="shared" si="14"/>
        <v>#DIV/0!</v>
      </c>
      <c r="AC25" s="48">
        <f t="shared" si="15"/>
        <v>1.5</v>
      </c>
      <c r="AD25" s="47" t="e">
        <f t="shared" si="18"/>
        <v>#DIV/0!</v>
      </c>
      <c r="AE25" s="46" t="e">
        <f t="shared" si="19"/>
        <v>#DIV/0!</v>
      </c>
      <c r="AF25" s="45" t="e">
        <f t="shared" si="20"/>
        <v>#DIV/0!</v>
      </c>
      <c r="AG25" s="47" t="e">
        <f t="shared" si="21"/>
        <v>#DIV/0!</v>
      </c>
      <c r="AH25" s="46" t="e">
        <f t="shared" si="22"/>
        <v>#DIV/0!</v>
      </c>
      <c r="AI25" s="46" t="e">
        <f t="shared" si="25"/>
        <v>#DIV/0!</v>
      </c>
      <c r="AJ25" s="46" t="e">
        <f t="shared" si="23"/>
        <v>#DIV/0!</v>
      </c>
      <c r="AK25" s="45" t="e">
        <f t="shared" si="24"/>
        <v>#DIV/0!</v>
      </c>
      <c r="AL25" s="44" t="e">
        <f t="shared" si="17"/>
        <v>#DIV/0!</v>
      </c>
    </row>
    <row r="26" spans="1:38" x14ac:dyDescent="0.35">
      <c r="A26" s="58" t="s">
        <v>51</v>
      </c>
      <c r="B26" s="57">
        <v>2</v>
      </c>
      <c r="C26" s="62"/>
      <c r="D26" s="55" t="e">
        <f t="shared" si="2"/>
        <v>#DIV/0!</v>
      </c>
      <c r="E26" s="54" t="e">
        <f>SUM(D6:D26)</f>
        <v>#DIV/0!</v>
      </c>
      <c r="G26" s="48">
        <f t="shared" si="3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4"/>
        <v>0</v>
      </c>
      <c r="R26" s="48">
        <f t="shared" si="5"/>
        <v>2</v>
      </c>
      <c r="S26" s="47" t="e">
        <f t="shared" si="6"/>
        <v>#DIV/0!</v>
      </c>
      <c r="T26" s="46" t="e">
        <f t="shared" si="7"/>
        <v>#DIV/0!</v>
      </c>
      <c r="U26" s="45" t="e">
        <f t="shared" si="8"/>
        <v>#DIV/0!</v>
      </c>
      <c r="V26" s="46" t="e">
        <f t="shared" si="9"/>
        <v>#DIV/0!</v>
      </c>
      <c r="W26" s="46" t="e">
        <f t="shared" si="10"/>
        <v>#DIV/0!</v>
      </c>
      <c r="X26" s="46" t="e">
        <f t="shared" si="11"/>
        <v>#DIV/0!</v>
      </c>
      <c r="Y26" s="46" t="e">
        <f t="shared" si="12"/>
        <v>#DIV/0!</v>
      </c>
      <c r="Z26" s="45" t="e">
        <f t="shared" si="13"/>
        <v>#DIV/0!</v>
      </c>
      <c r="AA26" s="49" t="e">
        <f t="shared" si="14"/>
        <v>#DIV/0!</v>
      </c>
      <c r="AC26" s="48">
        <f t="shared" si="15"/>
        <v>2</v>
      </c>
      <c r="AD26" s="47" t="e">
        <f t="shared" si="18"/>
        <v>#DIV/0!</v>
      </c>
      <c r="AE26" s="46" t="e">
        <f t="shared" si="19"/>
        <v>#DIV/0!</v>
      </c>
      <c r="AF26" s="45" t="e">
        <f t="shared" si="20"/>
        <v>#DIV/0!</v>
      </c>
      <c r="AG26" s="47" t="e">
        <f t="shared" si="21"/>
        <v>#DIV/0!</v>
      </c>
      <c r="AH26" s="46" t="e">
        <f t="shared" si="22"/>
        <v>#DIV/0!</v>
      </c>
      <c r="AI26" s="46" t="e">
        <f t="shared" si="25"/>
        <v>#DIV/0!</v>
      </c>
      <c r="AJ26" s="46" t="e">
        <f t="shared" si="23"/>
        <v>#DIV/0!</v>
      </c>
      <c r="AK26" s="45" t="e">
        <f t="shared" si="24"/>
        <v>#DIV/0!</v>
      </c>
      <c r="AL26" s="44" t="e">
        <f t="shared" si="17"/>
        <v>#DIV/0!</v>
      </c>
    </row>
    <row r="27" spans="1:38" x14ac:dyDescent="0.35">
      <c r="A27" s="58" t="s">
        <v>50</v>
      </c>
      <c r="B27" s="57">
        <v>2.5</v>
      </c>
      <c r="C27" s="62"/>
      <c r="D27" s="55" t="e">
        <f t="shared" si="2"/>
        <v>#DIV/0!</v>
      </c>
      <c r="E27" s="54" t="e">
        <f>SUM(D7:D27)</f>
        <v>#DIV/0!</v>
      </c>
      <c r="G27" s="48">
        <f t="shared" si="3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4"/>
        <v>0</v>
      </c>
      <c r="R27" s="48">
        <f t="shared" si="5"/>
        <v>2.5</v>
      </c>
      <c r="S27" s="47" t="e">
        <f t="shared" si="6"/>
        <v>#DIV/0!</v>
      </c>
      <c r="T27" s="46" t="e">
        <f t="shared" si="7"/>
        <v>#DIV/0!</v>
      </c>
      <c r="U27" s="45" t="e">
        <f t="shared" si="8"/>
        <v>#DIV/0!</v>
      </c>
      <c r="V27" s="46" t="e">
        <f t="shared" si="9"/>
        <v>#DIV/0!</v>
      </c>
      <c r="W27" s="46" t="e">
        <f t="shared" si="10"/>
        <v>#DIV/0!</v>
      </c>
      <c r="X27" s="46" t="e">
        <f t="shared" si="11"/>
        <v>#DIV/0!</v>
      </c>
      <c r="Y27" s="46" t="e">
        <f t="shared" si="12"/>
        <v>#DIV/0!</v>
      </c>
      <c r="Z27" s="45" t="e">
        <f t="shared" si="13"/>
        <v>#DIV/0!</v>
      </c>
      <c r="AA27" s="49" t="e">
        <f t="shared" si="14"/>
        <v>#DIV/0!</v>
      </c>
      <c r="AC27" s="48">
        <f t="shared" si="15"/>
        <v>2.5</v>
      </c>
      <c r="AD27" s="47" t="e">
        <f t="shared" si="18"/>
        <v>#DIV/0!</v>
      </c>
      <c r="AE27" s="46" t="e">
        <f t="shared" si="19"/>
        <v>#DIV/0!</v>
      </c>
      <c r="AF27" s="45" t="e">
        <f t="shared" si="20"/>
        <v>#DIV/0!</v>
      </c>
      <c r="AG27" s="47" t="e">
        <f t="shared" si="21"/>
        <v>#DIV/0!</v>
      </c>
      <c r="AH27" s="46" t="e">
        <f t="shared" si="22"/>
        <v>#DIV/0!</v>
      </c>
      <c r="AI27" s="46" t="e">
        <f t="shared" si="25"/>
        <v>#DIV/0!</v>
      </c>
      <c r="AJ27" s="46" t="e">
        <f t="shared" si="23"/>
        <v>#DIV/0!</v>
      </c>
      <c r="AK27" s="45" t="e">
        <f t="shared" si="24"/>
        <v>#DIV/0!</v>
      </c>
      <c r="AL27" s="44" t="e">
        <f t="shared" si="17"/>
        <v>#DIV/0!</v>
      </c>
    </row>
    <row r="28" spans="1:38" x14ac:dyDescent="0.35">
      <c r="A28" s="58" t="s">
        <v>49</v>
      </c>
      <c r="B28" s="57">
        <v>3</v>
      </c>
      <c r="C28" s="56"/>
      <c r="D28" s="55" t="e">
        <f t="shared" si="2"/>
        <v>#DIV/0!</v>
      </c>
      <c r="E28" s="54" t="e">
        <f>SUM(D7:D28)</f>
        <v>#DIV/0!</v>
      </c>
      <c r="G28" s="48">
        <f t="shared" si="3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4"/>
        <v>0</v>
      </c>
      <c r="R28" s="48">
        <f t="shared" si="5"/>
        <v>3</v>
      </c>
      <c r="S28" s="47" t="e">
        <f t="shared" si="6"/>
        <v>#DIV/0!</v>
      </c>
      <c r="T28" s="46" t="e">
        <f t="shared" si="7"/>
        <v>#DIV/0!</v>
      </c>
      <c r="U28" s="45" t="e">
        <f t="shared" si="8"/>
        <v>#DIV/0!</v>
      </c>
      <c r="V28" s="46" t="e">
        <f t="shared" si="9"/>
        <v>#DIV/0!</v>
      </c>
      <c r="W28" s="46" t="e">
        <f t="shared" si="10"/>
        <v>#DIV/0!</v>
      </c>
      <c r="X28" s="46" t="e">
        <f t="shared" si="11"/>
        <v>#DIV/0!</v>
      </c>
      <c r="Y28" s="46" t="e">
        <f t="shared" si="12"/>
        <v>#DIV/0!</v>
      </c>
      <c r="Z28" s="45" t="e">
        <f t="shared" si="13"/>
        <v>#DIV/0!</v>
      </c>
      <c r="AA28" s="49" t="e">
        <f t="shared" si="14"/>
        <v>#DIV/0!</v>
      </c>
      <c r="AC28" s="48">
        <f t="shared" si="15"/>
        <v>3</v>
      </c>
      <c r="AD28" s="47" t="e">
        <f t="shared" si="18"/>
        <v>#DIV/0!</v>
      </c>
      <c r="AE28" s="46" t="e">
        <f t="shared" si="19"/>
        <v>#DIV/0!</v>
      </c>
      <c r="AF28" s="45" t="e">
        <f t="shared" si="20"/>
        <v>#DIV/0!</v>
      </c>
      <c r="AG28" s="47" t="e">
        <f t="shared" si="21"/>
        <v>#DIV/0!</v>
      </c>
      <c r="AH28" s="46" t="e">
        <f t="shared" si="22"/>
        <v>#DIV/0!</v>
      </c>
      <c r="AI28" s="46" t="e">
        <f t="shared" si="25"/>
        <v>#DIV/0!</v>
      </c>
      <c r="AJ28" s="46" t="e">
        <f t="shared" si="23"/>
        <v>#DIV/0!</v>
      </c>
      <c r="AK28" s="45" t="e">
        <f t="shared" si="24"/>
        <v>#DIV/0!</v>
      </c>
      <c r="AL28" s="44" t="e">
        <f t="shared" si="17"/>
        <v>#DIV/0!</v>
      </c>
    </row>
    <row r="29" spans="1:38" x14ac:dyDescent="0.35">
      <c r="A29" s="58" t="s">
        <v>48</v>
      </c>
      <c r="B29" s="57">
        <v>3.5</v>
      </c>
      <c r="C29" s="56"/>
      <c r="D29" s="55" t="e">
        <f t="shared" si="2"/>
        <v>#DIV/0!</v>
      </c>
      <c r="E29" s="54" t="e">
        <f>SUM(D7:D29)</f>
        <v>#DIV/0!</v>
      </c>
      <c r="G29" s="48">
        <f t="shared" si="3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59">
        <v>0</v>
      </c>
      <c r="P29" s="50">
        <f t="shared" si="4"/>
        <v>0</v>
      </c>
      <c r="R29" s="48">
        <f t="shared" si="5"/>
        <v>3.5</v>
      </c>
      <c r="S29" s="47" t="e">
        <f t="shared" si="6"/>
        <v>#DIV/0!</v>
      </c>
      <c r="T29" s="46" t="e">
        <f t="shared" si="7"/>
        <v>#DIV/0!</v>
      </c>
      <c r="U29" s="45" t="e">
        <f t="shared" si="8"/>
        <v>#DIV/0!</v>
      </c>
      <c r="V29" s="46" t="e">
        <f t="shared" si="9"/>
        <v>#DIV/0!</v>
      </c>
      <c r="W29" s="46" t="e">
        <f t="shared" si="10"/>
        <v>#DIV/0!</v>
      </c>
      <c r="X29" s="46" t="e">
        <f t="shared" si="11"/>
        <v>#DIV/0!</v>
      </c>
      <c r="Y29" s="46" t="e">
        <f t="shared" si="12"/>
        <v>#DIV/0!</v>
      </c>
      <c r="Z29" s="45" t="e">
        <f t="shared" si="13"/>
        <v>#DIV/0!</v>
      </c>
      <c r="AA29" s="49" t="e">
        <f t="shared" si="14"/>
        <v>#DIV/0!</v>
      </c>
      <c r="AC29" s="48">
        <f t="shared" si="15"/>
        <v>3.5</v>
      </c>
      <c r="AD29" s="47" t="e">
        <f t="shared" si="18"/>
        <v>#DIV/0!</v>
      </c>
      <c r="AE29" s="46" t="e">
        <f t="shared" si="19"/>
        <v>#DIV/0!</v>
      </c>
      <c r="AF29" s="45" t="e">
        <f t="shared" si="20"/>
        <v>#DIV/0!</v>
      </c>
      <c r="AG29" s="47" t="e">
        <f t="shared" si="21"/>
        <v>#DIV/0!</v>
      </c>
      <c r="AH29" s="46" t="e">
        <f t="shared" si="22"/>
        <v>#DIV/0!</v>
      </c>
      <c r="AI29" s="46" t="e">
        <f t="shared" si="25"/>
        <v>#DIV/0!</v>
      </c>
      <c r="AJ29" s="46" t="e">
        <f t="shared" si="23"/>
        <v>#DIV/0!</v>
      </c>
      <c r="AK29" s="45" t="e">
        <f t="shared" si="24"/>
        <v>#DIV/0!</v>
      </c>
      <c r="AL29" s="44" t="e">
        <f t="shared" si="17"/>
        <v>#DIV/0!</v>
      </c>
    </row>
    <row r="30" spans="1:38" x14ac:dyDescent="0.35">
      <c r="A30" s="58" t="s">
        <v>47</v>
      </c>
      <c r="B30" s="57">
        <v>4</v>
      </c>
      <c r="C30" s="56"/>
      <c r="D30" s="55" t="e">
        <f t="shared" si="2"/>
        <v>#DIV/0!</v>
      </c>
      <c r="E30" s="54" t="e">
        <f>SUM(D7:D30)</f>
        <v>#DIV/0!</v>
      </c>
      <c r="G30" s="48">
        <f t="shared" si="3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59">
        <v>0</v>
      </c>
      <c r="P30" s="50">
        <f t="shared" si="4"/>
        <v>0</v>
      </c>
      <c r="R30" s="48">
        <f t="shared" si="5"/>
        <v>4</v>
      </c>
      <c r="S30" s="47" t="e">
        <f t="shared" si="6"/>
        <v>#DIV/0!</v>
      </c>
      <c r="T30" s="46" t="e">
        <f t="shared" si="7"/>
        <v>#DIV/0!</v>
      </c>
      <c r="U30" s="45" t="e">
        <f t="shared" si="8"/>
        <v>#DIV/0!</v>
      </c>
      <c r="V30" s="46" t="e">
        <f t="shared" si="9"/>
        <v>#DIV/0!</v>
      </c>
      <c r="W30" s="46" t="e">
        <f t="shared" si="10"/>
        <v>#DIV/0!</v>
      </c>
      <c r="X30" s="46" t="e">
        <f t="shared" si="11"/>
        <v>#DIV/0!</v>
      </c>
      <c r="Y30" s="46" t="e">
        <f t="shared" si="12"/>
        <v>#DIV/0!</v>
      </c>
      <c r="Z30" s="45" t="e">
        <f t="shared" si="13"/>
        <v>#DIV/0!</v>
      </c>
      <c r="AA30" s="49" t="e">
        <f t="shared" si="14"/>
        <v>#DIV/0!</v>
      </c>
      <c r="AC30" s="48">
        <f t="shared" si="15"/>
        <v>4</v>
      </c>
      <c r="AD30" s="47" t="e">
        <f t="shared" si="18"/>
        <v>#DIV/0!</v>
      </c>
      <c r="AE30" s="46" t="e">
        <f t="shared" si="19"/>
        <v>#DIV/0!</v>
      </c>
      <c r="AF30" s="45" t="e">
        <f t="shared" si="20"/>
        <v>#DIV/0!</v>
      </c>
      <c r="AG30" s="47" t="e">
        <f t="shared" si="21"/>
        <v>#DIV/0!</v>
      </c>
      <c r="AH30" s="46" t="e">
        <f t="shared" si="22"/>
        <v>#DIV/0!</v>
      </c>
      <c r="AI30" s="46" t="e">
        <f t="shared" si="25"/>
        <v>#DIV/0!</v>
      </c>
      <c r="AJ30" s="46" t="e">
        <f t="shared" si="23"/>
        <v>#DIV/0!</v>
      </c>
      <c r="AK30" s="45" t="e">
        <f t="shared" si="24"/>
        <v>#DIV/0!</v>
      </c>
      <c r="AL30" s="44" t="e">
        <f t="shared" si="17"/>
        <v>#DIV/0!</v>
      </c>
    </row>
    <row r="31" spans="1:38" x14ac:dyDescent="0.35">
      <c r="A31" s="58" t="s">
        <v>46</v>
      </c>
      <c r="B31" s="57">
        <v>4.5</v>
      </c>
      <c r="C31" s="56"/>
      <c r="D31" s="55" t="e">
        <f t="shared" si="2"/>
        <v>#DIV/0!</v>
      </c>
      <c r="E31" s="54" t="e">
        <f>SUM(D7:D31)</f>
        <v>#DIV/0!</v>
      </c>
      <c r="G31" s="48">
        <f t="shared" si="3"/>
        <v>4.5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59">
        <v>0</v>
      </c>
      <c r="P31" s="50">
        <f t="shared" si="4"/>
        <v>0</v>
      </c>
      <c r="R31" s="48">
        <f t="shared" si="5"/>
        <v>4.5</v>
      </c>
      <c r="S31" s="47" t="e">
        <f t="shared" si="6"/>
        <v>#DIV/0!</v>
      </c>
      <c r="T31" s="46" t="e">
        <f t="shared" si="7"/>
        <v>#DIV/0!</v>
      </c>
      <c r="U31" s="45" t="e">
        <f t="shared" si="8"/>
        <v>#DIV/0!</v>
      </c>
      <c r="V31" s="46" t="e">
        <f t="shared" si="9"/>
        <v>#DIV/0!</v>
      </c>
      <c r="W31" s="46" t="e">
        <f t="shared" si="10"/>
        <v>#DIV/0!</v>
      </c>
      <c r="X31" s="46" t="e">
        <f t="shared" si="11"/>
        <v>#DIV/0!</v>
      </c>
      <c r="Y31" s="46" t="e">
        <f t="shared" si="12"/>
        <v>#DIV/0!</v>
      </c>
      <c r="Z31" s="45" t="e">
        <f t="shared" si="13"/>
        <v>#DIV/0!</v>
      </c>
      <c r="AA31" s="49" t="e">
        <f t="shared" si="14"/>
        <v>#DIV/0!</v>
      </c>
      <c r="AC31" s="48">
        <f t="shared" si="15"/>
        <v>4.5</v>
      </c>
      <c r="AD31" s="47" t="e">
        <f t="shared" si="18"/>
        <v>#DIV/0!</v>
      </c>
      <c r="AE31" s="46" t="e">
        <f t="shared" si="19"/>
        <v>#DIV/0!</v>
      </c>
      <c r="AF31" s="45" t="e">
        <f t="shared" si="20"/>
        <v>#DIV/0!</v>
      </c>
      <c r="AG31" s="47" t="e">
        <f t="shared" si="21"/>
        <v>#DIV/0!</v>
      </c>
      <c r="AH31" s="46" t="e">
        <f t="shared" si="22"/>
        <v>#DIV/0!</v>
      </c>
      <c r="AI31" s="46" t="e">
        <f t="shared" si="25"/>
        <v>#DIV/0!</v>
      </c>
      <c r="AJ31" s="46" t="e">
        <f t="shared" si="23"/>
        <v>#DIV/0!</v>
      </c>
      <c r="AK31" s="45" t="e">
        <f t="shared" si="24"/>
        <v>#DIV/0!</v>
      </c>
      <c r="AL31" s="44" t="e">
        <f t="shared" si="17"/>
        <v>#DIV/0!</v>
      </c>
    </row>
    <row r="32" spans="1:38" x14ac:dyDescent="0.35">
      <c r="A32" s="58" t="s">
        <v>45</v>
      </c>
      <c r="B32" s="57">
        <v>5</v>
      </c>
      <c r="C32" s="56"/>
      <c r="D32" s="55" t="e">
        <f t="shared" si="2"/>
        <v>#DIV/0!</v>
      </c>
      <c r="E32" s="54" t="e">
        <f>SUM(D7:D32)</f>
        <v>#DIV/0!</v>
      </c>
      <c r="G32" s="48">
        <f t="shared" si="3"/>
        <v>5</v>
      </c>
      <c r="H32" s="53">
        <v>0</v>
      </c>
      <c r="I32" s="52">
        <v>0</v>
      </c>
      <c r="J32" s="51">
        <v>0</v>
      </c>
      <c r="K32" s="52">
        <v>0</v>
      </c>
      <c r="L32" s="52">
        <v>0</v>
      </c>
      <c r="M32" s="52">
        <v>0</v>
      </c>
      <c r="N32" s="52">
        <v>0</v>
      </c>
      <c r="O32" s="51">
        <v>0</v>
      </c>
      <c r="P32" s="50">
        <f t="shared" si="4"/>
        <v>0</v>
      </c>
      <c r="R32" s="48">
        <f t="shared" si="5"/>
        <v>5</v>
      </c>
      <c r="S32" s="47" t="e">
        <f t="shared" si="6"/>
        <v>#DIV/0!</v>
      </c>
      <c r="T32" s="46" t="e">
        <f t="shared" si="7"/>
        <v>#DIV/0!</v>
      </c>
      <c r="U32" s="45" t="e">
        <f t="shared" si="8"/>
        <v>#DIV/0!</v>
      </c>
      <c r="V32" s="46" t="e">
        <f t="shared" si="9"/>
        <v>#DIV/0!</v>
      </c>
      <c r="W32" s="46" t="e">
        <f t="shared" si="10"/>
        <v>#DIV/0!</v>
      </c>
      <c r="X32" s="46" t="e">
        <f t="shared" si="11"/>
        <v>#DIV/0!</v>
      </c>
      <c r="Y32" s="46" t="e">
        <f t="shared" si="12"/>
        <v>#DIV/0!</v>
      </c>
      <c r="Z32" s="45" t="e">
        <f t="shared" si="13"/>
        <v>#DIV/0!</v>
      </c>
      <c r="AA32" s="49" t="e">
        <f t="shared" si="14"/>
        <v>#DIV/0!</v>
      </c>
      <c r="AC32" s="48">
        <f t="shared" si="15"/>
        <v>5</v>
      </c>
      <c r="AD32" s="47" t="e">
        <f t="shared" si="18"/>
        <v>#DIV/0!</v>
      </c>
      <c r="AE32" s="46" t="e">
        <f t="shared" si="19"/>
        <v>#DIV/0!</v>
      </c>
      <c r="AF32" s="45" t="e">
        <f t="shared" si="20"/>
        <v>#DIV/0!</v>
      </c>
      <c r="AG32" s="47" t="e">
        <f t="shared" si="21"/>
        <v>#DIV/0!</v>
      </c>
      <c r="AH32" s="46" t="e">
        <f t="shared" si="22"/>
        <v>#DIV/0!</v>
      </c>
      <c r="AI32" s="46" t="e">
        <f t="shared" si="25"/>
        <v>#DIV/0!</v>
      </c>
      <c r="AJ32" s="46" t="e">
        <f t="shared" si="23"/>
        <v>#DIV/0!</v>
      </c>
      <c r="AK32" s="45" t="e">
        <f t="shared" si="24"/>
        <v>#DIV/0!</v>
      </c>
      <c r="AL32" s="44" t="e">
        <f t="shared" si="17"/>
        <v>#DIV/0!</v>
      </c>
    </row>
    <row r="33" spans="1:38" ht="15" thickBot="1" x14ac:dyDescent="0.4">
      <c r="A33" s="43" t="s">
        <v>44</v>
      </c>
      <c r="B33" s="42" t="s">
        <v>43</v>
      </c>
      <c r="C33" s="41"/>
      <c r="D33" s="40" t="e">
        <f t="shared" si="2"/>
        <v>#DIV/0!</v>
      </c>
      <c r="E33" s="39" t="e">
        <f>SUM(D7:D33)</f>
        <v>#DIV/0!</v>
      </c>
      <c r="G33" s="33" t="str">
        <f t="shared" si="3"/>
        <v>&gt;6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4"/>
        <v>0</v>
      </c>
      <c r="R33" s="33" t="str">
        <f t="shared" si="5"/>
        <v>&gt;6</v>
      </c>
      <c r="S33" s="32" t="e">
        <f t="shared" si="6"/>
        <v>#DIV/0!</v>
      </c>
      <c r="T33" s="31" t="e">
        <f t="shared" si="7"/>
        <v>#DIV/0!</v>
      </c>
      <c r="U33" s="30" t="e">
        <f t="shared" si="8"/>
        <v>#DIV/0!</v>
      </c>
      <c r="V33" s="31" t="e">
        <f t="shared" si="9"/>
        <v>#DIV/0!</v>
      </c>
      <c r="W33" s="31" t="e">
        <f t="shared" si="10"/>
        <v>#DIV/0!</v>
      </c>
      <c r="X33" s="31" t="e">
        <f t="shared" si="11"/>
        <v>#DIV/0!</v>
      </c>
      <c r="Y33" s="31" t="e">
        <f t="shared" si="12"/>
        <v>#DIV/0!</v>
      </c>
      <c r="Z33" s="30" t="e">
        <f t="shared" si="13"/>
        <v>#DIV/0!</v>
      </c>
      <c r="AA33" s="34" t="e">
        <f t="shared" si="14"/>
        <v>#DIV/0!</v>
      </c>
      <c r="AC33" s="33" t="str">
        <f t="shared" si="15"/>
        <v>&gt;6</v>
      </c>
      <c r="AD33" s="32" t="e">
        <f t="shared" si="18"/>
        <v>#DIV/0!</v>
      </c>
      <c r="AE33" s="31" t="e">
        <f t="shared" si="19"/>
        <v>#DIV/0!</v>
      </c>
      <c r="AF33" s="30" t="e">
        <f t="shared" si="20"/>
        <v>#DIV/0!</v>
      </c>
      <c r="AG33" s="32" t="e">
        <f t="shared" si="21"/>
        <v>#DIV/0!</v>
      </c>
      <c r="AH33" s="31" t="e">
        <f t="shared" si="22"/>
        <v>#DIV/0!</v>
      </c>
      <c r="AI33" s="31" t="e">
        <f t="shared" si="25"/>
        <v>#DIV/0!</v>
      </c>
      <c r="AJ33" s="31" t="e">
        <f t="shared" si="23"/>
        <v>#DIV/0!</v>
      </c>
      <c r="AK33" s="30" t="e">
        <f t="shared" si="24"/>
        <v>#DIV/0!</v>
      </c>
      <c r="AL33" s="29" t="e">
        <f t="shared" si="17"/>
        <v>#DIV/0!</v>
      </c>
    </row>
    <row r="34" spans="1:38" x14ac:dyDescent="0.35">
      <c r="G34" t="s">
        <v>114</v>
      </c>
      <c r="H34">
        <f>SUM(H7:H33)</f>
        <v>0</v>
      </c>
      <c r="I34">
        <f t="shared" ref="I34:O34" si="26">SUM(I7:I33)</f>
        <v>0</v>
      </c>
      <c r="J34">
        <f t="shared" si="26"/>
        <v>0</v>
      </c>
      <c r="K34">
        <f t="shared" si="26"/>
        <v>0</v>
      </c>
      <c r="L34">
        <f t="shared" si="26"/>
        <v>0</v>
      </c>
      <c r="M34">
        <f t="shared" si="26"/>
        <v>0</v>
      </c>
      <c r="N34">
        <f t="shared" si="26"/>
        <v>0</v>
      </c>
      <c r="O34">
        <f t="shared" si="26"/>
        <v>0</v>
      </c>
      <c r="R34" s="28"/>
    </row>
    <row r="40" spans="1:38" x14ac:dyDescent="0.35">
      <c r="H40" s="27"/>
    </row>
    <row r="41" spans="1:38" x14ac:dyDescent="0.35">
      <c r="H41" s="27"/>
    </row>
    <row r="42" spans="1:38" x14ac:dyDescent="0.35">
      <c r="H42" s="27"/>
    </row>
    <row r="67" spans="1:5" x14ac:dyDescent="0.35">
      <c r="A67" s="5" t="s">
        <v>27</v>
      </c>
      <c r="B67" s="26"/>
      <c r="C67" s="2"/>
      <c r="D67" s="2"/>
    </row>
    <row r="68" spans="1:5" x14ac:dyDescent="0.35">
      <c r="A68" s="25" t="s">
        <v>42</v>
      </c>
      <c r="B68" s="25"/>
      <c r="C68" s="2"/>
      <c r="D68" s="2"/>
    </row>
    <row r="69" spans="1:5" x14ac:dyDescent="0.35">
      <c r="A69" s="24" t="s">
        <v>41</v>
      </c>
      <c r="B69" s="23">
        <v>5</v>
      </c>
      <c r="C69" s="18" t="str">
        <f t="shared" ref="C69:C75" si="27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6</v>
      </c>
      <c r="D69" s="2"/>
    </row>
    <row r="70" spans="1:5" x14ac:dyDescent="0.35">
      <c r="A70" s="24" t="s">
        <v>41</v>
      </c>
      <c r="B70" s="23">
        <v>16</v>
      </c>
      <c r="C70" s="18" t="str">
        <f t="shared" si="27"/>
        <v>6</v>
      </c>
      <c r="D70" s="2"/>
    </row>
    <row r="71" spans="1:5" x14ac:dyDescent="0.35">
      <c r="A71" s="24" t="s">
        <v>41</v>
      </c>
      <c r="B71" s="23">
        <v>25</v>
      </c>
      <c r="C71" s="18" t="str">
        <f t="shared" si="27"/>
        <v>6</v>
      </c>
      <c r="D71" s="2"/>
    </row>
    <row r="72" spans="1:5" x14ac:dyDescent="0.35">
      <c r="A72" s="24" t="s">
        <v>41</v>
      </c>
      <c r="B72" s="23">
        <v>50</v>
      </c>
      <c r="C72" s="18" t="str">
        <f t="shared" si="27"/>
        <v>6</v>
      </c>
      <c r="D72" s="2"/>
    </row>
    <row r="73" spans="1:5" x14ac:dyDescent="0.35">
      <c r="A73" s="24" t="s">
        <v>41</v>
      </c>
      <c r="B73" s="23">
        <v>75</v>
      </c>
      <c r="C73" s="18" t="str">
        <f t="shared" si="27"/>
        <v>6</v>
      </c>
      <c r="D73" s="2"/>
    </row>
    <row r="74" spans="1:5" x14ac:dyDescent="0.35">
      <c r="A74" s="24" t="s">
        <v>41</v>
      </c>
      <c r="B74" s="23">
        <v>84</v>
      </c>
      <c r="C74" s="18" t="str">
        <f t="shared" si="27"/>
        <v>6</v>
      </c>
      <c r="D74" s="2"/>
    </row>
    <row r="75" spans="1:5" x14ac:dyDescent="0.35">
      <c r="A75" s="24" t="s">
        <v>41</v>
      </c>
      <c r="B75" s="23">
        <v>95</v>
      </c>
      <c r="C75" s="18" t="str">
        <f t="shared" si="27"/>
        <v>6</v>
      </c>
      <c r="D75" s="2"/>
    </row>
    <row r="76" spans="1:5" x14ac:dyDescent="0.35">
      <c r="A76" s="18"/>
      <c r="B76" s="22"/>
      <c r="C76" s="2"/>
      <c r="D76" s="2"/>
    </row>
    <row r="77" spans="1:5" x14ac:dyDescent="0.35">
      <c r="A77" s="21" t="s">
        <v>40</v>
      </c>
      <c r="B77" t="e">
        <f>SUM(C7:C10)/SUM(C7:C33)</f>
        <v>#DIV/0!</v>
      </c>
      <c r="D77" s="19" t="s">
        <v>7</v>
      </c>
      <c r="E77" s="18" t="e">
        <f>SUM($D$7:$D$20)</f>
        <v>#DIV/0!</v>
      </c>
    </row>
    <row r="78" spans="1:5" x14ac:dyDescent="0.35">
      <c r="A78" s="20" t="s">
        <v>39</v>
      </c>
      <c r="B78" t="e">
        <f>SUM(C11:C20)/SUM(C7:C33)</f>
        <v>#DIV/0!</v>
      </c>
      <c r="D78" s="19" t="s">
        <v>6</v>
      </c>
      <c r="E78" s="18" t="e">
        <f>SUM($D$21:$D$30)</f>
        <v>#DIV/0!</v>
      </c>
    </row>
    <row r="79" spans="1:5" x14ac:dyDescent="0.35">
      <c r="A79" s="20" t="s">
        <v>38</v>
      </c>
      <c r="B79" t="e">
        <f>SUM(C21:C33)/SUM(C7:C33)</f>
        <v>#DIV/0!</v>
      </c>
      <c r="D79" s="19" t="s">
        <v>5</v>
      </c>
      <c r="E79" s="18" t="e">
        <f>SUM($D$31:$D$33)</f>
        <v>#DIV/0!</v>
      </c>
    </row>
    <row r="80" spans="1:5" x14ac:dyDescent="0.35">
      <c r="A80" s="11"/>
      <c r="B80" s="8"/>
      <c r="D80" s="2"/>
      <c r="E80" s="2"/>
    </row>
    <row r="81" spans="1:8" x14ac:dyDescent="0.35">
      <c r="A81" s="16" t="s">
        <v>4</v>
      </c>
      <c r="B81" t="e">
        <f>100*SUM(H7:J33)/SUM(P7:P33)</f>
        <v>#DIV/0!</v>
      </c>
      <c r="D81" s="16" t="s">
        <v>4</v>
      </c>
      <c r="E81" t="e">
        <f>100*SUM(H7:J33)/SUM(P7:P33)</f>
        <v>#DIV/0!</v>
      </c>
      <c r="G81" s="17" t="s">
        <v>2</v>
      </c>
      <c r="H81" t="e">
        <f>100*SUM(H7:H33)/(SUM(P7:P33)-SUM(M7:N33))</f>
        <v>#DIV/0!</v>
      </c>
    </row>
    <row r="82" spans="1:8" x14ac:dyDescent="0.35">
      <c r="A82" s="16" t="s">
        <v>0</v>
      </c>
      <c r="B82" t="e">
        <f>100*SUM(K7:L33)/SUM(P7:P33)</f>
        <v>#DIV/0!</v>
      </c>
      <c r="D82" s="16" t="s">
        <v>0</v>
      </c>
      <c r="E82" t="e">
        <f>100*SUM(K7:L33)/SUM(P7:P33)</f>
        <v>#DIV/0!</v>
      </c>
      <c r="G82" s="17" t="s">
        <v>1</v>
      </c>
      <c r="H82" t="e">
        <f>100*SUM(I7:J33)/(SUM(P7:P33)-SUM(M7:N33))</f>
        <v>#DIV/0!</v>
      </c>
    </row>
    <row r="83" spans="1:8" x14ac:dyDescent="0.35">
      <c r="A83" s="16" t="s">
        <v>3</v>
      </c>
      <c r="B83" t="e">
        <f>100*SUM(O7:O33)/SUM(P7:P33)</f>
        <v>#DIV/0!</v>
      </c>
      <c r="D83" s="16" t="s">
        <v>37</v>
      </c>
      <c r="E83" t="e">
        <f>100*SUM(M7:N33)/SUM(P7:P33)</f>
        <v>#DIV/0!</v>
      </c>
      <c r="G83" s="17" t="s">
        <v>0</v>
      </c>
      <c r="H83" t="e">
        <f>100*SUM(K7:L33)/(SUM(P7:P33)-SUM(M7:N33))</f>
        <v>#DIV/0!</v>
      </c>
    </row>
    <row r="85" spans="1:8" x14ac:dyDescent="0.35">
      <c r="A85" s="16" t="s">
        <v>36</v>
      </c>
      <c r="B85" s="2"/>
      <c r="C85" s="2"/>
      <c r="D85" s="13">
        <f>(C70+C74+C72)/3</f>
        <v>6</v>
      </c>
    </row>
    <row r="86" spans="1:8" x14ac:dyDescent="0.35">
      <c r="A86" s="14" t="s">
        <v>35</v>
      </c>
      <c r="B86" s="14"/>
      <c r="C86" s="14"/>
      <c r="D86" s="7" t="str">
        <f>C72</f>
        <v>6</v>
      </c>
    </row>
    <row r="87" spans="1:8" x14ac:dyDescent="0.35">
      <c r="A87" s="14" t="s">
        <v>34</v>
      </c>
      <c r="B87" s="14"/>
      <c r="C87" s="14"/>
      <c r="D87" s="7">
        <f>(C74-C70)/2</f>
        <v>0</v>
      </c>
    </row>
    <row r="88" spans="1:8" x14ac:dyDescent="0.35">
      <c r="A88" s="15" t="s">
        <v>33</v>
      </c>
      <c r="B88" s="14"/>
      <c r="C88" s="14"/>
      <c r="D88" s="13" t="e">
        <f>(C74+C70-D86)/D87</f>
        <v>#DIV/0!</v>
      </c>
    </row>
    <row r="89" spans="1:8" x14ac:dyDescent="0.35">
      <c r="A89" s="3" t="s">
        <v>32</v>
      </c>
      <c r="B89" s="12"/>
      <c r="C89" s="11"/>
      <c r="D89" s="7">
        <f>((C74-C70)/4)+((C75-C69)/6.6)</f>
        <v>0</v>
      </c>
    </row>
    <row r="90" spans="1:8" x14ac:dyDescent="0.35">
      <c r="A90" s="3" t="s">
        <v>31</v>
      </c>
      <c r="B90" s="10"/>
      <c r="C90" s="10"/>
      <c r="D90" s="7" t="e">
        <f>((C70+C74-(2*C72))/(2*(C74-C70)))+((C69+C75-(2*C72))/(2*(C75-C69)))</f>
        <v>#DIV/0!</v>
      </c>
    </row>
    <row r="91" spans="1:8" x14ac:dyDescent="0.35">
      <c r="A91" s="3" t="s">
        <v>30</v>
      </c>
      <c r="B91" s="9"/>
      <c r="C91" s="8"/>
      <c r="D91" s="7" t="e">
        <f>(C74-C69)/(2.44*(C73-C71))</f>
        <v>#DIV/0!</v>
      </c>
    </row>
    <row r="92" spans="1:8" x14ac:dyDescent="0.35">
      <c r="A92" s="6" t="s">
        <v>29</v>
      </c>
      <c r="B92" s="6"/>
      <c r="C92" s="5"/>
      <c r="D92" s="7">
        <f>(C70+C72+C74)/3</f>
        <v>6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6</v>
      </c>
    </row>
    <row r="95" spans="1:8" x14ac:dyDescent="0.35">
      <c r="A95" s="2" t="s">
        <v>9</v>
      </c>
      <c r="B95" s="2"/>
      <c r="C95" s="2"/>
      <c r="D95" s="1" t="e">
        <f>100-E23</f>
        <v>#DIV/0!</v>
      </c>
    </row>
    <row r="96" spans="1:8" x14ac:dyDescent="0.35">
      <c r="A96" s="2" t="s">
        <v>8</v>
      </c>
      <c r="B96" s="2"/>
      <c r="C96" s="2"/>
      <c r="D96" s="1" t="e">
        <f>100-E30</f>
        <v>#DIV/0!</v>
      </c>
    </row>
    <row r="98" spans="1:3" x14ac:dyDescent="0.35">
      <c r="A98" s="114" t="s">
        <v>101</v>
      </c>
      <c r="C98" t="str">
        <f>IF(SUM(M7:N33)&gt;0,"Mixed","No Mixed")</f>
        <v>No Mixed</v>
      </c>
    </row>
    <row r="99" spans="1:3" x14ac:dyDescent="0.35">
      <c r="A99" s="114" t="s">
        <v>102</v>
      </c>
      <c r="C99" t="str">
        <f>IF(SUM(J7:J33)&gt;0,"Obsidian","No obsidian")</f>
        <v>No obsidian</v>
      </c>
    </row>
  </sheetData>
  <mergeCells count="9">
    <mergeCell ref="V3:Z3"/>
    <mergeCell ref="AD3:AF3"/>
    <mergeCell ref="AG3:AK3"/>
    <mergeCell ref="A2:C2"/>
    <mergeCell ref="D2:E2"/>
    <mergeCell ref="K2:O2"/>
    <mergeCell ref="H3:J3"/>
    <mergeCell ref="K3:O3"/>
    <mergeCell ref="S3:U3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L99"/>
  <sheetViews>
    <sheetView zoomScale="89" zoomScaleNormal="175" workbookViewId="0">
      <selection activeCell="D22" sqref="D22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14.1796875" bestFit="1" customWidth="1"/>
    <col min="18" max="18" width="14.1796875" bestFit="1" customWidth="1"/>
    <col min="23" max="23" width="11.453125" customWidth="1"/>
  </cols>
  <sheetData>
    <row r="1" spans="1:38" ht="15" thickBot="1" x14ac:dyDescent="0.4">
      <c r="A1" s="111"/>
      <c r="F1" s="110"/>
    </row>
    <row r="2" spans="1:38" ht="15" thickBot="1" x14ac:dyDescent="0.4">
      <c r="A2" s="157" t="s">
        <v>91</v>
      </c>
      <c r="B2" s="158"/>
      <c r="C2" s="158"/>
      <c r="D2" s="159" t="str">
        <f ca="1">RIGHT(CELL("nomfichier",A1),LEN(CELL("nomfichier",A1))-FIND("]",CELL("nomfichier",A1)))</f>
        <v>MAY190405_2</v>
      </c>
      <c r="E2" s="160"/>
      <c r="G2" s="109" t="s">
        <v>90</v>
      </c>
      <c r="H2" s="108" t="str">
        <f ca="1">D2</f>
        <v>MAY190405_2</v>
      </c>
      <c r="I2" s="108"/>
      <c r="J2" s="107"/>
      <c r="K2" s="161"/>
      <c r="L2" s="162"/>
      <c r="M2" s="162"/>
      <c r="N2" s="162"/>
      <c r="O2" s="163"/>
    </row>
    <row r="3" spans="1:38" ht="15" thickBot="1" x14ac:dyDescent="0.4">
      <c r="A3" s="106"/>
      <c r="B3" s="105"/>
      <c r="C3" s="105"/>
      <c r="D3" s="105"/>
      <c r="E3" s="104"/>
      <c r="G3" s="103"/>
      <c r="H3" s="154" t="s">
        <v>88</v>
      </c>
      <c r="I3" s="155"/>
      <c r="J3" s="156"/>
      <c r="K3" s="154" t="s">
        <v>87</v>
      </c>
      <c r="L3" s="155"/>
      <c r="M3" s="155"/>
      <c r="N3" s="155"/>
      <c r="O3" s="156"/>
      <c r="S3" s="154" t="s">
        <v>88</v>
      </c>
      <c r="T3" s="155"/>
      <c r="U3" s="156"/>
      <c r="V3" s="154" t="s">
        <v>87</v>
      </c>
      <c r="W3" s="155"/>
      <c r="X3" s="155"/>
      <c r="Y3" s="155"/>
      <c r="Z3" s="156"/>
      <c r="AD3" s="154" t="s">
        <v>88</v>
      </c>
      <c r="AE3" s="155"/>
      <c r="AF3" s="156"/>
      <c r="AG3" s="154" t="s">
        <v>87</v>
      </c>
      <c r="AH3" s="155"/>
      <c r="AI3" s="155"/>
      <c r="AJ3" s="155"/>
      <c r="AK3" s="156"/>
    </row>
    <row r="4" spans="1:38" ht="15" thickBot="1" x14ac:dyDescent="0.4">
      <c r="A4" s="102" t="s">
        <v>86</v>
      </c>
      <c r="B4" s="101">
        <f>SUM(C7:C33)</f>
        <v>356.03000000000014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77</v>
      </c>
      <c r="P4" s="94" t="s">
        <v>76</v>
      </c>
      <c r="R4" s="97" t="str">
        <f t="shared" ref="R4:Z4" si="0">G4</f>
        <v>Grain size (phi)</v>
      </c>
      <c r="S4" s="95" t="str">
        <f t="shared" si="0"/>
        <v>Pumices</v>
      </c>
      <c r="T4" s="95" t="str">
        <f t="shared" si="0"/>
        <v>Dense juveniles</v>
      </c>
      <c r="U4" s="95" t="str">
        <f t="shared" si="0"/>
        <v>Obsidian</v>
      </c>
      <c r="V4" s="96" t="str">
        <f t="shared" si="0"/>
        <v>Coral fragments</v>
      </c>
      <c r="W4" s="95" t="str">
        <f t="shared" si="0"/>
        <v>Mafic clasts</v>
      </c>
      <c r="X4" s="95" t="str">
        <f t="shared" si="0"/>
        <v>Aggregate</v>
      </c>
      <c r="Y4" s="95" t="str">
        <f t="shared" si="0"/>
        <v>Accretionnary lapilli</v>
      </c>
      <c r="Z4" s="94" t="str">
        <f t="shared" si="0"/>
        <v>Crystals</v>
      </c>
      <c r="AA4" s="94" t="s">
        <v>76</v>
      </c>
      <c r="AC4" s="97" t="str">
        <f t="shared" ref="AC4:AK4" si="1">R4</f>
        <v>Grain size (phi)</v>
      </c>
      <c r="AD4" s="95" t="str">
        <f t="shared" si="1"/>
        <v>Pumices</v>
      </c>
      <c r="AE4" s="95" t="str">
        <f t="shared" si="1"/>
        <v>Dense juveniles</v>
      </c>
      <c r="AF4" s="95" t="str">
        <f t="shared" si="1"/>
        <v>Obsidian</v>
      </c>
      <c r="AG4" s="96" t="str">
        <f t="shared" si="1"/>
        <v>Coral fragments</v>
      </c>
      <c r="AH4" s="95" t="str">
        <f t="shared" si="1"/>
        <v>Mafic clasts</v>
      </c>
      <c r="AI4" s="95" t="str">
        <f t="shared" si="1"/>
        <v>Aggregate</v>
      </c>
      <c r="AJ4" s="95" t="str">
        <f t="shared" si="1"/>
        <v>Accretionnary lapilli</v>
      </c>
      <c r="AK4" s="94" t="str">
        <f t="shared" si="1"/>
        <v>Crystals</v>
      </c>
      <c r="AL4" s="94" t="s">
        <v>76</v>
      </c>
    </row>
    <row r="5" spans="1:38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R5" s="77"/>
      <c r="S5" s="85"/>
      <c r="T5" s="84"/>
      <c r="U5" s="83"/>
      <c r="V5" s="84"/>
      <c r="W5" s="84"/>
      <c r="X5" s="84"/>
      <c r="Y5" s="84"/>
      <c r="Z5" s="83"/>
      <c r="AA5" s="82"/>
      <c r="AC5" s="77"/>
      <c r="AD5" s="85"/>
      <c r="AE5" s="84"/>
      <c r="AF5" s="83"/>
      <c r="AG5" s="85"/>
      <c r="AH5" s="84"/>
      <c r="AI5" s="84"/>
      <c r="AJ5" s="84"/>
      <c r="AK5" s="83"/>
      <c r="AL5" s="82"/>
    </row>
    <row r="6" spans="1:38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R6" s="77"/>
      <c r="S6" s="77"/>
      <c r="U6" s="76"/>
      <c r="Z6" s="76"/>
      <c r="AA6" s="49"/>
      <c r="AC6" s="77"/>
      <c r="AD6" s="77"/>
      <c r="AF6" s="76"/>
      <c r="AG6" s="77"/>
      <c r="AK6" s="76"/>
      <c r="AL6" s="49"/>
    </row>
    <row r="7" spans="1:38" x14ac:dyDescent="0.35">
      <c r="A7" s="75" t="s">
        <v>70</v>
      </c>
      <c r="B7" s="74">
        <v>-7.5</v>
      </c>
      <c r="C7" s="72">
        <v>0</v>
      </c>
      <c r="D7" s="55">
        <f t="shared" ref="D7:D33" si="2">(C7/SUM($C$7:$C$33))*100</f>
        <v>0</v>
      </c>
      <c r="E7" s="73">
        <v>0</v>
      </c>
      <c r="G7" s="48">
        <f t="shared" ref="G7:G33" si="3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4">SUM(H7:O7)</f>
        <v>0</v>
      </c>
      <c r="R7" s="48">
        <f t="shared" ref="R7:R33" si="5">G7</f>
        <v>-7.5</v>
      </c>
      <c r="S7" s="47">
        <f t="shared" ref="S7:Z7" si="6">H7/$B$4</f>
        <v>0</v>
      </c>
      <c r="T7" s="46">
        <f t="shared" si="6"/>
        <v>0</v>
      </c>
      <c r="U7" s="45">
        <f t="shared" si="6"/>
        <v>0</v>
      </c>
      <c r="V7" s="46">
        <f t="shared" si="6"/>
        <v>0</v>
      </c>
      <c r="W7" s="46">
        <f t="shared" si="6"/>
        <v>0</v>
      </c>
      <c r="X7" s="46">
        <f t="shared" si="6"/>
        <v>0</v>
      </c>
      <c r="Y7" s="46">
        <f t="shared" si="6"/>
        <v>0</v>
      </c>
      <c r="Z7" s="45">
        <f t="shared" si="6"/>
        <v>0</v>
      </c>
      <c r="AA7" s="49">
        <f t="shared" ref="AA7:AA33" si="7">SUM(S7:Z7)</f>
        <v>0</v>
      </c>
      <c r="AC7" s="48">
        <f t="shared" ref="AC7:AC33" si="8">R7</f>
        <v>-7.5</v>
      </c>
      <c r="AD7" s="47" t="e">
        <f t="shared" ref="AD7:AK14" si="9">S7*100/(SUM($S7:$W7)+SUM($Y7:$Z7))</f>
        <v>#DIV/0!</v>
      </c>
      <c r="AE7" s="46" t="e">
        <f t="shared" si="9"/>
        <v>#DIV/0!</v>
      </c>
      <c r="AF7" s="45" t="e">
        <f t="shared" si="9"/>
        <v>#DIV/0!</v>
      </c>
      <c r="AG7" s="47" t="e">
        <f t="shared" si="9"/>
        <v>#DIV/0!</v>
      </c>
      <c r="AH7" s="46" t="e">
        <f t="shared" si="9"/>
        <v>#DIV/0!</v>
      </c>
      <c r="AI7" s="46" t="e">
        <f t="shared" si="9"/>
        <v>#DIV/0!</v>
      </c>
      <c r="AJ7" s="46" t="e">
        <f t="shared" si="9"/>
        <v>#DIV/0!</v>
      </c>
      <c r="AK7" s="45" t="e">
        <f t="shared" si="9"/>
        <v>#DIV/0!</v>
      </c>
      <c r="AL7" s="44" t="e">
        <f t="shared" ref="AL7:AL33" si="10">SUM(AD7:AK7)</f>
        <v>#DIV/0!</v>
      </c>
    </row>
    <row r="8" spans="1:38" x14ac:dyDescent="0.35">
      <c r="A8" s="58" t="s">
        <v>69</v>
      </c>
      <c r="B8" s="57">
        <v>-7</v>
      </c>
      <c r="C8" s="72">
        <v>0</v>
      </c>
      <c r="D8" s="55">
        <f t="shared" si="2"/>
        <v>0</v>
      </c>
      <c r="E8" s="73">
        <f>SUM(D6,D8)</f>
        <v>0</v>
      </c>
      <c r="G8" s="48">
        <f t="shared" si="3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4"/>
        <v>0</v>
      </c>
      <c r="R8" s="48">
        <f t="shared" si="5"/>
        <v>-7</v>
      </c>
      <c r="S8" s="47">
        <f t="shared" ref="S8:Z13" si="11">H8/$B$4</f>
        <v>0</v>
      </c>
      <c r="T8" s="46">
        <f t="shared" si="11"/>
        <v>0</v>
      </c>
      <c r="U8" s="45">
        <f t="shared" si="11"/>
        <v>0</v>
      </c>
      <c r="V8" s="46">
        <f t="shared" si="11"/>
        <v>0</v>
      </c>
      <c r="W8" s="46">
        <f t="shared" si="11"/>
        <v>0</v>
      </c>
      <c r="X8" s="46">
        <f t="shared" si="11"/>
        <v>0</v>
      </c>
      <c r="Y8" s="46">
        <f t="shared" si="11"/>
        <v>0</v>
      </c>
      <c r="Z8" s="45">
        <f t="shared" si="11"/>
        <v>0</v>
      </c>
      <c r="AA8" s="49">
        <f t="shared" si="7"/>
        <v>0</v>
      </c>
      <c r="AC8" s="48">
        <f t="shared" si="8"/>
        <v>-7</v>
      </c>
      <c r="AD8" s="47" t="e">
        <f t="shared" si="9"/>
        <v>#DIV/0!</v>
      </c>
      <c r="AE8" s="46" t="e">
        <f t="shared" si="9"/>
        <v>#DIV/0!</v>
      </c>
      <c r="AF8" s="45" t="e">
        <f t="shared" si="9"/>
        <v>#DIV/0!</v>
      </c>
      <c r="AG8" s="47" t="e">
        <f t="shared" si="9"/>
        <v>#DIV/0!</v>
      </c>
      <c r="AH8" s="46" t="e">
        <f t="shared" si="9"/>
        <v>#DIV/0!</v>
      </c>
      <c r="AI8" s="46" t="e">
        <f t="shared" si="9"/>
        <v>#DIV/0!</v>
      </c>
      <c r="AJ8" s="46" t="e">
        <f t="shared" si="9"/>
        <v>#DIV/0!</v>
      </c>
      <c r="AK8" s="45" t="e">
        <f t="shared" si="9"/>
        <v>#DIV/0!</v>
      </c>
      <c r="AL8" s="44" t="e">
        <f t="shared" si="10"/>
        <v>#DIV/0!</v>
      </c>
    </row>
    <row r="9" spans="1:38" x14ac:dyDescent="0.35">
      <c r="A9" s="58" t="s">
        <v>68</v>
      </c>
      <c r="B9" s="57">
        <v>-6.5</v>
      </c>
      <c r="C9" s="72">
        <v>0</v>
      </c>
      <c r="D9" s="55">
        <f t="shared" si="2"/>
        <v>0</v>
      </c>
      <c r="E9" s="73">
        <f>SUM(D6:D9)</f>
        <v>0</v>
      </c>
      <c r="G9" s="48">
        <f t="shared" si="3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4"/>
        <v>0</v>
      </c>
      <c r="R9" s="48">
        <f t="shared" si="5"/>
        <v>-6.5</v>
      </c>
      <c r="S9" s="47">
        <f t="shared" si="11"/>
        <v>0</v>
      </c>
      <c r="T9" s="46">
        <f t="shared" si="11"/>
        <v>0</v>
      </c>
      <c r="U9" s="45">
        <f t="shared" si="11"/>
        <v>0</v>
      </c>
      <c r="V9" s="46">
        <f t="shared" si="11"/>
        <v>0</v>
      </c>
      <c r="W9" s="46">
        <f t="shared" si="11"/>
        <v>0</v>
      </c>
      <c r="X9" s="46">
        <f t="shared" si="11"/>
        <v>0</v>
      </c>
      <c r="Y9" s="46">
        <f t="shared" si="11"/>
        <v>0</v>
      </c>
      <c r="Z9" s="45">
        <f t="shared" si="11"/>
        <v>0</v>
      </c>
      <c r="AA9" s="49">
        <f t="shared" si="7"/>
        <v>0</v>
      </c>
      <c r="AC9" s="48">
        <f t="shared" si="8"/>
        <v>-6.5</v>
      </c>
      <c r="AD9" s="47" t="e">
        <f t="shared" si="9"/>
        <v>#DIV/0!</v>
      </c>
      <c r="AE9" s="46" t="e">
        <f t="shared" si="9"/>
        <v>#DIV/0!</v>
      </c>
      <c r="AF9" s="45" t="e">
        <f t="shared" si="9"/>
        <v>#DIV/0!</v>
      </c>
      <c r="AG9" s="47" t="e">
        <f t="shared" si="9"/>
        <v>#DIV/0!</v>
      </c>
      <c r="AH9" s="46" t="e">
        <f t="shared" si="9"/>
        <v>#DIV/0!</v>
      </c>
      <c r="AI9" s="46" t="e">
        <f t="shared" si="9"/>
        <v>#DIV/0!</v>
      </c>
      <c r="AJ9" s="46" t="e">
        <f t="shared" si="9"/>
        <v>#DIV/0!</v>
      </c>
      <c r="AK9" s="45" t="e">
        <f t="shared" si="9"/>
        <v>#DIV/0!</v>
      </c>
      <c r="AL9" s="44" t="e">
        <f t="shared" si="10"/>
        <v>#DIV/0!</v>
      </c>
    </row>
    <row r="10" spans="1:38" x14ac:dyDescent="0.35">
      <c r="A10" s="58" t="s">
        <v>67</v>
      </c>
      <c r="B10" s="57">
        <v>-6</v>
      </c>
      <c r="C10" s="72">
        <v>0</v>
      </c>
      <c r="D10" s="55">
        <f t="shared" si="2"/>
        <v>0</v>
      </c>
      <c r="E10" s="54">
        <f>SUM(D6:D10)</f>
        <v>0</v>
      </c>
      <c r="G10" s="48">
        <f t="shared" si="3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4"/>
        <v>0</v>
      </c>
      <c r="R10" s="48">
        <f t="shared" si="5"/>
        <v>-6</v>
      </c>
      <c r="S10" s="47">
        <f t="shared" si="11"/>
        <v>0</v>
      </c>
      <c r="T10" s="46">
        <f t="shared" si="11"/>
        <v>0</v>
      </c>
      <c r="U10" s="45">
        <f t="shared" si="11"/>
        <v>0</v>
      </c>
      <c r="V10" s="46">
        <f t="shared" si="11"/>
        <v>0</v>
      </c>
      <c r="W10" s="46">
        <f t="shared" si="11"/>
        <v>0</v>
      </c>
      <c r="X10" s="46">
        <f t="shared" si="11"/>
        <v>0</v>
      </c>
      <c r="Y10" s="46">
        <f t="shared" si="11"/>
        <v>0</v>
      </c>
      <c r="Z10" s="45">
        <f t="shared" si="11"/>
        <v>0</v>
      </c>
      <c r="AA10" s="49">
        <f t="shared" si="7"/>
        <v>0</v>
      </c>
      <c r="AC10" s="48">
        <f t="shared" si="8"/>
        <v>-6</v>
      </c>
      <c r="AD10" s="47" t="e">
        <f t="shared" si="9"/>
        <v>#DIV/0!</v>
      </c>
      <c r="AE10" s="46" t="e">
        <f t="shared" si="9"/>
        <v>#DIV/0!</v>
      </c>
      <c r="AF10" s="45" t="e">
        <f t="shared" si="9"/>
        <v>#DIV/0!</v>
      </c>
      <c r="AG10" s="47" t="e">
        <f t="shared" si="9"/>
        <v>#DIV/0!</v>
      </c>
      <c r="AH10" s="46" t="e">
        <f t="shared" si="9"/>
        <v>#DIV/0!</v>
      </c>
      <c r="AI10" s="46" t="e">
        <f t="shared" si="9"/>
        <v>#DIV/0!</v>
      </c>
      <c r="AJ10" s="46" t="e">
        <f t="shared" si="9"/>
        <v>#DIV/0!</v>
      </c>
      <c r="AK10" s="45" t="e">
        <f t="shared" si="9"/>
        <v>#DIV/0!</v>
      </c>
      <c r="AL10" s="44" t="e">
        <f t="shared" si="10"/>
        <v>#DIV/0!</v>
      </c>
    </row>
    <row r="11" spans="1:38" x14ac:dyDescent="0.35">
      <c r="A11" s="58" t="s">
        <v>66</v>
      </c>
      <c r="B11" s="57">
        <v>-5.5</v>
      </c>
      <c r="C11" s="62">
        <v>0</v>
      </c>
      <c r="D11" s="55">
        <f t="shared" si="2"/>
        <v>0</v>
      </c>
      <c r="E11" s="54">
        <f>SUM(D6:D11)</f>
        <v>0</v>
      </c>
      <c r="G11" s="48">
        <f t="shared" si="3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50">
        <f t="shared" si="4"/>
        <v>0</v>
      </c>
      <c r="R11" s="48">
        <f t="shared" si="5"/>
        <v>-5.5</v>
      </c>
      <c r="S11" s="47">
        <f t="shared" si="11"/>
        <v>0</v>
      </c>
      <c r="T11" s="46">
        <f t="shared" si="11"/>
        <v>0</v>
      </c>
      <c r="U11" s="45">
        <f t="shared" si="11"/>
        <v>0</v>
      </c>
      <c r="V11" s="46">
        <f t="shared" si="11"/>
        <v>0</v>
      </c>
      <c r="W11" s="46">
        <f t="shared" si="11"/>
        <v>0</v>
      </c>
      <c r="X11" s="46">
        <f t="shared" si="11"/>
        <v>0</v>
      </c>
      <c r="Y11" s="46">
        <f t="shared" si="11"/>
        <v>0</v>
      </c>
      <c r="Z11" s="45">
        <f t="shared" si="11"/>
        <v>0</v>
      </c>
      <c r="AA11" s="49">
        <f t="shared" si="7"/>
        <v>0</v>
      </c>
      <c r="AC11" s="48">
        <f t="shared" si="8"/>
        <v>-5.5</v>
      </c>
      <c r="AD11" s="47" t="e">
        <f t="shared" si="9"/>
        <v>#DIV/0!</v>
      </c>
      <c r="AE11" s="46" t="e">
        <f t="shared" si="9"/>
        <v>#DIV/0!</v>
      </c>
      <c r="AF11" s="45" t="e">
        <f t="shared" si="9"/>
        <v>#DIV/0!</v>
      </c>
      <c r="AG11" s="47" t="e">
        <f t="shared" si="9"/>
        <v>#DIV/0!</v>
      </c>
      <c r="AH11" s="46" t="e">
        <f t="shared" si="9"/>
        <v>#DIV/0!</v>
      </c>
      <c r="AI11" s="46" t="e">
        <f t="shared" si="9"/>
        <v>#DIV/0!</v>
      </c>
      <c r="AJ11" s="46" t="e">
        <f t="shared" si="9"/>
        <v>#DIV/0!</v>
      </c>
      <c r="AK11" s="45" t="e">
        <f t="shared" si="9"/>
        <v>#DIV/0!</v>
      </c>
      <c r="AL11" s="44" t="e">
        <f t="shared" si="10"/>
        <v>#DIV/0!</v>
      </c>
    </row>
    <row r="12" spans="1:38" x14ac:dyDescent="0.35">
      <c r="A12" s="58" t="s">
        <v>65</v>
      </c>
      <c r="B12" s="57">
        <v>-5</v>
      </c>
      <c r="C12" s="62">
        <v>0</v>
      </c>
      <c r="D12" s="55">
        <f t="shared" si="2"/>
        <v>0</v>
      </c>
      <c r="E12" s="54">
        <f>SUM(D6:D12)</f>
        <v>0</v>
      </c>
      <c r="G12" s="48">
        <f t="shared" si="3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50">
        <f t="shared" si="4"/>
        <v>0</v>
      </c>
      <c r="R12" s="48">
        <f t="shared" si="5"/>
        <v>-5</v>
      </c>
      <c r="S12" s="47">
        <f t="shared" si="11"/>
        <v>0</v>
      </c>
      <c r="T12" s="46">
        <f t="shared" si="11"/>
        <v>0</v>
      </c>
      <c r="U12" s="45">
        <f t="shared" si="11"/>
        <v>0</v>
      </c>
      <c r="V12" s="46">
        <f t="shared" si="11"/>
        <v>0</v>
      </c>
      <c r="W12" s="46">
        <f t="shared" si="11"/>
        <v>0</v>
      </c>
      <c r="X12" s="46">
        <f t="shared" si="11"/>
        <v>0</v>
      </c>
      <c r="Y12" s="46">
        <f t="shared" si="11"/>
        <v>0</v>
      </c>
      <c r="Z12" s="45">
        <f t="shared" si="11"/>
        <v>0</v>
      </c>
      <c r="AA12" s="49">
        <f t="shared" si="7"/>
        <v>0</v>
      </c>
      <c r="AC12" s="48">
        <f t="shared" si="8"/>
        <v>-5</v>
      </c>
      <c r="AD12" s="47" t="e">
        <f t="shared" si="9"/>
        <v>#DIV/0!</v>
      </c>
      <c r="AE12" s="46" t="e">
        <f t="shared" si="9"/>
        <v>#DIV/0!</v>
      </c>
      <c r="AF12" s="45" t="e">
        <f t="shared" si="9"/>
        <v>#DIV/0!</v>
      </c>
      <c r="AG12" s="47" t="e">
        <f t="shared" si="9"/>
        <v>#DIV/0!</v>
      </c>
      <c r="AH12" s="46" t="e">
        <f t="shared" si="9"/>
        <v>#DIV/0!</v>
      </c>
      <c r="AI12" s="46" t="e">
        <f t="shared" si="9"/>
        <v>#DIV/0!</v>
      </c>
      <c r="AJ12" s="46" t="e">
        <f t="shared" si="9"/>
        <v>#DIV/0!</v>
      </c>
      <c r="AK12" s="45" t="e">
        <f t="shared" si="9"/>
        <v>#DIV/0!</v>
      </c>
      <c r="AL12" s="44" t="e">
        <f t="shared" si="10"/>
        <v>#DIV/0!</v>
      </c>
    </row>
    <row r="13" spans="1:38" x14ac:dyDescent="0.35">
      <c r="A13" s="58" t="s">
        <v>64</v>
      </c>
      <c r="B13" s="57">
        <v>-4.5</v>
      </c>
      <c r="C13" s="62">
        <v>0</v>
      </c>
      <c r="D13" s="55">
        <f t="shared" si="2"/>
        <v>0</v>
      </c>
      <c r="E13" s="54">
        <f>SUM(D7:D13)</f>
        <v>0</v>
      </c>
      <c r="G13" s="48">
        <f t="shared" si="3"/>
        <v>-4.5</v>
      </c>
      <c r="H13" s="61">
        <v>0</v>
      </c>
      <c r="I13" s="60">
        <v>0</v>
      </c>
      <c r="J13" s="59">
        <v>0</v>
      </c>
      <c r="K13" s="60">
        <v>0</v>
      </c>
      <c r="L13" s="60">
        <v>0</v>
      </c>
      <c r="M13" s="60">
        <v>0</v>
      </c>
      <c r="N13" s="60">
        <v>0</v>
      </c>
      <c r="O13" s="60">
        <v>0</v>
      </c>
      <c r="P13" s="50">
        <f t="shared" si="4"/>
        <v>0</v>
      </c>
      <c r="R13" s="48">
        <f t="shared" si="5"/>
        <v>-4.5</v>
      </c>
      <c r="S13" s="47">
        <f t="shared" si="11"/>
        <v>0</v>
      </c>
      <c r="T13" s="46">
        <f t="shared" si="11"/>
        <v>0</v>
      </c>
      <c r="U13" s="45">
        <f t="shared" si="11"/>
        <v>0</v>
      </c>
      <c r="V13" s="46">
        <f t="shared" si="11"/>
        <v>0</v>
      </c>
      <c r="W13" s="46">
        <f t="shared" si="11"/>
        <v>0</v>
      </c>
      <c r="X13" s="46">
        <f t="shared" si="11"/>
        <v>0</v>
      </c>
      <c r="Y13" s="46">
        <f t="shared" si="11"/>
        <v>0</v>
      </c>
      <c r="Z13" s="45">
        <f t="shared" si="11"/>
        <v>0</v>
      </c>
      <c r="AA13" s="49">
        <f t="shared" si="7"/>
        <v>0</v>
      </c>
      <c r="AC13" s="48">
        <f t="shared" si="8"/>
        <v>-4.5</v>
      </c>
      <c r="AD13" s="47" t="e">
        <f t="shared" si="9"/>
        <v>#DIV/0!</v>
      </c>
      <c r="AE13" s="46" t="e">
        <f t="shared" si="9"/>
        <v>#DIV/0!</v>
      </c>
      <c r="AF13" s="45" t="e">
        <f t="shared" si="9"/>
        <v>#DIV/0!</v>
      </c>
      <c r="AG13" s="47" t="e">
        <f t="shared" si="9"/>
        <v>#DIV/0!</v>
      </c>
      <c r="AH13" s="46" t="e">
        <f t="shared" si="9"/>
        <v>#DIV/0!</v>
      </c>
      <c r="AI13" s="46" t="e">
        <f t="shared" si="9"/>
        <v>#DIV/0!</v>
      </c>
      <c r="AJ13" s="46" t="e">
        <f t="shared" si="9"/>
        <v>#DIV/0!</v>
      </c>
      <c r="AK13" s="45" t="e">
        <f t="shared" si="9"/>
        <v>#DIV/0!</v>
      </c>
      <c r="AL13" s="44" t="e">
        <f t="shared" si="10"/>
        <v>#DIV/0!</v>
      </c>
    </row>
    <row r="14" spans="1:38" x14ac:dyDescent="0.35">
      <c r="A14" s="58" t="s">
        <v>63</v>
      </c>
      <c r="B14" s="57">
        <v>-4</v>
      </c>
      <c r="C14" s="62">
        <v>8.49</v>
      </c>
      <c r="D14" s="55">
        <f t="shared" si="2"/>
        <v>2.384630508664999</v>
      </c>
      <c r="E14" s="54">
        <f>SUM(D8:D14)</f>
        <v>2.384630508664999</v>
      </c>
      <c r="G14" s="48">
        <f t="shared" si="3"/>
        <v>-4</v>
      </c>
      <c r="H14" s="61">
        <v>8.3699999999999992</v>
      </c>
      <c r="I14" s="60">
        <v>0</v>
      </c>
      <c r="J14" s="59">
        <v>0</v>
      </c>
      <c r="K14" s="60">
        <v>0</v>
      </c>
      <c r="L14" s="60">
        <v>0</v>
      </c>
      <c r="M14" s="60">
        <v>0</v>
      </c>
      <c r="N14" s="60">
        <v>0</v>
      </c>
      <c r="O14" s="60">
        <v>0</v>
      </c>
      <c r="P14" s="50">
        <f t="shared" si="4"/>
        <v>8.3699999999999992</v>
      </c>
      <c r="R14" s="48">
        <f t="shared" si="5"/>
        <v>-4</v>
      </c>
      <c r="S14" s="47">
        <f t="shared" ref="S14:Z14" si="12">(H14/$B$4)*100</f>
        <v>2.3509254838075431</v>
      </c>
      <c r="T14" s="46">
        <f t="shared" si="12"/>
        <v>0</v>
      </c>
      <c r="U14" s="45">
        <f t="shared" si="12"/>
        <v>0</v>
      </c>
      <c r="V14" s="46">
        <f t="shared" si="12"/>
        <v>0</v>
      </c>
      <c r="W14" s="46">
        <f t="shared" si="12"/>
        <v>0</v>
      </c>
      <c r="X14" s="46">
        <f t="shared" si="12"/>
        <v>0</v>
      </c>
      <c r="Y14" s="46">
        <f t="shared" si="12"/>
        <v>0</v>
      </c>
      <c r="Z14" s="45">
        <f t="shared" si="12"/>
        <v>0</v>
      </c>
      <c r="AA14" s="49">
        <f t="shared" si="7"/>
        <v>2.3509254838075431</v>
      </c>
      <c r="AC14" s="48">
        <f t="shared" si="8"/>
        <v>-4</v>
      </c>
      <c r="AD14" s="47">
        <f t="shared" si="9"/>
        <v>100</v>
      </c>
      <c r="AE14" s="46">
        <f t="shared" si="9"/>
        <v>0</v>
      </c>
      <c r="AF14" s="45">
        <f t="shared" si="9"/>
        <v>0</v>
      </c>
      <c r="AG14" s="47">
        <f t="shared" si="9"/>
        <v>0</v>
      </c>
      <c r="AH14" s="46">
        <f t="shared" si="9"/>
        <v>0</v>
      </c>
      <c r="AI14" s="46">
        <f t="shared" si="9"/>
        <v>0</v>
      </c>
      <c r="AJ14" s="46">
        <f t="shared" si="9"/>
        <v>0</v>
      </c>
      <c r="AK14" s="45">
        <f t="shared" si="9"/>
        <v>0</v>
      </c>
      <c r="AL14" s="44">
        <f t="shared" si="10"/>
        <v>100</v>
      </c>
    </row>
    <row r="15" spans="1:38" x14ac:dyDescent="0.35">
      <c r="A15" s="58" t="s">
        <v>62</v>
      </c>
      <c r="B15" s="57">
        <v>-3.5</v>
      </c>
      <c r="C15" s="62">
        <v>29.38</v>
      </c>
      <c r="D15" s="55">
        <f t="shared" si="2"/>
        <v>8.2521135859337669</v>
      </c>
      <c r="E15" s="54">
        <f>SUM(D6:D15)</f>
        <v>10.636744094598766</v>
      </c>
      <c r="G15" s="48">
        <f t="shared" si="3"/>
        <v>-3.5</v>
      </c>
      <c r="H15" s="61">
        <v>29.12</v>
      </c>
      <c r="I15" s="60">
        <v>0</v>
      </c>
      <c r="J15" s="59">
        <v>0</v>
      </c>
      <c r="K15" s="60">
        <v>0</v>
      </c>
      <c r="L15" s="60">
        <v>0</v>
      </c>
      <c r="M15" s="60">
        <v>0</v>
      </c>
      <c r="N15" s="60">
        <v>0</v>
      </c>
      <c r="O15" s="59">
        <v>0</v>
      </c>
      <c r="P15" s="50">
        <f t="shared" si="4"/>
        <v>29.12</v>
      </c>
      <c r="R15" s="48">
        <f t="shared" si="5"/>
        <v>-3.5</v>
      </c>
      <c r="S15" s="47">
        <f t="shared" ref="S15:Z33" si="13">(H15/$B$4)*100</f>
        <v>8.1790860320759453</v>
      </c>
      <c r="T15" s="66">
        <f t="shared" si="13"/>
        <v>0</v>
      </c>
      <c r="U15" s="65">
        <f t="shared" si="13"/>
        <v>0</v>
      </c>
      <c r="V15" s="66">
        <f t="shared" si="13"/>
        <v>0</v>
      </c>
      <c r="W15" s="66">
        <f t="shared" si="13"/>
        <v>0</v>
      </c>
      <c r="X15" s="66">
        <f t="shared" si="13"/>
        <v>0</v>
      </c>
      <c r="Y15" s="66">
        <f t="shared" si="13"/>
        <v>0</v>
      </c>
      <c r="Z15" s="65">
        <f t="shared" si="13"/>
        <v>0</v>
      </c>
      <c r="AA15" s="50">
        <f t="shared" si="7"/>
        <v>8.1790860320759453</v>
      </c>
      <c r="AC15" s="48">
        <f t="shared" si="8"/>
        <v>-3.5</v>
      </c>
      <c r="AD15" s="67">
        <f t="shared" ref="AD15:AH33" si="14">S15*100/(SUM($S15:$W15)+SUM($Y15:$Z15))</f>
        <v>100</v>
      </c>
      <c r="AE15" s="66">
        <f t="shared" si="14"/>
        <v>0</v>
      </c>
      <c r="AF15" s="65">
        <f t="shared" si="14"/>
        <v>0</v>
      </c>
      <c r="AG15" s="67">
        <f t="shared" si="14"/>
        <v>0</v>
      </c>
      <c r="AH15" s="66">
        <f t="shared" si="14"/>
        <v>0</v>
      </c>
      <c r="AI15" s="66">
        <v>0</v>
      </c>
      <c r="AJ15" s="66">
        <f t="shared" ref="AJ15:AK33" si="15">Y15*100/(SUM($S15:$W15)+SUM($Y15:$Z15))</f>
        <v>0</v>
      </c>
      <c r="AK15" s="65">
        <f t="shared" si="15"/>
        <v>0</v>
      </c>
      <c r="AL15" s="64">
        <f t="shared" si="10"/>
        <v>100</v>
      </c>
    </row>
    <row r="16" spans="1:38" x14ac:dyDescent="0.35">
      <c r="A16" s="71" t="s">
        <v>61</v>
      </c>
      <c r="B16" s="57">
        <v>-3</v>
      </c>
      <c r="C16" s="62">
        <v>35.22</v>
      </c>
      <c r="D16" s="55">
        <f t="shared" si="2"/>
        <v>9.8924247956632829</v>
      </c>
      <c r="E16" s="54">
        <f>SUM(D6:D16)</f>
        <v>20.529168890262049</v>
      </c>
      <c r="G16" s="48">
        <f t="shared" si="3"/>
        <v>-3</v>
      </c>
      <c r="H16" s="61">
        <v>32.4</v>
      </c>
      <c r="I16" s="60">
        <v>2.2200000000000002</v>
      </c>
      <c r="J16" s="59">
        <v>0</v>
      </c>
      <c r="K16" s="60">
        <v>0</v>
      </c>
      <c r="L16" s="60">
        <v>0</v>
      </c>
      <c r="M16" s="60">
        <v>0</v>
      </c>
      <c r="N16" s="60">
        <v>0</v>
      </c>
      <c r="O16" s="59">
        <v>0</v>
      </c>
      <c r="P16" s="50">
        <f t="shared" si="4"/>
        <v>34.619999999999997</v>
      </c>
      <c r="R16" s="48">
        <f t="shared" si="5"/>
        <v>-3</v>
      </c>
      <c r="S16" s="47">
        <f t="shared" si="13"/>
        <v>9.1003567115130704</v>
      </c>
      <c r="T16" s="66">
        <f t="shared" si="13"/>
        <v>0.62354295986293273</v>
      </c>
      <c r="U16" s="65">
        <f t="shared" si="13"/>
        <v>0</v>
      </c>
      <c r="V16" s="66">
        <f t="shared" si="13"/>
        <v>0</v>
      </c>
      <c r="W16" s="66">
        <f t="shared" si="13"/>
        <v>0</v>
      </c>
      <c r="X16" s="66">
        <f t="shared" si="13"/>
        <v>0</v>
      </c>
      <c r="Y16" s="66">
        <f t="shared" si="13"/>
        <v>0</v>
      </c>
      <c r="Z16" s="65">
        <f t="shared" si="13"/>
        <v>0</v>
      </c>
      <c r="AA16" s="50">
        <f t="shared" si="7"/>
        <v>9.7238996713760031</v>
      </c>
      <c r="AC16" s="48">
        <f t="shared" si="8"/>
        <v>-3</v>
      </c>
      <c r="AD16" s="67">
        <f t="shared" si="14"/>
        <v>93.587521663778162</v>
      </c>
      <c r="AE16" s="66">
        <f t="shared" si="14"/>
        <v>6.412478336221838</v>
      </c>
      <c r="AF16" s="65">
        <f t="shared" si="14"/>
        <v>0</v>
      </c>
      <c r="AG16" s="67">
        <f t="shared" si="14"/>
        <v>0</v>
      </c>
      <c r="AH16" s="66">
        <f t="shared" si="14"/>
        <v>0</v>
      </c>
      <c r="AI16" s="66">
        <v>0</v>
      </c>
      <c r="AJ16" s="66">
        <f t="shared" si="15"/>
        <v>0</v>
      </c>
      <c r="AK16" s="65">
        <f t="shared" si="15"/>
        <v>0</v>
      </c>
      <c r="AL16" s="64">
        <f t="shared" si="10"/>
        <v>100</v>
      </c>
    </row>
    <row r="17" spans="1:38" x14ac:dyDescent="0.35">
      <c r="A17" s="71" t="s">
        <v>60</v>
      </c>
      <c r="B17" s="57">
        <v>-2.5</v>
      </c>
      <c r="C17" s="62">
        <v>48.47</v>
      </c>
      <c r="D17" s="55">
        <f t="shared" si="2"/>
        <v>13.614021290340697</v>
      </c>
      <c r="E17" s="54">
        <f>SUM(D6:D17)</f>
        <v>34.143190180602744</v>
      </c>
      <c r="G17" s="48">
        <f t="shared" si="3"/>
        <v>-2.5</v>
      </c>
      <c r="H17" s="61">
        <v>42.68</v>
      </c>
      <c r="I17" s="60">
        <v>4.4800000000000004</v>
      </c>
      <c r="J17" s="59">
        <v>0</v>
      </c>
      <c r="K17" s="60">
        <v>0</v>
      </c>
      <c r="L17" s="60">
        <v>0</v>
      </c>
      <c r="M17" s="60">
        <v>0</v>
      </c>
      <c r="N17" s="60">
        <v>0</v>
      </c>
      <c r="O17" s="59">
        <v>0</v>
      </c>
      <c r="P17" s="50">
        <f t="shared" si="4"/>
        <v>47.16</v>
      </c>
      <c r="R17" s="48">
        <f t="shared" si="5"/>
        <v>-2.5</v>
      </c>
      <c r="S17" s="47">
        <f t="shared" si="13"/>
        <v>11.987753840968454</v>
      </c>
      <c r="T17" s="66">
        <f t="shared" si="13"/>
        <v>1.258320928011684</v>
      </c>
      <c r="U17" s="65">
        <f t="shared" si="13"/>
        <v>0</v>
      </c>
      <c r="V17" s="66">
        <f t="shared" si="13"/>
        <v>0</v>
      </c>
      <c r="W17" s="66">
        <f t="shared" si="13"/>
        <v>0</v>
      </c>
      <c r="X17" s="66">
        <f t="shared" si="13"/>
        <v>0</v>
      </c>
      <c r="Y17" s="66">
        <f t="shared" si="13"/>
        <v>0</v>
      </c>
      <c r="Z17" s="65">
        <f t="shared" si="13"/>
        <v>0</v>
      </c>
      <c r="AA17" s="50">
        <f t="shared" si="7"/>
        <v>13.246074768980138</v>
      </c>
      <c r="AC17" s="48">
        <f t="shared" si="8"/>
        <v>-2.5</v>
      </c>
      <c r="AD17" s="67">
        <f t="shared" si="14"/>
        <v>90.500424088210337</v>
      </c>
      <c r="AE17" s="66">
        <f t="shared" si="14"/>
        <v>9.4995759117896519</v>
      </c>
      <c r="AF17" s="65">
        <f t="shared" si="14"/>
        <v>0</v>
      </c>
      <c r="AG17" s="67">
        <f t="shared" si="14"/>
        <v>0</v>
      </c>
      <c r="AH17" s="66">
        <f t="shared" si="14"/>
        <v>0</v>
      </c>
      <c r="AI17" s="66">
        <v>0</v>
      </c>
      <c r="AJ17" s="66">
        <f t="shared" si="15"/>
        <v>0</v>
      </c>
      <c r="AK17" s="65">
        <f t="shared" si="15"/>
        <v>0</v>
      </c>
      <c r="AL17" s="64">
        <f t="shared" si="10"/>
        <v>99.999999999999986</v>
      </c>
    </row>
    <row r="18" spans="1:38" x14ac:dyDescent="0.35">
      <c r="A18" s="58" t="s">
        <v>59</v>
      </c>
      <c r="B18" s="57">
        <v>-2</v>
      </c>
      <c r="C18" s="62">
        <v>40.659999999999997</v>
      </c>
      <c r="D18" s="55">
        <f t="shared" si="2"/>
        <v>11.420385922534612</v>
      </c>
      <c r="E18" s="54">
        <f>SUM(D6:D18)</f>
        <v>45.563576103137358</v>
      </c>
      <c r="G18" s="48">
        <f t="shared" si="3"/>
        <v>-2</v>
      </c>
      <c r="H18" s="61">
        <v>27.18</v>
      </c>
      <c r="I18" s="60">
        <v>8.67</v>
      </c>
      <c r="J18" s="59">
        <v>0</v>
      </c>
      <c r="K18" s="60">
        <v>0.99</v>
      </c>
      <c r="L18" s="60">
        <v>0</v>
      </c>
      <c r="M18" s="60">
        <v>2.27</v>
      </c>
      <c r="N18" s="60">
        <v>0</v>
      </c>
      <c r="O18" s="59">
        <v>0</v>
      </c>
      <c r="P18" s="50">
        <f t="shared" si="4"/>
        <v>39.110000000000007</v>
      </c>
      <c r="R18" s="48">
        <f t="shared" si="5"/>
        <v>-2</v>
      </c>
      <c r="S18" s="47">
        <f t="shared" si="13"/>
        <v>7.6341881302137429</v>
      </c>
      <c r="T18" s="66">
        <f t="shared" si="13"/>
        <v>2.4351880459511825</v>
      </c>
      <c r="U18" s="65">
        <f t="shared" si="13"/>
        <v>0</v>
      </c>
      <c r="V18" s="66">
        <f t="shared" si="13"/>
        <v>0.27806645507401051</v>
      </c>
      <c r="W18" s="66">
        <f t="shared" si="13"/>
        <v>0</v>
      </c>
      <c r="X18" s="66">
        <f t="shared" si="13"/>
        <v>0.6375867202202059</v>
      </c>
      <c r="Y18" s="66">
        <f t="shared" si="13"/>
        <v>0</v>
      </c>
      <c r="Z18" s="65">
        <f t="shared" si="13"/>
        <v>0</v>
      </c>
      <c r="AA18" s="50">
        <f t="shared" si="7"/>
        <v>10.985029351459143</v>
      </c>
      <c r="AC18" s="48">
        <f t="shared" si="8"/>
        <v>-2</v>
      </c>
      <c r="AD18" s="67">
        <f t="shared" si="14"/>
        <v>73.778501628664486</v>
      </c>
      <c r="AE18" s="66">
        <f t="shared" si="14"/>
        <v>23.534201954397385</v>
      </c>
      <c r="AF18" s="65">
        <f t="shared" si="14"/>
        <v>0</v>
      </c>
      <c r="AG18" s="67">
        <f t="shared" si="14"/>
        <v>2.6872964169381106</v>
      </c>
      <c r="AH18" s="66">
        <f t="shared" si="14"/>
        <v>0</v>
      </c>
      <c r="AI18" s="66">
        <v>0</v>
      </c>
      <c r="AJ18" s="66">
        <f t="shared" si="15"/>
        <v>0</v>
      </c>
      <c r="AK18" s="65">
        <f t="shared" si="15"/>
        <v>0</v>
      </c>
      <c r="AL18" s="64">
        <f t="shared" si="10"/>
        <v>99.999999999999986</v>
      </c>
    </row>
    <row r="19" spans="1:38" x14ac:dyDescent="0.35">
      <c r="A19" s="58" t="s">
        <v>58</v>
      </c>
      <c r="B19" s="57">
        <v>-1.5</v>
      </c>
      <c r="C19" s="62">
        <v>40.24</v>
      </c>
      <c r="D19" s="55">
        <f t="shared" si="2"/>
        <v>11.302418335533519</v>
      </c>
      <c r="E19" s="54">
        <f>SUM(D6:D19)</f>
        <v>56.865994438670874</v>
      </c>
      <c r="G19" s="48">
        <f t="shared" si="3"/>
        <v>-1.5</v>
      </c>
      <c r="H19" s="61">
        <v>24.39</v>
      </c>
      <c r="I19" s="60">
        <v>10.73</v>
      </c>
      <c r="J19" s="59">
        <v>0</v>
      </c>
      <c r="K19" s="60">
        <v>1.02</v>
      </c>
      <c r="L19" s="60">
        <v>0</v>
      </c>
      <c r="M19" s="60">
        <v>3.82</v>
      </c>
      <c r="N19" s="60">
        <v>0</v>
      </c>
      <c r="O19" s="59">
        <v>0</v>
      </c>
      <c r="P19" s="50">
        <f t="shared" si="4"/>
        <v>39.960000000000008</v>
      </c>
      <c r="R19" s="48">
        <f t="shared" si="5"/>
        <v>-1.5</v>
      </c>
      <c r="S19" s="47">
        <f t="shared" si="13"/>
        <v>6.8505463022778947</v>
      </c>
      <c r="T19" s="66">
        <f t="shared" si="13"/>
        <v>3.0137909726708414</v>
      </c>
      <c r="U19" s="65">
        <f t="shared" si="13"/>
        <v>0</v>
      </c>
      <c r="V19" s="66">
        <f t="shared" si="13"/>
        <v>0.28649271128837445</v>
      </c>
      <c r="W19" s="66">
        <f t="shared" si="13"/>
        <v>0</v>
      </c>
      <c r="X19" s="66">
        <f t="shared" si="13"/>
        <v>1.0729432912956769</v>
      </c>
      <c r="Y19" s="66">
        <f t="shared" si="13"/>
        <v>0</v>
      </c>
      <c r="Z19" s="65">
        <f t="shared" si="13"/>
        <v>0</v>
      </c>
      <c r="AA19" s="50">
        <f t="shared" si="7"/>
        <v>11.223773277532789</v>
      </c>
      <c r="AC19" s="48">
        <f t="shared" si="8"/>
        <v>-1.5</v>
      </c>
      <c r="AD19" s="67">
        <f t="shared" si="14"/>
        <v>67.487548422800216</v>
      </c>
      <c r="AE19" s="66">
        <f t="shared" si="14"/>
        <v>29.690094078583289</v>
      </c>
      <c r="AF19" s="65">
        <f t="shared" si="14"/>
        <v>0</v>
      </c>
      <c r="AG19" s="67">
        <f t="shared" si="14"/>
        <v>2.822357498616491</v>
      </c>
      <c r="AH19" s="66">
        <f t="shared" si="14"/>
        <v>0</v>
      </c>
      <c r="AI19" s="66">
        <v>0</v>
      </c>
      <c r="AJ19" s="66">
        <f t="shared" si="15"/>
        <v>0</v>
      </c>
      <c r="AK19" s="65">
        <f t="shared" si="15"/>
        <v>0</v>
      </c>
      <c r="AL19" s="64">
        <f t="shared" si="10"/>
        <v>100</v>
      </c>
    </row>
    <row r="20" spans="1:38" x14ac:dyDescent="0.35">
      <c r="A20" s="58" t="s">
        <v>57</v>
      </c>
      <c r="B20" s="57">
        <v>-1</v>
      </c>
      <c r="C20" s="62">
        <v>33.89</v>
      </c>
      <c r="D20" s="55">
        <f t="shared" si="2"/>
        <v>9.5188607701598151</v>
      </c>
      <c r="E20" s="54">
        <f>SUM(D6:D20)</f>
        <v>66.384855208830686</v>
      </c>
      <c r="G20" s="48">
        <f t="shared" si="3"/>
        <v>-1</v>
      </c>
      <c r="H20" s="61">
        <v>13.8</v>
      </c>
      <c r="I20" s="60">
        <v>12.89</v>
      </c>
      <c r="J20" s="59">
        <v>0</v>
      </c>
      <c r="K20" s="60">
        <v>1.79</v>
      </c>
      <c r="L20" s="60">
        <v>0</v>
      </c>
      <c r="M20" s="60">
        <v>5.07</v>
      </c>
      <c r="N20" s="60">
        <v>0</v>
      </c>
      <c r="O20" s="59">
        <v>0</v>
      </c>
      <c r="P20" s="50">
        <f t="shared" si="4"/>
        <v>33.549999999999997</v>
      </c>
      <c r="R20" s="48">
        <f t="shared" si="5"/>
        <v>-1</v>
      </c>
      <c r="S20" s="47">
        <f t="shared" si="13"/>
        <v>3.8760778586074194</v>
      </c>
      <c r="T20" s="66">
        <f t="shared" si="13"/>
        <v>3.6204814201050461</v>
      </c>
      <c r="U20" s="65">
        <f t="shared" si="13"/>
        <v>0</v>
      </c>
      <c r="V20" s="66">
        <f t="shared" si="13"/>
        <v>0.50276662079038259</v>
      </c>
      <c r="W20" s="66">
        <f t="shared" si="13"/>
        <v>0</v>
      </c>
      <c r="X20" s="66">
        <f t="shared" si="13"/>
        <v>1.4240373002275084</v>
      </c>
      <c r="Y20" s="66">
        <f t="shared" si="13"/>
        <v>0</v>
      </c>
      <c r="Z20" s="65">
        <f t="shared" si="13"/>
        <v>0</v>
      </c>
      <c r="AA20" s="50">
        <f t="shared" si="7"/>
        <v>9.4233631997303569</v>
      </c>
      <c r="AC20" s="48">
        <f t="shared" si="8"/>
        <v>-1</v>
      </c>
      <c r="AD20" s="67">
        <f t="shared" si="14"/>
        <v>48.455056179775276</v>
      </c>
      <c r="AE20" s="66">
        <f t="shared" si="14"/>
        <v>45.25983146067415</v>
      </c>
      <c r="AF20" s="65">
        <f t="shared" si="14"/>
        <v>0</v>
      </c>
      <c r="AG20" s="67">
        <f t="shared" si="14"/>
        <v>6.2851123595505607</v>
      </c>
      <c r="AH20" s="66">
        <f t="shared" si="14"/>
        <v>0</v>
      </c>
      <c r="AI20" s="66">
        <v>0</v>
      </c>
      <c r="AJ20" s="66">
        <f t="shared" si="15"/>
        <v>0</v>
      </c>
      <c r="AK20" s="65">
        <f t="shared" si="15"/>
        <v>0</v>
      </c>
      <c r="AL20" s="64">
        <f t="shared" si="10"/>
        <v>100</v>
      </c>
    </row>
    <row r="21" spans="1:38" x14ac:dyDescent="0.35">
      <c r="A21" s="58" t="s">
        <v>56</v>
      </c>
      <c r="B21" s="57">
        <v>-0.5</v>
      </c>
      <c r="C21" s="62">
        <v>27.23</v>
      </c>
      <c r="D21" s="55">
        <f t="shared" si="2"/>
        <v>7.6482318905710169</v>
      </c>
      <c r="E21" s="54">
        <f>SUM(D6:D21)</f>
        <v>74.033087099401698</v>
      </c>
      <c r="G21" s="70">
        <f t="shared" si="3"/>
        <v>-0.5</v>
      </c>
      <c r="H21" s="53">
        <v>12.94</v>
      </c>
      <c r="I21" s="52">
        <v>7.54</v>
      </c>
      <c r="J21" s="51">
        <v>0</v>
      </c>
      <c r="K21" s="52">
        <v>1.97</v>
      </c>
      <c r="L21" s="52">
        <v>0</v>
      </c>
      <c r="M21" s="52">
        <v>4.45</v>
      </c>
      <c r="N21" s="52">
        <v>0</v>
      </c>
      <c r="O21" s="51">
        <v>0</v>
      </c>
      <c r="P21" s="69">
        <f t="shared" si="4"/>
        <v>26.9</v>
      </c>
      <c r="Q21" s="68"/>
      <c r="R21" s="48">
        <f t="shared" si="5"/>
        <v>-0.5</v>
      </c>
      <c r="S21" s="47">
        <f t="shared" si="13"/>
        <v>3.6345251804623189</v>
      </c>
      <c r="T21" s="66">
        <f t="shared" si="13"/>
        <v>2.1177990618768074</v>
      </c>
      <c r="U21" s="65">
        <f t="shared" si="13"/>
        <v>0</v>
      </c>
      <c r="V21" s="66">
        <f t="shared" si="13"/>
        <v>0.55332415807656632</v>
      </c>
      <c r="W21" s="66">
        <f t="shared" si="13"/>
        <v>0</v>
      </c>
      <c r="X21" s="66">
        <f t="shared" si="13"/>
        <v>1.2498946717973201</v>
      </c>
      <c r="Y21" s="66">
        <f t="shared" si="13"/>
        <v>0</v>
      </c>
      <c r="Z21" s="65">
        <f t="shared" si="13"/>
        <v>0</v>
      </c>
      <c r="AA21" s="50">
        <f t="shared" si="7"/>
        <v>7.5555430722130126</v>
      </c>
      <c r="AC21" s="48">
        <f t="shared" si="8"/>
        <v>-0.5</v>
      </c>
      <c r="AD21" s="67">
        <f t="shared" si="14"/>
        <v>57.639198218262806</v>
      </c>
      <c r="AE21" s="66">
        <f t="shared" si="14"/>
        <v>33.585746102449896</v>
      </c>
      <c r="AF21" s="65">
        <f t="shared" si="14"/>
        <v>0</v>
      </c>
      <c r="AG21" s="67">
        <f t="shared" si="14"/>
        <v>8.7750556792873056</v>
      </c>
      <c r="AH21" s="66">
        <f t="shared" si="14"/>
        <v>0</v>
      </c>
      <c r="AI21" s="66">
        <v>0</v>
      </c>
      <c r="AJ21" s="66">
        <f t="shared" si="15"/>
        <v>0</v>
      </c>
      <c r="AK21" s="65">
        <f t="shared" si="15"/>
        <v>0</v>
      </c>
      <c r="AL21" s="64">
        <f t="shared" si="10"/>
        <v>100</v>
      </c>
    </row>
    <row r="22" spans="1:38" x14ac:dyDescent="0.35">
      <c r="A22" s="58" t="s">
        <v>55</v>
      </c>
      <c r="B22" s="57">
        <v>0</v>
      </c>
      <c r="C22" s="62">
        <v>16.11</v>
      </c>
      <c r="D22" s="55">
        <f t="shared" si="2"/>
        <v>4.5248995871134436</v>
      </c>
      <c r="E22" s="54">
        <f>SUM(D6:D22)</f>
        <v>78.557986686515136</v>
      </c>
      <c r="G22" s="48">
        <f t="shared" si="3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4"/>
        <v>0</v>
      </c>
      <c r="R22" s="48">
        <f t="shared" si="5"/>
        <v>0</v>
      </c>
      <c r="S22" s="47">
        <f t="shared" si="13"/>
        <v>0</v>
      </c>
      <c r="T22" s="46">
        <f t="shared" si="13"/>
        <v>0</v>
      </c>
      <c r="U22" s="45">
        <f t="shared" si="13"/>
        <v>0</v>
      </c>
      <c r="V22" s="46">
        <f t="shared" si="13"/>
        <v>0</v>
      </c>
      <c r="W22" s="46">
        <f t="shared" si="13"/>
        <v>0</v>
      </c>
      <c r="X22" s="46">
        <f t="shared" si="13"/>
        <v>0</v>
      </c>
      <c r="Y22" s="46">
        <f t="shared" si="13"/>
        <v>0</v>
      </c>
      <c r="Z22" s="45">
        <f t="shared" si="13"/>
        <v>0</v>
      </c>
      <c r="AA22" s="49">
        <f t="shared" si="7"/>
        <v>0</v>
      </c>
      <c r="AC22" s="48">
        <f t="shared" si="8"/>
        <v>0</v>
      </c>
      <c r="AD22" s="47" t="e">
        <f t="shared" si="14"/>
        <v>#DIV/0!</v>
      </c>
      <c r="AE22" s="46" t="e">
        <f t="shared" si="14"/>
        <v>#DIV/0!</v>
      </c>
      <c r="AF22" s="45" t="e">
        <f t="shared" si="14"/>
        <v>#DIV/0!</v>
      </c>
      <c r="AG22" s="47" t="e">
        <f t="shared" si="14"/>
        <v>#DIV/0!</v>
      </c>
      <c r="AH22" s="46" t="e">
        <f t="shared" si="14"/>
        <v>#DIV/0!</v>
      </c>
      <c r="AI22" s="46" t="e">
        <f t="shared" ref="AI22:AI33" si="16">X22*100/(SUM($S22:$W22)+SUM($Y22:$Z22))</f>
        <v>#DIV/0!</v>
      </c>
      <c r="AJ22" s="46" t="e">
        <f t="shared" si="15"/>
        <v>#DIV/0!</v>
      </c>
      <c r="AK22" s="45" t="e">
        <f t="shared" si="15"/>
        <v>#DIV/0!</v>
      </c>
      <c r="AL22" s="44" t="e">
        <f t="shared" si="10"/>
        <v>#DIV/0!</v>
      </c>
    </row>
    <row r="23" spans="1:38" x14ac:dyDescent="0.35">
      <c r="A23" s="58" t="s">
        <v>54</v>
      </c>
      <c r="B23" s="57">
        <v>0.5</v>
      </c>
      <c r="C23" s="62">
        <v>9.2100000000000009</v>
      </c>
      <c r="D23" s="55">
        <f t="shared" si="2"/>
        <v>2.5868606578097344</v>
      </c>
      <c r="E23" s="54">
        <f>SUM(D6:D23)</f>
        <v>81.144847344324873</v>
      </c>
      <c r="G23" s="48">
        <f t="shared" si="3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4"/>
        <v>0</v>
      </c>
      <c r="R23" s="48">
        <f t="shared" si="5"/>
        <v>0.5</v>
      </c>
      <c r="S23" s="47">
        <f t="shared" si="13"/>
        <v>0</v>
      </c>
      <c r="T23" s="46">
        <f t="shared" si="13"/>
        <v>0</v>
      </c>
      <c r="U23" s="45">
        <f t="shared" si="13"/>
        <v>0</v>
      </c>
      <c r="V23" s="46">
        <f t="shared" si="13"/>
        <v>0</v>
      </c>
      <c r="W23" s="46">
        <f t="shared" si="13"/>
        <v>0</v>
      </c>
      <c r="X23" s="46">
        <f t="shared" si="13"/>
        <v>0</v>
      </c>
      <c r="Y23" s="46">
        <f t="shared" si="13"/>
        <v>0</v>
      </c>
      <c r="Z23" s="45">
        <f t="shared" si="13"/>
        <v>0</v>
      </c>
      <c r="AA23" s="49">
        <f t="shared" si="7"/>
        <v>0</v>
      </c>
      <c r="AC23" s="48">
        <f t="shared" si="8"/>
        <v>0.5</v>
      </c>
      <c r="AD23" s="47" t="e">
        <f t="shared" si="14"/>
        <v>#DIV/0!</v>
      </c>
      <c r="AE23" s="46" t="e">
        <f t="shared" si="14"/>
        <v>#DIV/0!</v>
      </c>
      <c r="AF23" s="45" t="e">
        <f t="shared" si="14"/>
        <v>#DIV/0!</v>
      </c>
      <c r="AG23" s="47" t="e">
        <f t="shared" si="14"/>
        <v>#DIV/0!</v>
      </c>
      <c r="AH23" s="46" t="e">
        <f t="shared" si="14"/>
        <v>#DIV/0!</v>
      </c>
      <c r="AI23" s="46" t="e">
        <f t="shared" si="16"/>
        <v>#DIV/0!</v>
      </c>
      <c r="AJ23" s="46" t="e">
        <f t="shared" si="15"/>
        <v>#DIV/0!</v>
      </c>
      <c r="AK23" s="45" t="e">
        <f t="shared" si="15"/>
        <v>#DIV/0!</v>
      </c>
      <c r="AL23" s="44" t="e">
        <f t="shared" si="10"/>
        <v>#DIV/0!</v>
      </c>
    </row>
    <row r="24" spans="1:38" x14ac:dyDescent="0.35">
      <c r="A24" s="58" t="s">
        <v>53</v>
      </c>
      <c r="B24" s="57">
        <v>1</v>
      </c>
      <c r="C24" s="63">
        <v>4.74</v>
      </c>
      <c r="D24" s="55">
        <f t="shared" si="2"/>
        <v>1.3313484818695049</v>
      </c>
      <c r="E24" s="54">
        <f>SUM(D6:D24)</f>
        <v>82.476195826194385</v>
      </c>
      <c r="G24" s="48">
        <f t="shared" si="3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4"/>
        <v>0</v>
      </c>
      <c r="R24" s="48">
        <f t="shared" si="5"/>
        <v>1</v>
      </c>
      <c r="S24" s="47">
        <f t="shared" si="13"/>
        <v>0</v>
      </c>
      <c r="T24" s="46">
        <f t="shared" si="13"/>
        <v>0</v>
      </c>
      <c r="U24" s="45">
        <f t="shared" si="13"/>
        <v>0</v>
      </c>
      <c r="V24" s="46">
        <f t="shared" si="13"/>
        <v>0</v>
      </c>
      <c r="W24" s="46">
        <f t="shared" si="13"/>
        <v>0</v>
      </c>
      <c r="X24" s="46">
        <f t="shared" si="13"/>
        <v>0</v>
      </c>
      <c r="Y24" s="46">
        <f t="shared" si="13"/>
        <v>0</v>
      </c>
      <c r="Z24" s="45">
        <f t="shared" si="13"/>
        <v>0</v>
      </c>
      <c r="AA24" s="49">
        <f t="shared" si="7"/>
        <v>0</v>
      </c>
      <c r="AC24" s="48">
        <f t="shared" si="8"/>
        <v>1</v>
      </c>
      <c r="AD24" s="47" t="e">
        <f t="shared" si="14"/>
        <v>#DIV/0!</v>
      </c>
      <c r="AE24" s="46" t="e">
        <f t="shared" si="14"/>
        <v>#DIV/0!</v>
      </c>
      <c r="AF24" s="45" t="e">
        <f t="shared" si="14"/>
        <v>#DIV/0!</v>
      </c>
      <c r="AG24" s="47" t="e">
        <f t="shared" si="14"/>
        <v>#DIV/0!</v>
      </c>
      <c r="AH24" s="46" t="e">
        <f t="shared" si="14"/>
        <v>#DIV/0!</v>
      </c>
      <c r="AI24" s="46" t="e">
        <f t="shared" si="16"/>
        <v>#DIV/0!</v>
      </c>
      <c r="AJ24" s="46" t="e">
        <f t="shared" si="15"/>
        <v>#DIV/0!</v>
      </c>
      <c r="AK24" s="45" t="e">
        <f t="shared" si="15"/>
        <v>#DIV/0!</v>
      </c>
      <c r="AL24" s="44" t="e">
        <f t="shared" si="10"/>
        <v>#DIV/0!</v>
      </c>
    </row>
    <row r="25" spans="1:38" x14ac:dyDescent="0.35">
      <c r="A25" s="58" t="s">
        <v>52</v>
      </c>
      <c r="B25" s="57">
        <v>1.5</v>
      </c>
      <c r="C25" s="62">
        <v>2.86</v>
      </c>
      <c r="D25" s="55">
        <f t="shared" si="2"/>
        <v>0.80330309243603037</v>
      </c>
      <c r="E25" s="54">
        <f>SUM(D6:D25)</f>
        <v>83.279498918630409</v>
      </c>
      <c r="G25" s="48">
        <f t="shared" si="3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4"/>
        <v>0</v>
      </c>
      <c r="R25" s="48">
        <f t="shared" si="5"/>
        <v>1.5</v>
      </c>
      <c r="S25" s="47">
        <f t="shared" si="13"/>
        <v>0</v>
      </c>
      <c r="T25" s="46">
        <f t="shared" si="13"/>
        <v>0</v>
      </c>
      <c r="U25" s="45">
        <f t="shared" si="13"/>
        <v>0</v>
      </c>
      <c r="V25" s="46">
        <f t="shared" si="13"/>
        <v>0</v>
      </c>
      <c r="W25" s="46">
        <f t="shared" si="13"/>
        <v>0</v>
      </c>
      <c r="X25" s="46">
        <f t="shared" si="13"/>
        <v>0</v>
      </c>
      <c r="Y25" s="46">
        <f t="shared" si="13"/>
        <v>0</v>
      </c>
      <c r="Z25" s="45">
        <f t="shared" si="13"/>
        <v>0</v>
      </c>
      <c r="AA25" s="49">
        <f t="shared" si="7"/>
        <v>0</v>
      </c>
      <c r="AC25" s="48">
        <f t="shared" si="8"/>
        <v>1.5</v>
      </c>
      <c r="AD25" s="47" t="e">
        <f t="shared" si="14"/>
        <v>#DIV/0!</v>
      </c>
      <c r="AE25" s="46" t="e">
        <f t="shared" si="14"/>
        <v>#DIV/0!</v>
      </c>
      <c r="AF25" s="45" t="e">
        <f t="shared" si="14"/>
        <v>#DIV/0!</v>
      </c>
      <c r="AG25" s="47" t="e">
        <f t="shared" si="14"/>
        <v>#DIV/0!</v>
      </c>
      <c r="AH25" s="46" t="e">
        <f t="shared" si="14"/>
        <v>#DIV/0!</v>
      </c>
      <c r="AI25" s="46" t="e">
        <f t="shared" si="16"/>
        <v>#DIV/0!</v>
      </c>
      <c r="AJ25" s="46" t="e">
        <f t="shared" si="15"/>
        <v>#DIV/0!</v>
      </c>
      <c r="AK25" s="45" t="e">
        <f t="shared" si="15"/>
        <v>#DIV/0!</v>
      </c>
      <c r="AL25" s="44" t="e">
        <f t="shared" si="10"/>
        <v>#DIV/0!</v>
      </c>
    </row>
    <row r="26" spans="1:38" x14ac:dyDescent="0.35">
      <c r="A26" s="58" t="s">
        <v>51</v>
      </c>
      <c r="B26" s="57">
        <v>2</v>
      </c>
      <c r="C26" s="62">
        <v>2.73</v>
      </c>
      <c r="D26" s="55">
        <f t="shared" si="2"/>
        <v>0.76678931550711982</v>
      </c>
      <c r="E26" s="54">
        <f>SUM(D6:D26)</f>
        <v>84.046288234137535</v>
      </c>
      <c r="G26" s="48">
        <f t="shared" si="3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4"/>
        <v>0</v>
      </c>
      <c r="R26" s="48">
        <f t="shared" si="5"/>
        <v>2</v>
      </c>
      <c r="S26" s="47">
        <f t="shared" si="13"/>
        <v>0</v>
      </c>
      <c r="T26" s="46">
        <f t="shared" si="13"/>
        <v>0</v>
      </c>
      <c r="U26" s="45">
        <f t="shared" si="13"/>
        <v>0</v>
      </c>
      <c r="V26" s="46">
        <f t="shared" si="13"/>
        <v>0</v>
      </c>
      <c r="W26" s="46">
        <f t="shared" si="13"/>
        <v>0</v>
      </c>
      <c r="X26" s="46">
        <f t="shared" si="13"/>
        <v>0</v>
      </c>
      <c r="Y26" s="46">
        <f t="shared" si="13"/>
        <v>0</v>
      </c>
      <c r="Z26" s="45">
        <f t="shared" si="13"/>
        <v>0</v>
      </c>
      <c r="AA26" s="49">
        <f t="shared" si="7"/>
        <v>0</v>
      </c>
      <c r="AC26" s="48">
        <f t="shared" si="8"/>
        <v>2</v>
      </c>
      <c r="AD26" s="47" t="e">
        <f t="shared" si="14"/>
        <v>#DIV/0!</v>
      </c>
      <c r="AE26" s="46" t="e">
        <f t="shared" si="14"/>
        <v>#DIV/0!</v>
      </c>
      <c r="AF26" s="45" t="e">
        <f t="shared" si="14"/>
        <v>#DIV/0!</v>
      </c>
      <c r="AG26" s="47" t="e">
        <f t="shared" si="14"/>
        <v>#DIV/0!</v>
      </c>
      <c r="AH26" s="46" t="e">
        <f t="shared" si="14"/>
        <v>#DIV/0!</v>
      </c>
      <c r="AI26" s="46" t="e">
        <f t="shared" si="16"/>
        <v>#DIV/0!</v>
      </c>
      <c r="AJ26" s="46" t="e">
        <f t="shared" si="15"/>
        <v>#DIV/0!</v>
      </c>
      <c r="AK26" s="45" t="e">
        <f t="shared" si="15"/>
        <v>#DIV/0!</v>
      </c>
      <c r="AL26" s="44" t="e">
        <f t="shared" si="10"/>
        <v>#DIV/0!</v>
      </c>
    </row>
    <row r="27" spans="1:38" x14ac:dyDescent="0.35">
      <c r="A27" s="58" t="s">
        <v>50</v>
      </c>
      <c r="B27" s="57">
        <v>2.5</v>
      </c>
      <c r="C27" s="62">
        <v>2.61</v>
      </c>
      <c r="D27" s="55">
        <f t="shared" si="2"/>
        <v>0.73308429064966407</v>
      </c>
      <c r="E27" s="54">
        <f>SUM(D7:D27)</f>
        <v>84.779372524787192</v>
      </c>
      <c r="G27" s="48">
        <f t="shared" si="3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4"/>
        <v>0</v>
      </c>
      <c r="R27" s="48">
        <f t="shared" si="5"/>
        <v>2.5</v>
      </c>
      <c r="S27" s="47">
        <f t="shared" si="13"/>
        <v>0</v>
      </c>
      <c r="T27" s="46">
        <f t="shared" si="13"/>
        <v>0</v>
      </c>
      <c r="U27" s="45">
        <f t="shared" si="13"/>
        <v>0</v>
      </c>
      <c r="V27" s="46">
        <f t="shared" si="13"/>
        <v>0</v>
      </c>
      <c r="W27" s="46">
        <f t="shared" si="13"/>
        <v>0</v>
      </c>
      <c r="X27" s="46">
        <f t="shared" si="13"/>
        <v>0</v>
      </c>
      <c r="Y27" s="46">
        <f t="shared" si="13"/>
        <v>0</v>
      </c>
      <c r="Z27" s="45">
        <f t="shared" si="13"/>
        <v>0</v>
      </c>
      <c r="AA27" s="49">
        <f t="shared" si="7"/>
        <v>0</v>
      </c>
      <c r="AC27" s="48">
        <f t="shared" si="8"/>
        <v>2.5</v>
      </c>
      <c r="AD27" s="47" t="e">
        <f t="shared" si="14"/>
        <v>#DIV/0!</v>
      </c>
      <c r="AE27" s="46" t="e">
        <f t="shared" si="14"/>
        <v>#DIV/0!</v>
      </c>
      <c r="AF27" s="45" t="e">
        <f t="shared" si="14"/>
        <v>#DIV/0!</v>
      </c>
      <c r="AG27" s="47" t="e">
        <f t="shared" si="14"/>
        <v>#DIV/0!</v>
      </c>
      <c r="AH27" s="46" t="e">
        <f t="shared" si="14"/>
        <v>#DIV/0!</v>
      </c>
      <c r="AI27" s="46" t="e">
        <f t="shared" si="16"/>
        <v>#DIV/0!</v>
      </c>
      <c r="AJ27" s="46" t="e">
        <f t="shared" si="15"/>
        <v>#DIV/0!</v>
      </c>
      <c r="AK27" s="45" t="e">
        <f t="shared" si="15"/>
        <v>#DIV/0!</v>
      </c>
      <c r="AL27" s="44" t="e">
        <f t="shared" si="10"/>
        <v>#DIV/0!</v>
      </c>
    </row>
    <row r="28" spans="1:38" x14ac:dyDescent="0.35">
      <c r="A28" s="58" t="s">
        <v>49</v>
      </c>
      <c r="B28" s="57">
        <v>3</v>
      </c>
      <c r="C28" s="56">
        <v>3.16</v>
      </c>
      <c r="D28" s="55">
        <f t="shared" si="2"/>
        <v>0.88756565457966985</v>
      </c>
      <c r="E28" s="54">
        <f>SUM(D7:D28)</f>
        <v>85.666938179366866</v>
      </c>
      <c r="G28" s="48">
        <f t="shared" si="3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4"/>
        <v>0</v>
      </c>
      <c r="R28" s="48">
        <f t="shared" si="5"/>
        <v>3</v>
      </c>
      <c r="S28" s="47">
        <f t="shared" si="13"/>
        <v>0</v>
      </c>
      <c r="T28" s="46">
        <f t="shared" si="13"/>
        <v>0</v>
      </c>
      <c r="U28" s="45">
        <f t="shared" si="13"/>
        <v>0</v>
      </c>
      <c r="V28" s="46">
        <f t="shared" si="13"/>
        <v>0</v>
      </c>
      <c r="W28" s="46">
        <f t="shared" si="13"/>
        <v>0</v>
      </c>
      <c r="X28" s="46">
        <f t="shared" si="13"/>
        <v>0</v>
      </c>
      <c r="Y28" s="46">
        <f t="shared" si="13"/>
        <v>0</v>
      </c>
      <c r="Z28" s="45">
        <f t="shared" si="13"/>
        <v>0</v>
      </c>
      <c r="AA28" s="49">
        <f t="shared" si="7"/>
        <v>0</v>
      </c>
      <c r="AC28" s="48">
        <f t="shared" si="8"/>
        <v>3</v>
      </c>
      <c r="AD28" s="47" t="e">
        <f t="shared" si="14"/>
        <v>#DIV/0!</v>
      </c>
      <c r="AE28" s="46" t="e">
        <f t="shared" si="14"/>
        <v>#DIV/0!</v>
      </c>
      <c r="AF28" s="45" t="e">
        <f t="shared" si="14"/>
        <v>#DIV/0!</v>
      </c>
      <c r="AG28" s="47" t="e">
        <f t="shared" si="14"/>
        <v>#DIV/0!</v>
      </c>
      <c r="AH28" s="46" t="e">
        <f t="shared" si="14"/>
        <v>#DIV/0!</v>
      </c>
      <c r="AI28" s="46" t="e">
        <f t="shared" si="16"/>
        <v>#DIV/0!</v>
      </c>
      <c r="AJ28" s="46" t="e">
        <f t="shared" si="15"/>
        <v>#DIV/0!</v>
      </c>
      <c r="AK28" s="45" t="e">
        <f t="shared" si="15"/>
        <v>#DIV/0!</v>
      </c>
      <c r="AL28" s="44" t="e">
        <f t="shared" si="10"/>
        <v>#DIV/0!</v>
      </c>
    </row>
    <row r="29" spans="1:38" x14ac:dyDescent="0.35">
      <c r="A29" s="58" t="s">
        <v>48</v>
      </c>
      <c r="B29" s="57">
        <v>3.5</v>
      </c>
      <c r="C29" s="56">
        <v>7.04</v>
      </c>
      <c r="D29" s="55">
        <f t="shared" si="2"/>
        <v>1.9773614583040746</v>
      </c>
      <c r="E29" s="54">
        <f>SUM(D7:D29)</f>
        <v>87.64429963767094</v>
      </c>
      <c r="G29" s="48">
        <f t="shared" si="3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59">
        <v>0</v>
      </c>
      <c r="P29" s="50">
        <f t="shared" si="4"/>
        <v>0</v>
      </c>
      <c r="R29" s="48">
        <f t="shared" si="5"/>
        <v>3.5</v>
      </c>
      <c r="S29" s="47">
        <f t="shared" si="13"/>
        <v>0</v>
      </c>
      <c r="T29" s="46">
        <f t="shared" si="13"/>
        <v>0</v>
      </c>
      <c r="U29" s="45">
        <f t="shared" si="13"/>
        <v>0</v>
      </c>
      <c r="V29" s="46">
        <f t="shared" si="13"/>
        <v>0</v>
      </c>
      <c r="W29" s="46">
        <f t="shared" si="13"/>
        <v>0</v>
      </c>
      <c r="X29" s="46">
        <f t="shared" si="13"/>
        <v>0</v>
      </c>
      <c r="Y29" s="46">
        <f t="shared" si="13"/>
        <v>0</v>
      </c>
      <c r="Z29" s="45">
        <f t="shared" si="13"/>
        <v>0</v>
      </c>
      <c r="AA29" s="49">
        <f t="shared" si="7"/>
        <v>0</v>
      </c>
      <c r="AC29" s="48">
        <f t="shared" si="8"/>
        <v>3.5</v>
      </c>
      <c r="AD29" s="47" t="e">
        <f t="shared" si="14"/>
        <v>#DIV/0!</v>
      </c>
      <c r="AE29" s="46" t="e">
        <f t="shared" si="14"/>
        <v>#DIV/0!</v>
      </c>
      <c r="AF29" s="45" t="e">
        <f t="shared" si="14"/>
        <v>#DIV/0!</v>
      </c>
      <c r="AG29" s="47" t="e">
        <f t="shared" si="14"/>
        <v>#DIV/0!</v>
      </c>
      <c r="AH29" s="46" t="e">
        <f t="shared" si="14"/>
        <v>#DIV/0!</v>
      </c>
      <c r="AI29" s="46" t="e">
        <f t="shared" si="16"/>
        <v>#DIV/0!</v>
      </c>
      <c r="AJ29" s="46" t="e">
        <f t="shared" si="15"/>
        <v>#DIV/0!</v>
      </c>
      <c r="AK29" s="45" t="e">
        <f t="shared" si="15"/>
        <v>#DIV/0!</v>
      </c>
      <c r="AL29" s="44" t="e">
        <f t="shared" si="10"/>
        <v>#DIV/0!</v>
      </c>
    </row>
    <row r="30" spans="1:38" x14ac:dyDescent="0.35">
      <c r="A30" s="58" t="s">
        <v>47</v>
      </c>
      <c r="B30" s="57">
        <v>4</v>
      </c>
      <c r="C30" s="56">
        <v>12.51</v>
      </c>
      <c r="D30" s="55">
        <f t="shared" si="2"/>
        <v>3.5137488413897691</v>
      </c>
      <c r="E30" s="54">
        <f>SUM(D7:D30)</f>
        <v>91.15804847906071</v>
      </c>
      <c r="G30" s="48">
        <f t="shared" si="3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59">
        <v>0</v>
      </c>
      <c r="P30" s="50">
        <f t="shared" si="4"/>
        <v>0</v>
      </c>
      <c r="R30" s="48">
        <f t="shared" si="5"/>
        <v>4</v>
      </c>
      <c r="S30" s="47">
        <f t="shared" si="13"/>
        <v>0</v>
      </c>
      <c r="T30" s="46">
        <f t="shared" si="13"/>
        <v>0</v>
      </c>
      <c r="U30" s="45">
        <f t="shared" si="13"/>
        <v>0</v>
      </c>
      <c r="V30" s="46">
        <f t="shared" si="13"/>
        <v>0</v>
      </c>
      <c r="W30" s="46">
        <f t="shared" si="13"/>
        <v>0</v>
      </c>
      <c r="X30" s="46">
        <f t="shared" si="13"/>
        <v>0</v>
      </c>
      <c r="Y30" s="46">
        <f t="shared" si="13"/>
        <v>0</v>
      </c>
      <c r="Z30" s="45">
        <f t="shared" si="13"/>
        <v>0</v>
      </c>
      <c r="AA30" s="49">
        <f t="shared" si="7"/>
        <v>0</v>
      </c>
      <c r="AC30" s="48">
        <f t="shared" si="8"/>
        <v>4</v>
      </c>
      <c r="AD30" s="47" t="e">
        <f t="shared" si="14"/>
        <v>#DIV/0!</v>
      </c>
      <c r="AE30" s="46" t="e">
        <f t="shared" si="14"/>
        <v>#DIV/0!</v>
      </c>
      <c r="AF30" s="45" t="e">
        <f t="shared" si="14"/>
        <v>#DIV/0!</v>
      </c>
      <c r="AG30" s="47" t="e">
        <f t="shared" si="14"/>
        <v>#DIV/0!</v>
      </c>
      <c r="AH30" s="46" t="e">
        <f t="shared" si="14"/>
        <v>#DIV/0!</v>
      </c>
      <c r="AI30" s="46" t="e">
        <f t="shared" si="16"/>
        <v>#DIV/0!</v>
      </c>
      <c r="AJ30" s="46" t="e">
        <f t="shared" si="15"/>
        <v>#DIV/0!</v>
      </c>
      <c r="AK30" s="45" t="e">
        <f t="shared" si="15"/>
        <v>#DIV/0!</v>
      </c>
      <c r="AL30" s="44" t="e">
        <f t="shared" si="10"/>
        <v>#DIV/0!</v>
      </c>
    </row>
    <row r="31" spans="1:38" x14ac:dyDescent="0.35">
      <c r="A31" s="58" t="s">
        <v>46</v>
      </c>
      <c r="B31" s="57">
        <v>4.5</v>
      </c>
      <c r="C31" s="56">
        <v>31.48</v>
      </c>
      <c r="D31" s="55">
        <f t="shared" si="2"/>
        <v>8.8419515209392436</v>
      </c>
      <c r="E31" s="54">
        <f>SUM(D7:D31)</f>
        <v>99.999999999999957</v>
      </c>
      <c r="G31" s="48">
        <f t="shared" si="3"/>
        <v>4.5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59">
        <v>0</v>
      </c>
      <c r="P31" s="50">
        <f t="shared" si="4"/>
        <v>0</v>
      </c>
      <c r="R31" s="48" t="s">
        <v>118</v>
      </c>
      <c r="S31" s="47">
        <f t="shared" si="13"/>
        <v>0</v>
      </c>
      <c r="T31" s="46">
        <f t="shared" si="13"/>
        <v>0</v>
      </c>
      <c r="U31" s="45">
        <f t="shared" si="13"/>
        <v>0</v>
      </c>
      <c r="V31" s="46">
        <f t="shared" si="13"/>
        <v>0</v>
      </c>
      <c r="W31" s="46">
        <f t="shared" si="13"/>
        <v>0</v>
      </c>
      <c r="X31" s="46">
        <f t="shared" si="13"/>
        <v>0</v>
      </c>
      <c r="Y31" s="46">
        <f t="shared" si="13"/>
        <v>0</v>
      </c>
      <c r="Z31" s="45">
        <f t="shared" si="13"/>
        <v>0</v>
      </c>
      <c r="AA31" s="49">
        <f t="shared" si="7"/>
        <v>0</v>
      </c>
      <c r="AC31" s="48" t="str">
        <f t="shared" si="8"/>
        <v>&gt;4.0</v>
      </c>
      <c r="AD31" s="47" t="e">
        <f t="shared" si="14"/>
        <v>#DIV/0!</v>
      </c>
      <c r="AE31" s="46" t="e">
        <f t="shared" si="14"/>
        <v>#DIV/0!</v>
      </c>
      <c r="AF31" s="45" t="e">
        <f t="shared" si="14"/>
        <v>#DIV/0!</v>
      </c>
      <c r="AG31" s="47" t="e">
        <f t="shared" si="14"/>
        <v>#DIV/0!</v>
      </c>
      <c r="AH31" s="46" t="e">
        <f t="shared" si="14"/>
        <v>#DIV/0!</v>
      </c>
      <c r="AI31" s="46" t="e">
        <f t="shared" si="16"/>
        <v>#DIV/0!</v>
      </c>
      <c r="AJ31" s="46" t="e">
        <f t="shared" si="15"/>
        <v>#DIV/0!</v>
      </c>
      <c r="AK31" s="45" t="e">
        <f t="shared" si="15"/>
        <v>#DIV/0!</v>
      </c>
      <c r="AL31" s="44" t="e">
        <f t="shared" si="10"/>
        <v>#DIV/0!</v>
      </c>
    </row>
    <row r="32" spans="1:38" x14ac:dyDescent="0.35">
      <c r="A32" s="58" t="s">
        <v>45</v>
      </c>
      <c r="B32" s="57">
        <v>5</v>
      </c>
      <c r="C32" s="56">
        <v>0</v>
      </c>
      <c r="D32" s="55">
        <f t="shared" si="2"/>
        <v>0</v>
      </c>
      <c r="E32" s="54">
        <f>SUM(D7:D32)</f>
        <v>99.999999999999957</v>
      </c>
      <c r="G32" s="48">
        <f t="shared" si="3"/>
        <v>5</v>
      </c>
      <c r="H32" s="53">
        <v>0</v>
      </c>
      <c r="I32" s="52">
        <v>0</v>
      </c>
      <c r="J32" s="51">
        <v>0</v>
      </c>
      <c r="K32" s="52">
        <v>0</v>
      </c>
      <c r="L32" s="52">
        <v>0</v>
      </c>
      <c r="M32" s="52">
        <v>0</v>
      </c>
      <c r="N32" s="52">
        <v>0</v>
      </c>
      <c r="O32" s="51">
        <v>0</v>
      </c>
      <c r="P32" s="50">
        <f t="shared" si="4"/>
        <v>0</v>
      </c>
      <c r="R32" s="48">
        <f t="shared" si="5"/>
        <v>5</v>
      </c>
      <c r="S32" s="47">
        <f t="shared" si="13"/>
        <v>0</v>
      </c>
      <c r="T32" s="46">
        <f t="shared" si="13"/>
        <v>0</v>
      </c>
      <c r="U32" s="45">
        <f t="shared" si="13"/>
        <v>0</v>
      </c>
      <c r="V32" s="46">
        <f t="shared" si="13"/>
        <v>0</v>
      </c>
      <c r="W32" s="46">
        <f t="shared" si="13"/>
        <v>0</v>
      </c>
      <c r="X32" s="46">
        <f t="shared" si="13"/>
        <v>0</v>
      </c>
      <c r="Y32" s="46">
        <f t="shared" si="13"/>
        <v>0</v>
      </c>
      <c r="Z32" s="45">
        <f t="shared" si="13"/>
        <v>0</v>
      </c>
      <c r="AA32" s="49">
        <f t="shared" si="7"/>
        <v>0</v>
      </c>
      <c r="AC32" s="48">
        <f t="shared" si="8"/>
        <v>5</v>
      </c>
      <c r="AD32" s="47" t="e">
        <f t="shared" si="14"/>
        <v>#DIV/0!</v>
      </c>
      <c r="AE32" s="46" t="e">
        <f t="shared" si="14"/>
        <v>#DIV/0!</v>
      </c>
      <c r="AF32" s="45" t="e">
        <f t="shared" si="14"/>
        <v>#DIV/0!</v>
      </c>
      <c r="AG32" s="47" t="e">
        <f t="shared" si="14"/>
        <v>#DIV/0!</v>
      </c>
      <c r="AH32" s="46" t="e">
        <f t="shared" si="14"/>
        <v>#DIV/0!</v>
      </c>
      <c r="AI32" s="46" t="e">
        <f t="shared" si="16"/>
        <v>#DIV/0!</v>
      </c>
      <c r="AJ32" s="46" t="e">
        <f t="shared" si="15"/>
        <v>#DIV/0!</v>
      </c>
      <c r="AK32" s="45" t="e">
        <f t="shared" si="15"/>
        <v>#DIV/0!</v>
      </c>
      <c r="AL32" s="44" t="e">
        <f t="shared" si="10"/>
        <v>#DIV/0!</v>
      </c>
    </row>
    <row r="33" spans="1:38" ht="15" thickBot="1" x14ac:dyDescent="0.4">
      <c r="A33" s="43" t="s">
        <v>44</v>
      </c>
      <c r="B33" s="42" t="s">
        <v>43</v>
      </c>
      <c r="C33" s="41">
        <v>0</v>
      </c>
      <c r="D33" s="40">
        <f t="shared" si="2"/>
        <v>0</v>
      </c>
      <c r="E33" s="39">
        <f>SUM(D7:D33)</f>
        <v>99.999999999999957</v>
      </c>
      <c r="G33" s="33" t="str">
        <f t="shared" si="3"/>
        <v>&gt;6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4"/>
        <v>0</v>
      </c>
      <c r="R33" s="33" t="str">
        <f t="shared" si="5"/>
        <v>&gt;6</v>
      </c>
      <c r="S33" s="47">
        <f t="shared" si="13"/>
        <v>0</v>
      </c>
      <c r="T33" s="31">
        <f t="shared" si="13"/>
        <v>0</v>
      </c>
      <c r="U33" s="30">
        <f t="shared" si="13"/>
        <v>0</v>
      </c>
      <c r="V33" s="31">
        <f t="shared" si="13"/>
        <v>0</v>
      </c>
      <c r="W33" s="31">
        <f t="shared" si="13"/>
        <v>0</v>
      </c>
      <c r="X33" s="31">
        <f t="shared" si="13"/>
        <v>0</v>
      </c>
      <c r="Y33" s="31">
        <f t="shared" si="13"/>
        <v>0</v>
      </c>
      <c r="Z33" s="30">
        <f t="shared" si="13"/>
        <v>0</v>
      </c>
      <c r="AA33" s="34">
        <f t="shared" si="7"/>
        <v>0</v>
      </c>
      <c r="AC33" s="33" t="str">
        <f t="shared" si="8"/>
        <v>&gt;6</v>
      </c>
      <c r="AD33" s="32" t="e">
        <f t="shared" si="14"/>
        <v>#DIV/0!</v>
      </c>
      <c r="AE33" s="31" t="e">
        <f t="shared" si="14"/>
        <v>#DIV/0!</v>
      </c>
      <c r="AF33" s="30" t="e">
        <f t="shared" si="14"/>
        <v>#DIV/0!</v>
      </c>
      <c r="AG33" s="32" t="e">
        <f t="shared" si="14"/>
        <v>#DIV/0!</v>
      </c>
      <c r="AH33" s="31" t="e">
        <f t="shared" si="14"/>
        <v>#DIV/0!</v>
      </c>
      <c r="AI33" s="31" t="e">
        <f t="shared" si="16"/>
        <v>#DIV/0!</v>
      </c>
      <c r="AJ33" s="31" t="e">
        <f t="shared" si="15"/>
        <v>#DIV/0!</v>
      </c>
      <c r="AK33" s="30" t="e">
        <f t="shared" si="15"/>
        <v>#DIV/0!</v>
      </c>
      <c r="AL33" s="29" t="e">
        <f t="shared" si="10"/>
        <v>#DIV/0!</v>
      </c>
    </row>
    <row r="34" spans="1:38" x14ac:dyDescent="0.35">
      <c r="G34" t="s">
        <v>114</v>
      </c>
      <c r="H34">
        <f>SUM(H7:H33)</f>
        <v>190.88</v>
      </c>
      <c r="I34">
        <f t="shared" ref="I34:O34" si="17">SUM(I7:I33)</f>
        <v>46.53</v>
      </c>
      <c r="J34">
        <f t="shared" si="17"/>
        <v>0</v>
      </c>
      <c r="K34">
        <f t="shared" si="17"/>
        <v>5.77</v>
      </c>
      <c r="L34">
        <f t="shared" si="17"/>
        <v>0</v>
      </c>
      <c r="M34">
        <f t="shared" si="17"/>
        <v>15.61</v>
      </c>
      <c r="N34">
        <f t="shared" si="17"/>
        <v>0</v>
      </c>
      <c r="O34">
        <f t="shared" si="17"/>
        <v>0</v>
      </c>
      <c r="R34" s="28"/>
    </row>
    <row r="36" spans="1:38" ht="15" thickBot="1" x14ac:dyDescent="0.4"/>
    <row r="37" spans="1:38" x14ac:dyDescent="0.35">
      <c r="G37" s="85" t="s">
        <v>117</v>
      </c>
      <c r="H37" s="85" t="s">
        <v>84</v>
      </c>
      <c r="I37" s="84" t="s">
        <v>116</v>
      </c>
      <c r="J37" s="83" t="s">
        <v>82</v>
      </c>
      <c r="K37" s="82" t="s">
        <v>87</v>
      </c>
      <c r="L37" s="83" t="s">
        <v>109</v>
      </c>
      <c r="R37" s="82" t="s">
        <v>117</v>
      </c>
      <c r="S37" s="85" t="s">
        <v>84</v>
      </c>
      <c r="T37" s="84" t="s">
        <v>116</v>
      </c>
      <c r="U37" s="84" t="s">
        <v>82</v>
      </c>
      <c r="V37" s="82" t="s">
        <v>87</v>
      </c>
      <c r="W37" s="82" t="s">
        <v>109</v>
      </c>
      <c r="X37" s="83" t="s">
        <v>119</v>
      </c>
    </row>
    <row r="38" spans="1:38" x14ac:dyDescent="0.35">
      <c r="G38" s="149">
        <f>G7</f>
        <v>-7.5</v>
      </c>
      <c r="H38" s="146">
        <f>H7</f>
        <v>0</v>
      </c>
      <c r="I38" s="139">
        <f t="shared" ref="I38:J38" si="18">I7</f>
        <v>0</v>
      </c>
      <c r="J38" s="141">
        <f t="shared" si="18"/>
        <v>0</v>
      </c>
      <c r="K38" s="150">
        <f>SUM(K7:L7)</f>
        <v>0</v>
      </c>
      <c r="L38" s="141">
        <f>SUM(M7:N7)</f>
        <v>0</v>
      </c>
      <c r="R38" s="151">
        <v>-7.5</v>
      </c>
      <c r="S38" s="146">
        <f>S7</f>
        <v>0</v>
      </c>
      <c r="T38" s="139">
        <f t="shared" ref="T38:U38" si="19">T7</f>
        <v>0</v>
      </c>
      <c r="U38" s="139">
        <f t="shared" si="19"/>
        <v>0</v>
      </c>
      <c r="V38" s="150">
        <f>SUM(V7:W7)</f>
        <v>0</v>
      </c>
      <c r="W38" s="150">
        <f>SUM(X7:Y7)</f>
        <v>0</v>
      </c>
      <c r="X38" s="150">
        <v>0</v>
      </c>
    </row>
    <row r="39" spans="1:38" x14ac:dyDescent="0.35">
      <c r="G39" s="140">
        <f t="shared" ref="G39:J52" si="20">G8</f>
        <v>-7</v>
      </c>
      <c r="H39" s="147">
        <f t="shared" si="20"/>
        <v>0</v>
      </c>
      <c r="I39" s="134">
        <f t="shared" si="20"/>
        <v>0</v>
      </c>
      <c r="J39" s="142">
        <f t="shared" si="20"/>
        <v>0</v>
      </c>
      <c r="K39" s="50">
        <f t="shared" ref="K39:K52" si="21">SUM(K8:L8)</f>
        <v>0</v>
      </c>
      <c r="L39" s="142">
        <f t="shared" ref="L39:L52" si="22">SUM(M8:N8)</f>
        <v>0</v>
      </c>
      <c r="R39" s="152">
        <v>-7</v>
      </c>
      <c r="S39" s="147">
        <f t="shared" ref="S39:U39" si="23">S8</f>
        <v>0</v>
      </c>
      <c r="T39" s="134">
        <f t="shared" si="23"/>
        <v>0</v>
      </c>
      <c r="U39" s="134">
        <f t="shared" si="23"/>
        <v>0</v>
      </c>
      <c r="V39" s="50">
        <f t="shared" ref="V39:V52" si="24">SUM(V8:W8)</f>
        <v>0</v>
      </c>
      <c r="W39" s="50">
        <f t="shared" ref="W39:W52" si="25">SUM(X8:Y8)</f>
        <v>0</v>
      </c>
      <c r="X39" s="50">
        <v>0</v>
      </c>
    </row>
    <row r="40" spans="1:38" x14ac:dyDescent="0.35">
      <c r="G40" s="140">
        <f t="shared" si="20"/>
        <v>-6.5</v>
      </c>
      <c r="H40" s="147">
        <f t="shared" si="20"/>
        <v>0</v>
      </c>
      <c r="I40" s="134">
        <f t="shared" si="20"/>
        <v>0</v>
      </c>
      <c r="J40" s="142">
        <f t="shared" si="20"/>
        <v>0</v>
      </c>
      <c r="K40" s="50">
        <f t="shared" si="21"/>
        <v>0</v>
      </c>
      <c r="L40" s="142">
        <f t="shared" si="22"/>
        <v>0</v>
      </c>
      <c r="R40" s="152">
        <v>-6.5</v>
      </c>
      <c r="S40" s="147">
        <f t="shared" ref="S40:U40" si="26">S9</f>
        <v>0</v>
      </c>
      <c r="T40" s="134">
        <f t="shared" si="26"/>
        <v>0</v>
      </c>
      <c r="U40" s="134">
        <f t="shared" si="26"/>
        <v>0</v>
      </c>
      <c r="V40" s="50">
        <f t="shared" si="24"/>
        <v>0</v>
      </c>
      <c r="W40" s="50">
        <f t="shared" si="25"/>
        <v>0</v>
      </c>
      <c r="X40" s="50">
        <v>0</v>
      </c>
    </row>
    <row r="41" spans="1:38" x14ac:dyDescent="0.35">
      <c r="G41" s="140">
        <f t="shared" si="20"/>
        <v>-6</v>
      </c>
      <c r="H41" s="147">
        <f t="shared" si="20"/>
        <v>0</v>
      </c>
      <c r="I41" s="134">
        <f t="shared" si="20"/>
        <v>0</v>
      </c>
      <c r="J41" s="142">
        <f t="shared" si="20"/>
        <v>0</v>
      </c>
      <c r="K41" s="50">
        <f t="shared" si="21"/>
        <v>0</v>
      </c>
      <c r="L41" s="142">
        <f t="shared" si="22"/>
        <v>0</v>
      </c>
      <c r="R41" s="152">
        <v>-6</v>
      </c>
      <c r="S41" s="147">
        <f t="shared" ref="S41:U41" si="27">S10</f>
        <v>0</v>
      </c>
      <c r="T41" s="134">
        <f t="shared" si="27"/>
        <v>0</v>
      </c>
      <c r="U41" s="134">
        <f t="shared" si="27"/>
        <v>0</v>
      </c>
      <c r="V41" s="50">
        <f t="shared" si="24"/>
        <v>0</v>
      </c>
      <c r="W41" s="50">
        <f t="shared" si="25"/>
        <v>0</v>
      </c>
      <c r="X41" s="50">
        <v>0</v>
      </c>
    </row>
    <row r="42" spans="1:38" x14ac:dyDescent="0.35">
      <c r="G42" s="140">
        <f t="shared" si="20"/>
        <v>-5.5</v>
      </c>
      <c r="H42" s="147">
        <f t="shared" si="20"/>
        <v>0</v>
      </c>
      <c r="I42" s="134">
        <f t="shared" si="20"/>
        <v>0</v>
      </c>
      <c r="J42" s="142">
        <f t="shared" si="20"/>
        <v>0</v>
      </c>
      <c r="K42" s="50">
        <f t="shared" si="21"/>
        <v>0</v>
      </c>
      <c r="L42" s="142">
        <f t="shared" si="22"/>
        <v>0</v>
      </c>
      <c r="R42" s="152">
        <v>-5.5</v>
      </c>
      <c r="S42" s="147">
        <f t="shared" ref="S42:U42" si="28">S11</f>
        <v>0</v>
      </c>
      <c r="T42" s="134">
        <f t="shared" si="28"/>
        <v>0</v>
      </c>
      <c r="U42" s="134">
        <f t="shared" si="28"/>
        <v>0</v>
      </c>
      <c r="V42" s="50">
        <f t="shared" si="24"/>
        <v>0</v>
      </c>
      <c r="W42" s="50">
        <f t="shared" si="25"/>
        <v>0</v>
      </c>
      <c r="X42" s="50">
        <v>0</v>
      </c>
    </row>
    <row r="43" spans="1:38" x14ac:dyDescent="0.35">
      <c r="G43" s="140">
        <f t="shared" si="20"/>
        <v>-5</v>
      </c>
      <c r="H43" s="147">
        <f t="shared" si="20"/>
        <v>0</v>
      </c>
      <c r="I43" s="134">
        <f t="shared" si="20"/>
        <v>0</v>
      </c>
      <c r="J43" s="142">
        <f t="shared" si="20"/>
        <v>0</v>
      </c>
      <c r="K43" s="50">
        <f t="shared" si="21"/>
        <v>0</v>
      </c>
      <c r="L43" s="142">
        <f t="shared" si="22"/>
        <v>0</v>
      </c>
      <c r="R43" s="152">
        <v>-5</v>
      </c>
      <c r="S43" s="147">
        <f t="shared" ref="S43:U43" si="29">S12</f>
        <v>0</v>
      </c>
      <c r="T43" s="134">
        <f t="shared" si="29"/>
        <v>0</v>
      </c>
      <c r="U43" s="134">
        <f t="shared" si="29"/>
        <v>0</v>
      </c>
      <c r="V43" s="50">
        <f t="shared" si="24"/>
        <v>0</v>
      </c>
      <c r="W43" s="50">
        <f t="shared" si="25"/>
        <v>0</v>
      </c>
      <c r="X43" s="50">
        <v>0</v>
      </c>
    </row>
    <row r="44" spans="1:38" x14ac:dyDescent="0.35">
      <c r="G44" s="140">
        <f t="shared" si="20"/>
        <v>-4.5</v>
      </c>
      <c r="H44" s="147">
        <f t="shared" si="20"/>
        <v>0</v>
      </c>
      <c r="I44" s="134">
        <f t="shared" si="20"/>
        <v>0</v>
      </c>
      <c r="J44" s="142">
        <f t="shared" si="20"/>
        <v>0</v>
      </c>
      <c r="K44" s="50">
        <f t="shared" si="21"/>
        <v>0</v>
      </c>
      <c r="L44" s="142">
        <f t="shared" si="22"/>
        <v>0</v>
      </c>
      <c r="R44" s="152">
        <v>-4.5</v>
      </c>
      <c r="S44" s="147">
        <f t="shared" ref="S44:U44" si="30">S13</f>
        <v>0</v>
      </c>
      <c r="T44" s="134">
        <f t="shared" si="30"/>
        <v>0</v>
      </c>
      <c r="U44" s="134">
        <f t="shared" si="30"/>
        <v>0</v>
      </c>
      <c r="V44" s="50">
        <f t="shared" si="24"/>
        <v>0</v>
      </c>
      <c r="W44" s="50">
        <f t="shared" si="25"/>
        <v>0</v>
      </c>
      <c r="X44" s="50">
        <v>0</v>
      </c>
    </row>
    <row r="45" spans="1:38" x14ac:dyDescent="0.35">
      <c r="G45" s="140">
        <f t="shared" si="20"/>
        <v>-4</v>
      </c>
      <c r="H45" s="147">
        <f t="shared" si="20"/>
        <v>8.3699999999999992</v>
      </c>
      <c r="I45" s="134">
        <f t="shared" si="20"/>
        <v>0</v>
      </c>
      <c r="J45" s="142">
        <f t="shared" si="20"/>
        <v>0</v>
      </c>
      <c r="K45" s="50">
        <f t="shared" si="21"/>
        <v>0</v>
      </c>
      <c r="L45" s="142">
        <f t="shared" si="22"/>
        <v>0</v>
      </c>
      <c r="R45" s="152">
        <v>-4</v>
      </c>
      <c r="S45" s="147">
        <f t="shared" ref="S45:U45" si="31">S14</f>
        <v>2.3509254838075431</v>
      </c>
      <c r="T45" s="134">
        <f t="shared" si="31"/>
        <v>0</v>
      </c>
      <c r="U45" s="134">
        <f t="shared" si="31"/>
        <v>0</v>
      </c>
      <c r="V45" s="50">
        <f t="shared" si="24"/>
        <v>0</v>
      </c>
      <c r="W45" s="50">
        <f t="shared" si="25"/>
        <v>0</v>
      </c>
      <c r="X45" s="50">
        <v>0</v>
      </c>
    </row>
    <row r="46" spans="1:38" x14ac:dyDescent="0.35">
      <c r="G46" s="140">
        <f t="shared" si="20"/>
        <v>-3.5</v>
      </c>
      <c r="H46" s="147">
        <f t="shared" si="20"/>
        <v>29.12</v>
      </c>
      <c r="I46" s="134">
        <f t="shared" si="20"/>
        <v>0</v>
      </c>
      <c r="J46" s="142">
        <f t="shared" si="20"/>
        <v>0</v>
      </c>
      <c r="K46" s="50">
        <f t="shared" si="21"/>
        <v>0</v>
      </c>
      <c r="L46" s="142">
        <f t="shared" si="22"/>
        <v>0</v>
      </c>
      <c r="R46" s="152">
        <v>-3.5</v>
      </c>
      <c r="S46" s="147">
        <f t="shared" ref="S46:U46" si="32">S15</f>
        <v>8.1790860320759453</v>
      </c>
      <c r="T46" s="134">
        <f t="shared" si="32"/>
        <v>0</v>
      </c>
      <c r="U46" s="134">
        <f t="shared" si="32"/>
        <v>0</v>
      </c>
      <c r="V46" s="50">
        <f t="shared" si="24"/>
        <v>0</v>
      </c>
      <c r="W46" s="50">
        <f t="shared" si="25"/>
        <v>0</v>
      </c>
      <c r="X46" s="50">
        <v>0</v>
      </c>
    </row>
    <row r="47" spans="1:38" x14ac:dyDescent="0.35">
      <c r="G47" s="140">
        <f t="shared" si="20"/>
        <v>-3</v>
      </c>
      <c r="H47" s="147">
        <f t="shared" si="20"/>
        <v>32.4</v>
      </c>
      <c r="I47" s="134">
        <f t="shared" si="20"/>
        <v>2.2200000000000002</v>
      </c>
      <c r="J47" s="142">
        <f t="shared" si="20"/>
        <v>0</v>
      </c>
      <c r="K47" s="50">
        <f t="shared" si="21"/>
        <v>0</v>
      </c>
      <c r="L47" s="142">
        <f t="shared" si="22"/>
        <v>0</v>
      </c>
      <c r="R47" s="152">
        <v>-3</v>
      </c>
      <c r="S47" s="147">
        <f t="shared" ref="S47:U47" si="33">S16</f>
        <v>9.1003567115130704</v>
      </c>
      <c r="T47" s="134">
        <f t="shared" si="33"/>
        <v>0.62354295986293273</v>
      </c>
      <c r="U47" s="134">
        <f t="shared" si="33"/>
        <v>0</v>
      </c>
      <c r="V47" s="50">
        <f t="shared" si="24"/>
        <v>0</v>
      </c>
      <c r="W47" s="50">
        <f t="shared" si="25"/>
        <v>0</v>
      </c>
      <c r="X47" s="50">
        <v>0</v>
      </c>
    </row>
    <row r="48" spans="1:38" x14ac:dyDescent="0.35">
      <c r="G48" s="140">
        <f t="shared" si="20"/>
        <v>-2.5</v>
      </c>
      <c r="H48" s="147">
        <f t="shared" si="20"/>
        <v>42.68</v>
      </c>
      <c r="I48" s="134">
        <f t="shared" si="20"/>
        <v>4.4800000000000004</v>
      </c>
      <c r="J48" s="142">
        <f t="shared" si="20"/>
        <v>0</v>
      </c>
      <c r="K48" s="50">
        <f t="shared" si="21"/>
        <v>0</v>
      </c>
      <c r="L48" s="142">
        <f t="shared" si="22"/>
        <v>0</v>
      </c>
      <c r="R48" s="152">
        <v>-2.5</v>
      </c>
      <c r="S48" s="147">
        <f t="shared" ref="S48:U48" si="34">S17</f>
        <v>11.987753840968454</v>
      </c>
      <c r="T48" s="134">
        <f t="shared" si="34"/>
        <v>1.258320928011684</v>
      </c>
      <c r="U48" s="134">
        <f t="shared" si="34"/>
        <v>0</v>
      </c>
      <c r="V48" s="50">
        <f t="shared" si="24"/>
        <v>0</v>
      </c>
      <c r="W48" s="50">
        <f t="shared" si="25"/>
        <v>0</v>
      </c>
      <c r="X48" s="50">
        <v>0</v>
      </c>
    </row>
    <row r="49" spans="7:25" x14ac:dyDescent="0.35">
      <c r="G49" s="140">
        <f t="shared" si="20"/>
        <v>-2</v>
      </c>
      <c r="H49" s="147">
        <f t="shared" si="20"/>
        <v>27.18</v>
      </c>
      <c r="I49" s="134">
        <f t="shared" si="20"/>
        <v>8.67</v>
      </c>
      <c r="J49" s="142">
        <f t="shared" si="20"/>
        <v>0</v>
      </c>
      <c r="K49" s="50">
        <f t="shared" si="21"/>
        <v>0.99</v>
      </c>
      <c r="L49" s="142">
        <f t="shared" si="22"/>
        <v>2.27</v>
      </c>
      <c r="R49" s="152">
        <v>-2</v>
      </c>
      <c r="S49" s="147">
        <f t="shared" ref="S49:U49" si="35">S18</f>
        <v>7.6341881302137429</v>
      </c>
      <c r="T49" s="134">
        <f t="shared" si="35"/>
        <v>2.4351880459511825</v>
      </c>
      <c r="U49" s="134">
        <f t="shared" si="35"/>
        <v>0</v>
      </c>
      <c r="V49" s="50">
        <f t="shared" si="24"/>
        <v>0.27806645507401051</v>
      </c>
      <c r="W49" s="50">
        <f t="shared" si="25"/>
        <v>0.6375867202202059</v>
      </c>
      <c r="X49" s="50">
        <v>0</v>
      </c>
    </row>
    <row r="50" spans="7:25" x14ac:dyDescent="0.35">
      <c r="G50" s="140">
        <f t="shared" si="20"/>
        <v>-1.5</v>
      </c>
      <c r="H50" s="147">
        <f t="shared" si="20"/>
        <v>24.39</v>
      </c>
      <c r="I50" s="134">
        <f t="shared" si="20"/>
        <v>10.73</v>
      </c>
      <c r="J50" s="142">
        <f t="shared" si="20"/>
        <v>0</v>
      </c>
      <c r="K50" s="50">
        <f t="shared" si="21"/>
        <v>1.02</v>
      </c>
      <c r="L50" s="142">
        <f t="shared" si="22"/>
        <v>3.82</v>
      </c>
      <c r="R50" s="152">
        <v>-1.5</v>
      </c>
      <c r="S50" s="147">
        <f t="shared" ref="S50:U50" si="36">S19</f>
        <v>6.8505463022778947</v>
      </c>
      <c r="T50" s="134">
        <f t="shared" si="36"/>
        <v>3.0137909726708414</v>
      </c>
      <c r="U50" s="134">
        <f t="shared" si="36"/>
        <v>0</v>
      </c>
      <c r="V50" s="50">
        <f t="shared" si="24"/>
        <v>0.28649271128837445</v>
      </c>
      <c r="W50" s="50">
        <f t="shared" si="25"/>
        <v>1.0729432912956769</v>
      </c>
      <c r="X50" s="50">
        <v>0</v>
      </c>
    </row>
    <row r="51" spans="7:25" x14ac:dyDescent="0.35">
      <c r="G51" s="140">
        <f t="shared" si="20"/>
        <v>-1</v>
      </c>
      <c r="H51" s="147">
        <f t="shared" si="20"/>
        <v>13.8</v>
      </c>
      <c r="I51" s="134">
        <f t="shared" si="20"/>
        <v>12.89</v>
      </c>
      <c r="J51" s="142">
        <f t="shared" si="20"/>
        <v>0</v>
      </c>
      <c r="K51" s="50">
        <f t="shared" si="21"/>
        <v>1.79</v>
      </c>
      <c r="L51" s="142">
        <f t="shared" si="22"/>
        <v>5.07</v>
      </c>
      <c r="R51" s="152">
        <v>-1</v>
      </c>
      <c r="S51" s="147">
        <f t="shared" ref="S51:U51" si="37">S20</f>
        <v>3.8760778586074194</v>
      </c>
      <c r="T51" s="134">
        <f t="shared" si="37"/>
        <v>3.6204814201050461</v>
      </c>
      <c r="U51" s="134">
        <f t="shared" si="37"/>
        <v>0</v>
      </c>
      <c r="V51" s="50">
        <f t="shared" si="24"/>
        <v>0.50276662079038259</v>
      </c>
      <c r="W51" s="50">
        <f t="shared" si="25"/>
        <v>1.4240373002275084</v>
      </c>
      <c r="X51" s="50">
        <v>0</v>
      </c>
    </row>
    <row r="52" spans="7:25" ht="15" thickBot="1" x14ac:dyDescent="0.4">
      <c r="G52" s="143">
        <f t="shared" si="20"/>
        <v>-0.5</v>
      </c>
      <c r="H52" s="148">
        <f t="shared" si="20"/>
        <v>12.94</v>
      </c>
      <c r="I52" s="144">
        <f t="shared" si="20"/>
        <v>7.54</v>
      </c>
      <c r="J52" s="145">
        <f t="shared" si="20"/>
        <v>0</v>
      </c>
      <c r="K52" s="35">
        <f t="shared" si="21"/>
        <v>1.97</v>
      </c>
      <c r="L52" s="145">
        <f t="shared" si="22"/>
        <v>4.45</v>
      </c>
      <c r="R52" s="152">
        <v>-0.5</v>
      </c>
      <c r="S52" s="147">
        <f t="shared" ref="S52:U52" si="38">S21</f>
        <v>3.6345251804623189</v>
      </c>
      <c r="T52" s="134">
        <f t="shared" si="38"/>
        <v>2.1177990618768074</v>
      </c>
      <c r="U52" s="134">
        <f t="shared" si="38"/>
        <v>0</v>
      </c>
      <c r="V52" s="50">
        <f t="shared" si="24"/>
        <v>0.55332415807656632</v>
      </c>
      <c r="W52" s="50">
        <f t="shared" si="25"/>
        <v>1.2498946717973201</v>
      </c>
      <c r="X52" s="50">
        <v>0</v>
      </c>
    </row>
    <row r="53" spans="7:25" x14ac:dyDescent="0.35">
      <c r="G53" s="138"/>
      <c r="R53" s="152">
        <v>0</v>
      </c>
      <c r="S53" s="147">
        <v>0</v>
      </c>
      <c r="T53" s="134">
        <v>0</v>
      </c>
      <c r="U53" s="134">
        <v>0</v>
      </c>
      <c r="V53" s="50">
        <v>0</v>
      </c>
      <c r="W53" s="50">
        <v>0</v>
      </c>
      <c r="X53" s="142">
        <f>D22</f>
        <v>4.5248995871134436</v>
      </c>
    </row>
    <row r="54" spans="7:25" x14ac:dyDescent="0.35">
      <c r="G54" s="138"/>
      <c r="R54" s="152">
        <v>0.5</v>
      </c>
      <c r="S54" s="147">
        <v>0</v>
      </c>
      <c r="T54" s="134">
        <v>0</v>
      </c>
      <c r="U54" s="134">
        <v>0</v>
      </c>
      <c r="V54" s="50">
        <v>0</v>
      </c>
      <c r="W54" s="50">
        <v>0</v>
      </c>
      <c r="X54" s="142">
        <f t="shared" ref="X54:X62" si="39">D23</f>
        <v>2.5868606578097344</v>
      </c>
    </row>
    <row r="55" spans="7:25" x14ac:dyDescent="0.35">
      <c r="G55" s="138"/>
      <c r="R55" s="152">
        <v>1</v>
      </c>
      <c r="S55" s="147">
        <v>0</v>
      </c>
      <c r="T55" s="134">
        <v>0</v>
      </c>
      <c r="U55" s="134">
        <v>0</v>
      </c>
      <c r="V55" s="50">
        <v>0</v>
      </c>
      <c r="W55" s="50">
        <v>0</v>
      </c>
      <c r="X55" s="142">
        <f t="shared" si="39"/>
        <v>1.3313484818695049</v>
      </c>
    </row>
    <row r="56" spans="7:25" x14ac:dyDescent="0.35">
      <c r="G56" s="138"/>
      <c r="J56" s="134"/>
      <c r="R56" s="152">
        <v>1.5</v>
      </c>
      <c r="S56" s="147">
        <v>0</v>
      </c>
      <c r="T56" s="134">
        <v>0</v>
      </c>
      <c r="U56" s="134">
        <v>0</v>
      </c>
      <c r="V56" s="50">
        <v>0</v>
      </c>
      <c r="W56" s="50">
        <v>0</v>
      </c>
      <c r="X56" s="142">
        <f t="shared" si="39"/>
        <v>0.80330309243603037</v>
      </c>
    </row>
    <row r="57" spans="7:25" x14ac:dyDescent="0.35">
      <c r="G57" s="138"/>
      <c r="J57" s="134"/>
      <c r="R57" s="152">
        <v>2</v>
      </c>
      <c r="S57" s="147">
        <v>0</v>
      </c>
      <c r="T57" s="134">
        <v>0</v>
      </c>
      <c r="U57" s="134">
        <v>0</v>
      </c>
      <c r="V57" s="50">
        <v>0</v>
      </c>
      <c r="W57" s="50">
        <v>0</v>
      </c>
      <c r="X57" s="142">
        <f t="shared" si="39"/>
        <v>0.76678931550711982</v>
      </c>
    </row>
    <row r="58" spans="7:25" x14ac:dyDescent="0.35">
      <c r="G58" s="138"/>
      <c r="J58" s="134"/>
      <c r="R58" s="152">
        <v>2.5</v>
      </c>
      <c r="S58" s="147">
        <v>0</v>
      </c>
      <c r="T58" s="134">
        <v>0</v>
      </c>
      <c r="U58" s="134">
        <v>0</v>
      </c>
      <c r="V58" s="50">
        <v>0</v>
      </c>
      <c r="W58" s="50">
        <v>0</v>
      </c>
      <c r="X58" s="142">
        <f t="shared" si="39"/>
        <v>0.73308429064966407</v>
      </c>
    </row>
    <row r="59" spans="7:25" x14ac:dyDescent="0.35">
      <c r="G59" s="138"/>
      <c r="J59" s="134"/>
      <c r="R59" s="152">
        <v>3</v>
      </c>
      <c r="S59" s="147">
        <v>0</v>
      </c>
      <c r="T59" s="134">
        <v>0</v>
      </c>
      <c r="U59" s="134">
        <v>0</v>
      </c>
      <c r="V59" s="50">
        <v>0</v>
      </c>
      <c r="W59" s="50">
        <v>0</v>
      </c>
      <c r="X59" s="142">
        <f t="shared" si="39"/>
        <v>0.88756565457966985</v>
      </c>
    </row>
    <row r="60" spans="7:25" x14ac:dyDescent="0.35">
      <c r="G60" s="138"/>
      <c r="J60" s="134"/>
      <c r="R60" s="152">
        <v>3.5</v>
      </c>
      <c r="S60" s="147">
        <v>0</v>
      </c>
      <c r="T60" s="134">
        <v>0</v>
      </c>
      <c r="U60" s="134">
        <v>0</v>
      </c>
      <c r="V60" s="50">
        <v>0</v>
      </c>
      <c r="W60" s="50">
        <v>0</v>
      </c>
      <c r="X60" s="142">
        <f t="shared" si="39"/>
        <v>1.9773614583040746</v>
      </c>
    </row>
    <row r="61" spans="7:25" x14ac:dyDescent="0.35">
      <c r="G61" s="138"/>
      <c r="J61" s="134"/>
      <c r="R61" s="152">
        <v>4</v>
      </c>
      <c r="S61" s="147">
        <v>0</v>
      </c>
      <c r="T61" s="134">
        <v>0</v>
      </c>
      <c r="U61" s="134">
        <v>0</v>
      </c>
      <c r="V61" s="50">
        <v>0</v>
      </c>
      <c r="W61" s="50">
        <v>0</v>
      </c>
      <c r="X61" s="142">
        <f t="shared" si="39"/>
        <v>3.5137488413897691</v>
      </c>
    </row>
    <row r="62" spans="7:25" ht="15" thickBot="1" x14ac:dyDescent="0.4">
      <c r="G62" s="138"/>
      <c r="J62" s="134"/>
      <c r="R62" s="153" t="s">
        <v>118</v>
      </c>
      <c r="S62" s="148">
        <v>0</v>
      </c>
      <c r="T62" s="144">
        <v>0</v>
      </c>
      <c r="U62" s="144">
        <v>0</v>
      </c>
      <c r="V62" s="35">
        <v>0</v>
      </c>
      <c r="W62" s="35">
        <v>0</v>
      </c>
      <c r="X62" s="145">
        <f t="shared" si="39"/>
        <v>8.8419515209392436</v>
      </c>
    </row>
    <row r="63" spans="7:25" x14ac:dyDescent="0.35">
      <c r="G63" s="138"/>
      <c r="J63" s="134"/>
      <c r="R63" t="s">
        <v>120</v>
      </c>
      <c r="S63" s="134">
        <f>SUM(S38:U62)</f>
        <v>66.682582928404869</v>
      </c>
      <c r="T63" s="134"/>
      <c r="U63" s="134"/>
      <c r="V63" s="134">
        <f t="shared" ref="V63:W63" si="40">SUM(V38:V62)</f>
        <v>1.6206499452293341</v>
      </c>
      <c r="W63" s="134">
        <f t="shared" si="40"/>
        <v>4.384461983540711</v>
      </c>
      <c r="Y63" s="134">
        <f>SUM(S63:X63)</f>
        <v>72.687694857174918</v>
      </c>
    </row>
    <row r="64" spans="7:25" x14ac:dyDescent="0.35">
      <c r="G64" s="138"/>
      <c r="J64" s="134"/>
    </row>
    <row r="65" spans="1:10" x14ac:dyDescent="0.35">
      <c r="G65" s="138"/>
      <c r="J65" s="134"/>
    </row>
    <row r="66" spans="1:10" x14ac:dyDescent="0.35">
      <c r="J66" s="134"/>
    </row>
    <row r="67" spans="1:10" x14ac:dyDescent="0.35">
      <c r="A67" s="5" t="s">
        <v>27</v>
      </c>
      <c r="B67" s="26"/>
      <c r="C67" s="2"/>
      <c r="D67" s="2"/>
      <c r="J67" s="134"/>
    </row>
    <row r="68" spans="1:10" x14ac:dyDescent="0.35">
      <c r="A68" s="25" t="s">
        <v>42</v>
      </c>
      <c r="B68" s="25"/>
      <c r="C68" s="2"/>
      <c r="D68" s="2"/>
      <c r="J68" s="134"/>
    </row>
    <row r="69" spans="1:10" x14ac:dyDescent="0.35">
      <c r="A69" s="24" t="s">
        <v>41</v>
      </c>
      <c r="B69" s="23">
        <v>5</v>
      </c>
      <c r="C69" s="18">
        <f t="shared" ref="C69:C75" si="41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-3.8415333560245064</v>
      </c>
      <c r="D69" s="2"/>
      <c r="J69" s="134"/>
    </row>
    <row r="70" spans="1:10" x14ac:dyDescent="0.35">
      <c r="A70" s="24" t="s">
        <v>41</v>
      </c>
      <c r="B70" s="23">
        <v>16</v>
      </c>
      <c r="C70" s="18">
        <f t="shared" si="41"/>
        <v>-3.2289210675752411</v>
      </c>
      <c r="D70" s="2"/>
      <c r="J70" s="134"/>
    </row>
    <row r="71" spans="1:10" x14ac:dyDescent="0.35">
      <c r="A71" s="24" t="s">
        <v>41</v>
      </c>
      <c r="B71" s="23">
        <v>25</v>
      </c>
      <c r="C71" s="18">
        <f t="shared" si="41"/>
        <v>-2.83580049515164</v>
      </c>
      <c r="D71" s="2"/>
      <c r="J71" s="134"/>
    </row>
    <row r="72" spans="1:10" x14ac:dyDescent="0.35">
      <c r="A72" s="24" t="s">
        <v>41</v>
      </c>
      <c r="B72" s="23">
        <v>50</v>
      </c>
      <c r="C72" s="18">
        <f t="shared" si="41"/>
        <v>-1.8037400596421462</v>
      </c>
      <c r="D72" s="2"/>
      <c r="J72" s="134"/>
    </row>
    <row r="73" spans="1:10" x14ac:dyDescent="0.35">
      <c r="A73" s="24" t="s">
        <v>41</v>
      </c>
      <c r="B73" s="23">
        <v>75</v>
      </c>
      <c r="C73" s="18">
        <f t="shared" si="41"/>
        <v>-0.3931564245810012</v>
      </c>
      <c r="D73" s="2"/>
      <c r="J73" s="134"/>
    </row>
    <row r="74" spans="1:10" x14ac:dyDescent="0.35">
      <c r="A74" s="24" t="s">
        <v>41</v>
      </c>
      <c r="B74" s="23">
        <v>84</v>
      </c>
      <c r="C74" s="18">
        <f t="shared" si="41"/>
        <v>1.9698168498168747</v>
      </c>
      <c r="D74" s="2"/>
    </row>
    <row r="75" spans="1:10" x14ac:dyDescent="0.35">
      <c r="A75" s="24" t="s">
        <v>41</v>
      </c>
      <c r="B75" s="23">
        <v>95</v>
      </c>
      <c r="C75" s="18">
        <f t="shared" si="41"/>
        <v>4.21725698856417</v>
      </c>
      <c r="D75" s="2"/>
    </row>
    <row r="76" spans="1:10" x14ac:dyDescent="0.35">
      <c r="A76" s="18"/>
      <c r="B76" s="22"/>
      <c r="C76" s="2"/>
      <c r="D76" s="2"/>
    </row>
    <row r="77" spans="1:10" x14ac:dyDescent="0.35">
      <c r="A77" s="21" t="s">
        <v>40</v>
      </c>
      <c r="B77">
        <f>SUM(C7:C10)/SUM(C7:C33)</f>
        <v>0</v>
      </c>
      <c r="D77" s="19" t="s">
        <v>7</v>
      </c>
      <c r="E77" s="18">
        <f>SUM($D$7:$D$20)</f>
        <v>66.384855208830686</v>
      </c>
    </row>
    <row r="78" spans="1:10" x14ac:dyDescent="0.35">
      <c r="A78" s="20" t="s">
        <v>39</v>
      </c>
      <c r="B78">
        <f>SUM(C11:C20)/SUM(C7:C33)</f>
        <v>0.66384855208830695</v>
      </c>
      <c r="D78" s="19" t="s">
        <v>6</v>
      </c>
      <c r="E78" s="18">
        <f>SUM($D$21:$D$30)</f>
        <v>24.773193270230028</v>
      </c>
    </row>
    <row r="79" spans="1:10" x14ac:dyDescent="0.35">
      <c r="A79" s="20" t="s">
        <v>38</v>
      </c>
      <c r="B79">
        <f>SUM(C21:C33)/SUM(C7:C33)</f>
        <v>0.33615144791169277</v>
      </c>
      <c r="D79" s="19" t="s">
        <v>5</v>
      </c>
      <c r="E79" s="18">
        <f>SUM($D$31:$D$33)</f>
        <v>8.8419515209392436</v>
      </c>
    </row>
    <row r="80" spans="1:10" x14ac:dyDescent="0.35">
      <c r="A80" s="11"/>
      <c r="B80" s="8"/>
      <c r="D80" s="2"/>
      <c r="E80" s="2"/>
    </row>
    <row r="81" spans="1:8" x14ac:dyDescent="0.35">
      <c r="A81" s="16" t="s">
        <v>4</v>
      </c>
      <c r="B81">
        <f>100*SUM(H7:J33)/SUM(P7:P33)</f>
        <v>91.738475211561507</v>
      </c>
      <c r="D81" s="16" t="s">
        <v>4</v>
      </c>
      <c r="E81">
        <f>100*SUM(H7:J33)/SUM(P7:P33)</f>
        <v>91.738475211561507</v>
      </c>
      <c r="G81" s="17" t="s">
        <v>2</v>
      </c>
      <c r="H81">
        <f>100*SUM(H7:H33)/(SUM(P7:P33)-SUM(M7:N33))</f>
        <v>78.493297146146901</v>
      </c>
    </row>
    <row r="82" spans="1:8" x14ac:dyDescent="0.35">
      <c r="A82" s="16" t="s">
        <v>0</v>
      </c>
      <c r="B82">
        <f>100*SUM(K7:L33)/SUM(P7:P33)</f>
        <v>2.2296070172726923</v>
      </c>
      <c r="D82" s="16" t="s">
        <v>0</v>
      </c>
      <c r="E82">
        <f>100*SUM(K7:L33)/SUM(P7:P33)</f>
        <v>2.2296070172726923</v>
      </c>
      <c r="G82" s="17" t="s">
        <v>1</v>
      </c>
      <c r="H82">
        <f>100*SUM(I7:J33)/(SUM(P7:P33)-SUM(M7:N33))</f>
        <v>19.133974833456701</v>
      </c>
    </row>
    <row r="83" spans="1:8" x14ac:dyDescent="0.35">
      <c r="A83" s="16" t="s">
        <v>3</v>
      </c>
      <c r="B83">
        <f>100*SUM(O7:O33)/SUM(P7:P33)</f>
        <v>0</v>
      </c>
      <c r="D83" s="16" t="s">
        <v>37</v>
      </c>
      <c r="E83">
        <f>100*SUM(M7:N33)/SUM(P7:P33)</f>
        <v>6.0319177711658112</v>
      </c>
      <c r="G83" s="17" t="s">
        <v>0</v>
      </c>
      <c r="H83">
        <f>100*SUM(K7:L33)/(SUM(P7:P33)-SUM(M7:N33))</f>
        <v>2.3727280203964147</v>
      </c>
    </row>
    <row r="85" spans="1:8" x14ac:dyDescent="0.35">
      <c r="A85" s="16" t="s">
        <v>36</v>
      </c>
      <c r="B85" s="2"/>
      <c r="C85" s="2"/>
      <c r="D85" s="13">
        <f>(C70+C74+C72)/3</f>
        <v>-1.0209480924668375</v>
      </c>
    </row>
    <row r="86" spans="1:8" x14ac:dyDescent="0.35">
      <c r="A86" s="14" t="s">
        <v>35</v>
      </c>
      <c r="B86" s="14"/>
      <c r="C86" s="14"/>
      <c r="D86" s="7">
        <f>C72</f>
        <v>-1.8037400596421462</v>
      </c>
    </row>
    <row r="87" spans="1:8" x14ac:dyDescent="0.35">
      <c r="A87" s="14" t="s">
        <v>34</v>
      </c>
      <c r="B87" s="14"/>
      <c r="C87" s="14"/>
      <c r="D87" s="7">
        <f>(C74-C70)/2</f>
        <v>2.5993689586960578</v>
      </c>
    </row>
    <row r="88" spans="1:8" x14ac:dyDescent="0.35">
      <c r="A88" s="15" t="s">
        <v>33</v>
      </c>
      <c r="B88" s="14"/>
      <c r="C88" s="14"/>
      <c r="D88" s="13">
        <f>(C74+C70-D86)/D87</f>
        <v>0.20952617752155886</v>
      </c>
    </row>
    <row r="89" spans="1:8" x14ac:dyDescent="0.35">
      <c r="A89" s="3" t="s">
        <v>32</v>
      </c>
      <c r="B89" s="12"/>
      <c r="C89" s="11"/>
      <c r="D89" s="7">
        <f>((C74-C70)/4)+((C75-C69)/6.6)</f>
        <v>2.5207133194372222</v>
      </c>
    </row>
    <row r="90" spans="1:8" x14ac:dyDescent="0.35">
      <c r="A90" s="3" t="s">
        <v>31</v>
      </c>
      <c r="B90" s="10"/>
      <c r="C90" s="10"/>
      <c r="D90" s="7">
        <f>((C70+C74-(2*C72))/(2*(C74-C70)))+((C69+C75-(2*C72))/(2*(C75-C69)))</f>
        <v>0.47299429041392016</v>
      </c>
    </row>
    <row r="91" spans="1:8" x14ac:dyDescent="0.35">
      <c r="A91" s="3" t="s">
        <v>30</v>
      </c>
      <c r="B91" s="9"/>
      <c r="C91" s="8"/>
      <c r="D91" s="7">
        <f>(C74-C69)/(2.44*(C73-C71))</f>
        <v>0.97505032875172493</v>
      </c>
    </row>
    <row r="92" spans="1:8" x14ac:dyDescent="0.35">
      <c r="A92" s="6" t="s">
        <v>29</v>
      </c>
      <c r="B92" s="6"/>
      <c r="C92" s="5"/>
      <c r="D92" s="7">
        <f>(C70+C72+C74)/3</f>
        <v>-1.0209480924668377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-0.62955210887918323</v>
      </c>
    </row>
    <row r="95" spans="1:8" x14ac:dyDescent="0.35">
      <c r="A95" s="2" t="s">
        <v>9</v>
      </c>
      <c r="B95" s="2"/>
      <c r="C95" s="2"/>
      <c r="D95" s="1">
        <f>100-E23</f>
        <v>18.855152655675127</v>
      </c>
    </row>
    <row r="96" spans="1:8" x14ac:dyDescent="0.35">
      <c r="A96" s="2" t="s">
        <v>8</v>
      </c>
      <c r="B96" s="2"/>
      <c r="C96" s="2"/>
      <c r="D96" s="1">
        <f>100-E30</f>
        <v>8.8419515209392898</v>
      </c>
    </row>
    <row r="98" spans="1:3" x14ac:dyDescent="0.35">
      <c r="A98" t="s">
        <v>101</v>
      </c>
      <c r="C98" t="str">
        <f>IF(SUM(M7:N33)&gt;0,"Mixed","No Mixed")</f>
        <v>Mixed</v>
      </c>
    </row>
    <row r="99" spans="1:3" x14ac:dyDescent="0.35">
      <c r="A99" t="s">
        <v>102</v>
      </c>
      <c r="C99" t="str">
        <f>IF(SUM(J7:J33)&gt;0,"Obsidian","No obsidian")</f>
        <v>No obsidian</v>
      </c>
    </row>
  </sheetData>
  <mergeCells count="9">
    <mergeCell ref="V3:Z3"/>
    <mergeCell ref="AD3:AF3"/>
    <mergeCell ref="AG3:AK3"/>
    <mergeCell ref="A2:C2"/>
    <mergeCell ref="D2:E2"/>
    <mergeCell ref="K2:O2"/>
    <mergeCell ref="H3:J3"/>
    <mergeCell ref="K3:O3"/>
    <mergeCell ref="S3:U3"/>
  </mergeCells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N99"/>
  <sheetViews>
    <sheetView topLeftCell="H1" zoomScale="63" zoomScaleNormal="100" workbookViewId="0">
      <selection activeCell="K2" sqref="K2:O2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14.1796875" bestFit="1" customWidth="1"/>
    <col min="20" max="20" width="14.1796875" bestFit="1" customWidth="1"/>
    <col min="25" max="25" width="11.453125" customWidth="1"/>
  </cols>
  <sheetData>
    <row r="1" spans="1:40" ht="15" thickBot="1" x14ac:dyDescent="0.4">
      <c r="A1" s="111"/>
      <c r="F1" s="110"/>
    </row>
    <row r="2" spans="1:40" ht="15" thickBot="1" x14ac:dyDescent="0.4">
      <c r="A2" s="157" t="s">
        <v>91</v>
      </c>
      <c r="B2" s="158"/>
      <c r="C2" s="158"/>
      <c r="D2" s="159" t="str">
        <f ca="1">RIGHT(CELL("nomfichier",A1),LEN(CELL("nomfichier",A1))-FIND("]",CELL("nomfichier",A1)))</f>
        <v>MAY190405_2 aggr</v>
      </c>
      <c r="E2" s="160"/>
      <c r="G2" s="109" t="s">
        <v>90</v>
      </c>
      <c r="H2" s="108" t="str">
        <f ca="1">D2</f>
        <v>MAY190405_2 aggr</v>
      </c>
      <c r="I2" s="108"/>
      <c r="J2" s="107"/>
      <c r="K2" s="161"/>
      <c r="L2" s="162"/>
      <c r="M2" s="162"/>
      <c r="N2" s="162"/>
      <c r="O2" s="163"/>
    </row>
    <row r="3" spans="1:40" ht="15" thickBot="1" x14ac:dyDescent="0.4">
      <c r="A3" s="106"/>
      <c r="B3" s="105"/>
      <c r="C3" s="105"/>
      <c r="D3" s="105"/>
      <c r="E3" s="104"/>
      <c r="G3" s="103"/>
      <c r="H3" s="154" t="s">
        <v>88</v>
      </c>
      <c r="I3" s="155"/>
      <c r="J3" s="156"/>
      <c r="K3" s="154" t="s">
        <v>87</v>
      </c>
      <c r="L3" s="155"/>
      <c r="M3" s="155"/>
      <c r="N3" s="155"/>
      <c r="O3" s="156"/>
      <c r="U3" s="154" t="s">
        <v>88</v>
      </c>
      <c r="V3" s="155"/>
      <c r="W3" s="156"/>
      <c r="X3" s="154" t="s">
        <v>87</v>
      </c>
      <c r="Y3" s="155"/>
      <c r="Z3" s="155"/>
      <c r="AA3" s="155"/>
      <c r="AB3" s="156"/>
      <c r="AF3" s="154" t="s">
        <v>88</v>
      </c>
      <c r="AG3" s="155"/>
      <c r="AH3" s="156"/>
      <c r="AI3" s="154" t="s">
        <v>87</v>
      </c>
      <c r="AJ3" s="155"/>
      <c r="AK3" s="155"/>
      <c r="AL3" s="155"/>
      <c r="AM3" s="156"/>
    </row>
    <row r="4" spans="1:40" ht="15" thickBot="1" x14ac:dyDescent="0.4">
      <c r="A4" s="102" t="s">
        <v>86</v>
      </c>
      <c r="B4" s="101">
        <v>356.03000000000014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77</v>
      </c>
      <c r="P4" s="94" t="s">
        <v>76</v>
      </c>
      <c r="R4" s="135" t="s">
        <v>105</v>
      </c>
      <c r="T4" s="97" t="str">
        <f t="shared" ref="T4:AB4" si="0">G4</f>
        <v>Grain size (phi)</v>
      </c>
      <c r="U4" s="95" t="str">
        <f t="shared" si="0"/>
        <v>Pumices</v>
      </c>
      <c r="V4" s="95" t="str">
        <f t="shared" si="0"/>
        <v>Dense juveniles</v>
      </c>
      <c r="W4" s="95" t="str">
        <f t="shared" si="0"/>
        <v>Obsidian</v>
      </c>
      <c r="X4" s="96" t="str">
        <f t="shared" si="0"/>
        <v>Coral fragments</v>
      </c>
      <c r="Y4" s="95" t="str">
        <f t="shared" si="0"/>
        <v>Mafic clasts</v>
      </c>
      <c r="Z4" s="95" t="str">
        <f t="shared" si="0"/>
        <v>Aggregate</v>
      </c>
      <c r="AA4" s="95" t="str">
        <f t="shared" si="0"/>
        <v>Accretionnary lapilli</v>
      </c>
      <c r="AB4" s="94" t="str">
        <f t="shared" si="0"/>
        <v>Crystals</v>
      </c>
      <c r="AC4" s="94" t="s">
        <v>76</v>
      </c>
      <c r="AE4" s="97" t="str">
        <f t="shared" ref="AE4:AM4" si="1">T4</f>
        <v>Grain size (phi)</v>
      </c>
      <c r="AF4" s="95" t="str">
        <f t="shared" si="1"/>
        <v>Pumices</v>
      </c>
      <c r="AG4" s="95" t="str">
        <f t="shared" si="1"/>
        <v>Dense juveniles</v>
      </c>
      <c r="AH4" s="95" t="str">
        <f t="shared" si="1"/>
        <v>Obsidian</v>
      </c>
      <c r="AI4" s="96" t="str">
        <f t="shared" si="1"/>
        <v>Coral fragments</v>
      </c>
      <c r="AJ4" s="95" t="str">
        <f t="shared" si="1"/>
        <v>Mafic clasts</v>
      </c>
      <c r="AK4" s="95" t="str">
        <f t="shared" si="1"/>
        <v>Aggregate</v>
      </c>
      <c r="AL4" s="95" t="str">
        <f t="shared" si="1"/>
        <v>Accretionnary lapilli</v>
      </c>
      <c r="AM4" s="94" t="str">
        <f t="shared" si="1"/>
        <v>Crystals</v>
      </c>
      <c r="AN4" s="94" t="s">
        <v>76</v>
      </c>
    </row>
    <row r="5" spans="1:40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T5" s="77"/>
      <c r="U5" s="85"/>
      <c r="V5" s="84"/>
      <c r="W5" s="83"/>
      <c r="X5" s="84"/>
      <c r="Y5" s="84"/>
      <c r="Z5" s="84"/>
      <c r="AA5" s="84"/>
      <c r="AB5" s="83"/>
      <c r="AC5" s="82"/>
      <c r="AE5" s="77"/>
      <c r="AF5" s="85"/>
      <c r="AG5" s="84"/>
      <c r="AH5" s="83"/>
      <c r="AI5" s="85"/>
      <c r="AJ5" s="84"/>
      <c r="AK5" s="84"/>
      <c r="AL5" s="84"/>
      <c r="AM5" s="83"/>
      <c r="AN5" s="82"/>
    </row>
    <row r="6" spans="1:40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T6" s="77"/>
      <c r="U6" s="77"/>
      <c r="W6" s="76"/>
      <c r="AB6" s="76"/>
      <c r="AC6" s="49"/>
      <c r="AE6" s="77"/>
      <c r="AF6" s="77"/>
      <c r="AH6" s="76"/>
      <c r="AI6" s="77"/>
      <c r="AM6" s="76"/>
      <c r="AN6" s="49"/>
    </row>
    <row r="7" spans="1:40" x14ac:dyDescent="0.35">
      <c r="A7" s="75" t="s">
        <v>70</v>
      </c>
      <c r="B7" s="74">
        <v>-7.5</v>
      </c>
      <c r="C7" s="72">
        <v>0</v>
      </c>
      <c r="D7" s="55">
        <f t="shared" ref="D7:D33" si="2">(C7/SUM($C$7:$C$33))*100</f>
        <v>0</v>
      </c>
      <c r="E7" s="73">
        <v>0</v>
      </c>
      <c r="G7" s="48">
        <f t="shared" ref="G7:G33" si="3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4">SUM(H7:O7)</f>
        <v>0</v>
      </c>
      <c r="R7" s="134">
        <f>100*(M7/B$4)</f>
        <v>0</v>
      </c>
      <c r="T7" s="48">
        <f t="shared" ref="T7:T33" si="5">G7</f>
        <v>-7.5</v>
      </c>
      <c r="U7" s="47" t="e">
        <f t="shared" ref="U7:U33" si="6">100*H7/$P7</f>
        <v>#DIV/0!</v>
      </c>
      <c r="V7" s="46" t="e">
        <f t="shared" ref="V7:V33" si="7">100*I7/$P7</f>
        <v>#DIV/0!</v>
      </c>
      <c r="W7" s="45" t="e">
        <f t="shared" ref="W7:W33" si="8">100*J7/$P7</f>
        <v>#DIV/0!</v>
      </c>
      <c r="X7" s="46" t="e">
        <f t="shared" ref="X7:X33" si="9">100*K7/$P7</f>
        <v>#DIV/0!</v>
      </c>
      <c r="Y7" s="46" t="e">
        <f t="shared" ref="Y7:Y33" si="10">100*L7/$P7</f>
        <v>#DIV/0!</v>
      </c>
      <c r="Z7" s="46" t="e">
        <f t="shared" ref="Z7:Z33" si="11">100*M7/$P7</f>
        <v>#DIV/0!</v>
      </c>
      <c r="AA7" s="46" t="e">
        <f t="shared" ref="AA7:AA33" si="12">100*N7/$P7</f>
        <v>#DIV/0!</v>
      </c>
      <c r="AB7" s="45" t="e">
        <f t="shared" ref="AB7:AB33" si="13">100*O7/$P7</f>
        <v>#DIV/0!</v>
      </c>
      <c r="AC7" s="49" t="e">
        <f t="shared" ref="AC7:AC33" si="14">SUM(U7:AB7)</f>
        <v>#DIV/0!</v>
      </c>
      <c r="AE7" s="48">
        <f t="shared" ref="AE7:AE33" si="15">T7</f>
        <v>-7.5</v>
      </c>
      <c r="AF7" s="47" t="e">
        <f t="shared" ref="AF7:AM14" si="16">U7*100/(SUM($U7:$Y7)+SUM($AA7:$AB7))</f>
        <v>#DIV/0!</v>
      </c>
      <c r="AG7" s="46" t="e">
        <f t="shared" si="16"/>
        <v>#DIV/0!</v>
      </c>
      <c r="AH7" s="45" t="e">
        <f t="shared" si="16"/>
        <v>#DIV/0!</v>
      </c>
      <c r="AI7" s="47" t="e">
        <f t="shared" si="16"/>
        <v>#DIV/0!</v>
      </c>
      <c r="AJ7" s="46" t="e">
        <f t="shared" si="16"/>
        <v>#DIV/0!</v>
      </c>
      <c r="AK7" s="46" t="e">
        <f t="shared" si="16"/>
        <v>#DIV/0!</v>
      </c>
      <c r="AL7" s="46" t="e">
        <f t="shared" si="16"/>
        <v>#DIV/0!</v>
      </c>
      <c r="AM7" s="45" t="e">
        <f t="shared" si="16"/>
        <v>#DIV/0!</v>
      </c>
      <c r="AN7" s="44" t="e">
        <f t="shared" ref="AN7:AN33" si="17">SUM(AF7:AM7)</f>
        <v>#DIV/0!</v>
      </c>
    </row>
    <row r="8" spans="1:40" x14ac:dyDescent="0.35">
      <c r="A8" s="58" t="s">
        <v>69</v>
      </c>
      <c r="B8" s="57">
        <v>-7</v>
      </c>
      <c r="C8" s="72">
        <v>0</v>
      </c>
      <c r="D8" s="55">
        <f t="shared" si="2"/>
        <v>0</v>
      </c>
      <c r="E8" s="73">
        <f>SUM(D6,D8)</f>
        <v>0</v>
      </c>
      <c r="G8" s="48">
        <f t="shared" si="3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4"/>
        <v>0</v>
      </c>
      <c r="R8" s="134">
        <f t="shared" ref="R8:R33" si="18">100*(M8/B$4)</f>
        <v>0</v>
      </c>
      <c r="T8" s="48">
        <f t="shared" si="5"/>
        <v>-7</v>
      </c>
      <c r="U8" s="47" t="e">
        <f t="shared" si="6"/>
        <v>#DIV/0!</v>
      </c>
      <c r="V8" s="46" t="e">
        <f t="shared" si="7"/>
        <v>#DIV/0!</v>
      </c>
      <c r="W8" s="45" t="e">
        <f t="shared" si="8"/>
        <v>#DIV/0!</v>
      </c>
      <c r="X8" s="46" t="e">
        <f t="shared" si="9"/>
        <v>#DIV/0!</v>
      </c>
      <c r="Y8" s="46" t="e">
        <f t="shared" si="10"/>
        <v>#DIV/0!</v>
      </c>
      <c r="Z8" s="46" t="e">
        <f t="shared" si="11"/>
        <v>#DIV/0!</v>
      </c>
      <c r="AA8" s="46" t="e">
        <f t="shared" si="12"/>
        <v>#DIV/0!</v>
      </c>
      <c r="AB8" s="45" t="e">
        <f t="shared" si="13"/>
        <v>#DIV/0!</v>
      </c>
      <c r="AC8" s="49" t="e">
        <f t="shared" si="14"/>
        <v>#DIV/0!</v>
      </c>
      <c r="AE8" s="48">
        <f t="shared" si="15"/>
        <v>-7</v>
      </c>
      <c r="AF8" s="47" t="e">
        <f t="shared" si="16"/>
        <v>#DIV/0!</v>
      </c>
      <c r="AG8" s="46" t="e">
        <f t="shared" si="16"/>
        <v>#DIV/0!</v>
      </c>
      <c r="AH8" s="45" t="e">
        <f t="shared" si="16"/>
        <v>#DIV/0!</v>
      </c>
      <c r="AI8" s="47" t="e">
        <f t="shared" si="16"/>
        <v>#DIV/0!</v>
      </c>
      <c r="AJ8" s="46" t="e">
        <f t="shared" si="16"/>
        <v>#DIV/0!</v>
      </c>
      <c r="AK8" s="46" t="e">
        <f t="shared" si="16"/>
        <v>#DIV/0!</v>
      </c>
      <c r="AL8" s="46" t="e">
        <f t="shared" si="16"/>
        <v>#DIV/0!</v>
      </c>
      <c r="AM8" s="45" t="e">
        <f t="shared" si="16"/>
        <v>#DIV/0!</v>
      </c>
      <c r="AN8" s="44" t="e">
        <f t="shared" si="17"/>
        <v>#DIV/0!</v>
      </c>
    </row>
    <row r="9" spans="1:40" x14ac:dyDescent="0.35">
      <c r="A9" s="58" t="s">
        <v>68</v>
      </c>
      <c r="B9" s="57">
        <v>-6.5</v>
      </c>
      <c r="C9" s="72">
        <v>0</v>
      </c>
      <c r="D9" s="55">
        <f t="shared" si="2"/>
        <v>0</v>
      </c>
      <c r="E9" s="73">
        <f>SUM(D6:D9)</f>
        <v>0</v>
      </c>
      <c r="G9" s="48">
        <f t="shared" si="3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4"/>
        <v>0</v>
      </c>
      <c r="R9" s="134">
        <f t="shared" si="18"/>
        <v>0</v>
      </c>
      <c r="T9" s="48">
        <f t="shared" si="5"/>
        <v>-6.5</v>
      </c>
      <c r="U9" s="47" t="e">
        <f t="shared" si="6"/>
        <v>#DIV/0!</v>
      </c>
      <c r="V9" s="46" t="e">
        <f t="shared" si="7"/>
        <v>#DIV/0!</v>
      </c>
      <c r="W9" s="45" t="e">
        <f t="shared" si="8"/>
        <v>#DIV/0!</v>
      </c>
      <c r="X9" s="46" t="e">
        <f t="shared" si="9"/>
        <v>#DIV/0!</v>
      </c>
      <c r="Y9" s="46" t="e">
        <f t="shared" si="10"/>
        <v>#DIV/0!</v>
      </c>
      <c r="Z9" s="46" t="e">
        <f t="shared" si="11"/>
        <v>#DIV/0!</v>
      </c>
      <c r="AA9" s="46" t="e">
        <f t="shared" si="12"/>
        <v>#DIV/0!</v>
      </c>
      <c r="AB9" s="45" t="e">
        <f t="shared" si="13"/>
        <v>#DIV/0!</v>
      </c>
      <c r="AC9" s="49" t="e">
        <f t="shared" si="14"/>
        <v>#DIV/0!</v>
      </c>
      <c r="AE9" s="48">
        <f t="shared" si="15"/>
        <v>-6.5</v>
      </c>
      <c r="AF9" s="47" t="e">
        <f t="shared" si="16"/>
        <v>#DIV/0!</v>
      </c>
      <c r="AG9" s="46" t="e">
        <f t="shared" si="16"/>
        <v>#DIV/0!</v>
      </c>
      <c r="AH9" s="45" t="e">
        <f t="shared" si="16"/>
        <v>#DIV/0!</v>
      </c>
      <c r="AI9" s="47" t="e">
        <f t="shared" si="16"/>
        <v>#DIV/0!</v>
      </c>
      <c r="AJ9" s="46" t="e">
        <f t="shared" si="16"/>
        <v>#DIV/0!</v>
      </c>
      <c r="AK9" s="46" t="e">
        <f t="shared" si="16"/>
        <v>#DIV/0!</v>
      </c>
      <c r="AL9" s="46" t="e">
        <f t="shared" si="16"/>
        <v>#DIV/0!</v>
      </c>
      <c r="AM9" s="45" t="e">
        <f t="shared" si="16"/>
        <v>#DIV/0!</v>
      </c>
      <c r="AN9" s="44" t="e">
        <f t="shared" si="17"/>
        <v>#DIV/0!</v>
      </c>
    </row>
    <row r="10" spans="1:40" x14ac:dyDescent="0.35">
      <c r="A10" s="58" t="s">
        <v>67</v>
      </c>
      <c r="B10" s="57">
        <v>-6</v>
      </c>
      <c r="C10" s="72">
        <v>0</v>
      </c>
      <c r="D10" s="55">
        <f t="shared" si="2"/>
        <v>0</v>
      </c>
      <c r="E10" s="54">
        <f>SUM(D6:D10)</f>
        <v>0</v>
      </c>
      <c r="G10" s="48">
        <f t="shared" si="3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4"/>
        <v>0</v>
      </c>
      <c r="R10" s="134">
        <f t="shared" si="18"/>
        <v>0</v>
      </c>
      <c r="T10" s="48">
        <f t="shared" si="5"/>
        <v>-6</v>
      </c>
      <c r="U10" s="47" t="e">
        <f t="shared" si="6"/>
        <v>#DIV/0!</v>
      </c>
      <c r="V10" s="46" t="e">
        <f t="shared" si="7"/>
        <v>#DIV/0!</v>
      </c>
      <c r="W10" s="45" t="e">
        <f t="shared" si="8"/>
        <v>#DIV/0!</v>
      </c>
      <c r="X10" s="46" t="e">
        <f t="shared" si="9"/>
        <v>#DIV/0!</v>
      </c>
      <c r="Y10" s="46" t="e">
        <f t="shared" si="10"/>
        <v>#DIV/0!</v>
      </c>
      <c r="Z10" s="46" t="e">
        <f t="shared" si="11"/>
        <v>#DIV/0!</v>
      </c>
      <c r="AA10" s="46" t="e">
        <f t="shared" si="12"/>
        <v>#DIV/0!</v>
      </c>
      <c r="AB10" s="45" t="e">
        <f t="shared" si="13"/>
        <v>#DIV/0!</v>
      </c>
      <c r="AC10" s="49" t="e">
        <f t="shared" si="14"/>
        <v>#DIV/0!</v>
      </c>
      <c r="AE10" s="48">
        <f t="shared" si="15"/>
        <v>-6</v>
      </c>
      <c r="AF10" s="47" t="e">
        <f t="shared" si="16"/>
        <v>#DIV/0!</v>
      </c>
      <c r="AG10" s="46" t="e">
        <f t="shared" si="16"/>
        <v>#DIV/0!</v>
      </c>
      <c r="AH10" s="45" t="e">
        <f t="shared" si="16"/>
        <v>#DIV/0!</v>
      </c>
      <c r="AI10" s="47" t="e">
        <f t="shared" si="16"/>
        <v>#DIV/0!</v>
      </c>
      <c r="AJ10" s="46" t="e">
        <f t="shared" si="16"/>
        <v>#DIV/0!</v>
      </c>
      <c r="AK10" s="46" t="e">
        <f t="shared" si="16"/>
        <v>#DIV/0!</v>
      </c>
      <c r="AL10" s="46" t="e">
        <f t="shared" si="16"/>
        <v>#DIV/0!</v>
      </c>
      <c r="AM10" s="45" t="e">
        <f t="shared" si="16"/>
        <v>#DIV/0!</v>
      </c>
      <c r="AN10" s="44" t="e">
        <f t="shared" si="17"/>
        <v>#DIV/0!</v>
      </c>
    </row>
    <row r="11" spans="1:40" x14ac:dyDescent="0.35">
      <c r="A11" s="58" t="s">
        <v>66</v>
      </c>
      <c r="B11" s="57">
        <v>-5.5</v>
      </c>
      <c r="C11" s="62">
        <v>0</v>
      </c>
      <c r="D11" s="55">
        <f t="shared" si="2"/>
        <v>0</v>
      </c>
      <c r="E11" s="54">
        <f>SUM(D6:D11)</f>
        <v>0</v>
      </c>
      <c r="G11" s="48">
        <f t="shared" si="3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50">
        <f t="shared" si="4"/>
        <v>0</v>
      </c>
      <c r="R11" s="134">
        <f t="shared" si="18"/>
        <v>0</v>
      </c>
      <c r="T11" s="48">
        <f t="shared" si="5"/>
        <v>-5.5</v>
      </c>
      <c r="U11" s="47" t="e">
        <f t="shared" si="6"/>
        <v>#DIV/0!</v>
      </c>
      <c r="V11" s="46" t="e">
        <f t="shared" si="7"/>
        <v>#DIV/0!</v>
      </c>
      <c r="W11" s="45" t="e">
        <f t="shared" si="8"/>
        <v>#DIV/0!</v>
      </c>
      <c r="X11" s="46" t="e">
        <f t="shared" si="9"/>
        <v>#DIV/0!</v>
      </c>
      <c r="Y11" s="46" t="e">
        <f t="shared" si="10"/>
        <v>#DIV/0!</v>
      </c>
      <c r="Z11" s="46" t="e">
        <f t="shared" si="11"/>
        <v>#DIV/0!</v>
      </c>
      <c r="AA11" s="46" t="e">
        <f t="shared" si="12"/>
        <v>#DIV/0!</v>
      </c>
      <c r="AB11" s="45" t="e">
        <f t="shared" si="13"/>
        <v>#DIV/0!</v>
      </c>
      <c r="AC11" s="49" t="e">
        <f t="shared" si="14"/>
        <v>#DIV/0!</v>
      </c>
      <c r="AE11" s="48">
        <f t="shared" si="15"/>
        <v>-5.5</v>
      </c>
      <c r="AF11" s="47" t="e">
        <f t="shared" si="16"/>
        <v>#DIV/0!</v>
      </c>
      <c r="AG11" s="46" t="e">
        <f t="shared" si="16"/>
        <v>#DIV/0!</v>
      </c>
      <c r="AH11" s="45" t="e">
        <f t="shared" si="16"/>
        <v>#DIV/0!</v>
      </c>
      <c r="AI11" s="47" t="e">
        <f t="shared" si="16"/>
        <v>#DIV/0!</v>
      </c>
      <c r="AJ11" s="46" t="e">
        <f t="shared" si="16"/>
        <v>#DIV/0!</v>
      </c>
      <c r="AK11" s="46" t="e">
        <f t="shared" si="16"/>
        <v>#DIV/0!</v>
      </c>
      <c r="AL11" s="46" t="e">
        <f t="shared" si="16"/>
        <v>#DIV/0!</v>
      </c>
      <c r="AM11" s="45" t="e">
        <f t="shared" si="16"/>
        <v>#DIV/0!</v>
      </c>
      <c r="AN11" s="44" t="e">
        <f t="shared" si="17"/>
        <v>#DIV/0!</v>
      </c>
    </row>
    <row r="12" spans="1:40" x14ac:dyDescent="0.35">
      <c r="A12" s="58" t="s">
        <v>65</v>
      </c>
      <c r="B12" s="57">
        <v>-5</v>
      </c>
      <c r="C12" s="62">
        <v>0</v>
      </c>
      <c r="D12" s="55">
        <f t="shared" si="2"/>
        <v>0</v>
      </c>
      <c r="E12" s="54">
        <f>SUM(D6:D12)</f>
        <v>0</v>
      </c>
      <c r="G12" s="48">
        <f t="shared" si="3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50">
        <f t="shared" si="4"/>
        <v>0</v>
      </c>
      <c r="R12" s="134">
        <f t="shared" si="18"/>
        <v>0</v>
      </c>
      <c r="T12" s="48">
        <f t="shared" si="5"/>
        <v>-5</v>
      </c>
      <c r="U12" s="47" t="e">
        <f t="shared" si="6"/>
        <v>#DIV/0!</v>
      </c>
      <c r="V12" s="46" t="e">
        <f t="shared" si="7"/>
        <v>#DIV/0!</v>
      </c>
      <c r="W12" s="45" t="e">
        <f t="shared" si="8"/>
        <v>#DIV/0!</v>
      </c>
      <c r="X12" s="46" t="e">
        <f t="shared" si="9"/>
        <v>#DIV/0!</v>
      </c>
      <c r="Y12" s="46" t="e">
        <f t="shared" si="10"/>
        <v>#DIV/0!</v>
      </c>
      <c r="Z12" s="46" t="e">
        <f t="shared" si="11"/>
        <v>#DIV/0!</v>
      </c>
      <c r="AA12" s="46" t="e">
        <f t="shared" si="12"/>
        <v>#DIV/0!</v>
      </c>
      <c r="AB12" s="45" t="e">
        <f t="shared" si="13"/>
        <v>#DIV/0!</v>
      </c>
      <c r="AC12" s="49" t="e">
        <f t="shared" si="14"/>
        <v>#DIV/0!</v>
      </c>
      <c r="AE12" s="48">
        <f t="shared" si="15"/>
        <v>-5</v>
      </c>
      <c r="AF12" s="47" t="e">
        <f t="shared" si="16"/>
        <v>#DIV/0!</v>
      </c>
      <c r="AG12" s="46" t="e">
        <f t="shared" si="16"/>
        <v>#DIV/0!</v>
      </c>
      <c r="AH12" s="45" t="e">
        <f t="shared" si="16"/>
        <v>#DIV/0!</v>
      </c>
      <c r="AI12" s="47" t="e">
        <f t="shared" si="16"/>
        <v>#DIV/0!</v>
      </c>
      <c r="AJ12" s="46" t="e">
        <f t="shared" si="16"/>
        <v>#DIV/0!</v>
      </c>
      <c r="AK12" s="46" t="e">
        <f t="shared" si="16"/>
        <v>#DIV/0!</v>
      </c>
      <c r="AL12" s="46" t="e">
        <f t="shared" si="16"/>
        <v>#DIV/0!</v>
      </c>
      <c r="AM12" s="45" t="e">
        <f t="shared" si="16"/>
        <v>#DIV/0!</v>
      </c>
      <c r="AN12" s="44" t="e">
        <f t="shared" si="17"/>
        <v>#DIV/0!</v>
      </c>
    </row>
    <row r="13" spans="1:40" x14ac:dyDescent="0.35">
      <c r="A13" s="58" t="s">
        <v>64</v>
      </c>
      <c r="B13" s="57">
        <v>-4.5</v>
      </c>
      <c r="C13" s="62">
        <v>0</v>
      </c>
      <c r="D13" s="55">
        <f t="shared" si="2"/>
        <v>0</v>
      </c>
      <c r="E13" s="54">
        <f>SUM(D7:D13)</f>
        <v>0</v>
      </c>
      <c r="G13" s="48">
        <f t="shared" si="3"/>
        <v>-4.5</v>
      </c>
      <c r="H13" s="61">
        <v>0</v>
      </c>
      <c r="I13" s="60">
        <v>0</v>
      </c>
      <c r="J13" s="59">
        <v>0</v>
      </c>
      <c r="K13" s="60">
        <v>0</v>
      </c>
      <c r="L13" s="60">
        <v>0</v>
      </c>
      <c r="M13" s="60">
        <v>0</v>
      </c>
      <c r="N13" s="60">
        <v>0</v>
      </c>
      <c r="O13" s="60">
        <v>0</v>
      </c>
      <c r="P13" s="50">
        <f t="shared" si="4"/>
        <v>0</v>
      </c>
      <c r="R13" s="134">
        <f t="shared" si="18"/>
        <v>0</v>
      </c>
      <c r="T13" s="48">
        <f t="shared" si="5"/>
        <v>-4.5</v>
      </c>
      <c r="U13" s="47" t="e">
        <f t="shared" si="6"/>
        <v>#DIV/0!</v>
      </c>
      <c r="V13" s="46" t="e">
        <f t="shared" si="7"/>
        <v>#DIV/0!</v>
      </c>
      <c r="W13" s="45" t="e">
        <f t="shared" si="8"/>
        <v>#DIV/0!</v>
      </c>
      <c r="X13" s="46" t="e">
        <f t="shared" si="9"/>
        <v>#DIV/0!</v>
      </c>
      <c r="Y13" s="46" t="e">
        <f t="shared" si="10"/>
        <v>#DIV/0!</v>
      </c>
      <c r="Z13" s="46" t="e">
        <f t="shared" si="11"/>
        <v>#DIV/0!</v>
      </c>
      <c r="AA13" s="46" t="e">
        <f t="shared" si="12"/>
        <v>#DIV/0!</v>
      </c>
      <c r="AB13" s="45" t="e">
        <f t="shared" si="13"/>
        <v>#DIV/0!</v>
      </c>
      <c r="AC13" s="49" t="e">
        <f t="shared" si="14"/>
        <v>#DIV/0!</v>
      </c>
      <c r="AE13" s="48">
        <f t="shared" si="15"/>
        <v>-4.5</v>
      </c>
      <c r="AF13" s="47" t="e">
        <f t="shared" si="16"/>
        <v>#DIV/0!</v>
      </c>
      <c r="AG13" s="46" t="e">
        <f t="shared" si="16"/>
        <v>#DIV/0!</v>
      </c>
      <c r="AH13" s="45" t="e">
        <f t="shared" si="16"/>
        <v>#DIV/0!</v>
      </c>
      <c r="AI13" s="47" t="e">
        <f t="shared" si="16"/>
        <v>#DIV/0!</v>
      </c>
      <c r="AJ13" s="46" t="e">
        <f t="shared" si="16"/>
        <v>#DIV/0!</v>
      </c>
      <c r="AK13" s="46" t="e">
        <f t="shared" si="16"/>
        <v>#DIV/0!</v>
      </c>
      <c r="AL13" s="46" t="e">
        <f t="shared" si="16"/>
        <v>#DIV/0!</v>
      </c>
      <c r="AM13" s="45" t="e">
        <f t="shared" si="16"/>
        <v>#DIV/0!</v>
      </c>
      <c r="AN13" s="44" t="e">
        <f t="shared" si="17"/>
        <v>#DIV/0!</v>
      </c>
    </row>
    <row r="14" spans="1:40" x14ac:dyDescent="0.35">
      <c r="A14" s="58" t="s">
        <v>63</v>
      </c>
      <c r="B14" s="57">
        <v>-4</v>
      </c>
      <c r="C14" s="62">
        <v>8.49</v>
      </c>
      <c r="D14" s="55">
        <f t="shared" si="2"/>
        <v>2.4939780271429406</v>
      </c>
      <c r="E14" s="54">
        <f>SUM(D8:D14)</f>
        <v>2.4939780271429406</v>
      </c>
      <c r="G14" s="48">
        <f t="shared" si="3"/>
        <v>-4</v>
      </c>
      <c r="H14" s="61">
        <v>8.3699999999999992</v>
      </c>
      <c r="I14" s="60">
        <v>0</v>
      </c>
      <c r="J14" s="59">
        <v>0</v>
      </c>
      <c r="K14" s="60">
        <v>0</v>
      </c>
      <c r="L14" s="60">
        <v>0</v>
      </c>
      <c r="M14" s="60">
        <v>0</v>
      </c>
      <c r="N14" s="60">
        <v>0</v>
      </c>
      <c r="O14" s="60">
        <v>0</v>
      </c>
      <c r="P14" s="50">
        <f t="shared" si="4"/>
        <v>8.3699999999999992</v>
      </c>
      <c r="R14" s="134">
        <f t="shared" si="18"/>
        <v>0</v>
      </c>
      <c r="T14" s="48">
        <f t="shared" si="5"/>
        <v>-4</v>
      </c>
      <c r="U14" s="47">
        <f t="shared" si="6"/>
        <v>100</v>
      </c>
      <c r="V14" s="46">
        <f t="shared" si="7"/>
        <v>0</v>
      </c>
      <c r="W14" s="45">
        <f t="shared" si="8"/>
        <v>0</v>
      </c>
      <c r="X14" s="46">
        <f t="shared" si="9"/>
        <v>0</v>
      </c>
      <c r="Y14" s="46">
        <f t="shared" si="10"/>
        <v>0</v>
      </c>
      <c r="Z14" s="46">
        <f t="shared" si="11"/>
        <v>0</v>
      </c>
      <c r="AA14" s="46">
        <f t="shared" si="12"/>
        <v>0</v>
      </c>
      <c r="AB14" s="45">
        <f t="shared" si="13"/>
        <v>0</v>
      </c>
      <c r="AC14" s="49">
        <f t="shared" si="14"/>
        <v>100</v>
      </c>
      <c r="AE14" s="48">
        <f t="shared" si="15"/>
        <v>-4</v>
      </c>
      <c r="AF14" s="47">
        <f t="shared" si="16"/>
        <v>100</v>
      </c>
      <c r="AG14" s="46">
        <f t="shared" si="16"/>
        <v>0</v>
      </c>
      <c r="AH14" s="45">
        <f t="shared" si="16"/>
        <v>0</v>
      </c>
      <c r="AI14" s="47">
        <f t="shared" si="16"/>
        <v>0</v>
      </c>
      <c r="AJ14" s="46">
        <f t="shared" si="16"/>
        <v>0</v>
      </c>
      <c r="AK14" s="46">
        <f t="shared" si="16"/>
        <v>0</v>
      </c>
      <c r="AL14" s="46">
        <f t="shared" si="16"/>
        <v>0</v>
      </c>
      <c r="AM14" s="45">
        <f t="shared" si="16"/>
        <v>0</v>
      </c>
      <c r="AN14" s="44">
        <f t="shared" si="17"/>
        <v>100</v>
      </c>
    </row>
    <row r="15" spans="1:40" x14ac:dyDescent="0.35">
      <c r="A15" s="58" t="s">
        <v>62</v>
      </c>
      <c r="B15" s="57">
        <v>-3.5</v>
      </c>
      <c r="C15" s="62">
        <v>29.38</v>
      </c>
      <c r="D15" s="55">
        <f t="shared" si="2"/>
        <v>8.6305152458727434</v>
      </c>
      <c r="E15" s="54">
        <f>SUM(D6:D15)</f>
        <v>11.124493273015684</v>
      </c>
      <c r="G15" s="48">
        <f t="shared" si="3"/>
        <v>-3.5</v>
      </c>
      <c r="H15" s="61">
        <v>29.12</v>
      </c>
      <c r="I15" s="60">
        <v>0</v>
      </c>
      <c r="J15" s="59">
        <v>0</v>
      </c>
      <c r="K15" s="60">
        <v>0</v>
      </c>
      <c r="L15" s="60">
        <v>0</v>
      </c>
      <c r="M15" s="60">
        <v>0</v>
      </c>
      <c r="N15" s="60">
        <v>0</v>
      </c>
      <c r="O15" s="59">
        <v>0</v>
      </c>
      <c r="P15" s="50">
        <f t="shared" si="4"/>
        <v>29.12</v>
      </c>
      <c r="R15" s="134">
        <f t="shared" si="18"/>
        <v>0</v>
      </c>
      <c r="T15" s="48">
        <f t="shared" si="5"/>
        <v>-3.5</v>
      </c>
      <c r="U15" s="67">
        <f t="shared" si="6"/>
        <v>100</v>
      </c>
      <c r="V15" s="66">
        <f t="shared" si="7"/>
        <v>0</v>
      </c>
      <c r="W15" s="65">
        <f t="shared" si="8"/>
        <v>0</v>
      </c>
      <c r="X15" s="66">
        <f t="shared" si="9"/>
        <v>0</v>
      </c>
      <c r="Y15" s="66">
        <f t="shared" si="10"/>
        <v>0</v>
      </c>
      <c r="Z15" s="66">
        <f t="shared" si="11"/>
        <v>0</v>
      </c>
      <c r="AA15" s="66">
        <f t="shared" si="12"/>
        <v>0</v>
      </c>
      <c r="AB15" s="65">
        <f t="shared" si="13"/>
        <v>0</v>
      </c>
      <c r="AC15" s="50">
        <f t="shared" si="14"/>
        <v>100</v>
      </c>
      <c r="AE15" s="48">
        <f t="shared" si="15"/>
        <v>-3.5</v>
      </c>
      <c r="AF15" s="67">
        <f t="shared" ref="AF15:AJ33" si="19">U15*100/(SUM($U15:$Y15)+SUM($AA15:$AB15))</f>
        <v>100</v>
      </c>
      <c r="AG15" s="66">
        <f t="shared" si="19"/>
        <v>0</v>
      </c>
      <c r="AH15" s="65">
        <f t="shared" si="19"/>
        <v>0</v>
      </c>
      <c r="AI15" s="67">
        <f t="shared" si="19"/>
        <v>0</v>
      </c>
      <c r="AJ15" s="66">
        <f t="shared" si="19"/>
        <v>0</v>
      </c>
      <c r="AK15" s="66">
        <v>0</v>
      </c>
      <c r="AL15" s="66">
        <f t="shared" ref="AL15:AM33" si="20">AA15*100/(SUM($U15:$Y15)+SUM($AA15:$AB15))</f>
        <v>0</v>
      </c>
      <c r="AM15" s="65">
        <f t="shared" si="20"/>
        <v>0</v>
      </c>
      <c r="AN15" s="64">
        <f t="shared" si="17"/>
        <v>100</v>
      </c>
    </row>
    <row r="16" spans="1:40" x14ac:dyDescent="0.35">
      <c r="A16" s="71" t="s">
        <v>61</v>
      </c>
      <c r="B16" s="57">
        <v>-3</v>
      </c>
      <c r="C16" s="62">
        <v>35.22</v>
      </c>
      <c r="D16" s="55">
        <f t="shared" si="2"/>
        <v>10.346043123200749</v>
      </c>
      <c r="E16" s="54">
        <f>SUM(D6:D16)</f>
        <v>21.470536396216431</v>
      </c>
      <c r="G16" s="48">
        <f t="shared" si="3"/>
        <v>-3</v>
      </c>
      <c r="H16" s="61">
        <v>32.4</v>
      </c>
      <c r="I16" s="60">
        <v>2.2200000000000002</v>
      </c>
      <c r="J16" s="59">
        <v>0</v>
      </c>
      <c r="K16" s="60">
        <v>0</v>
      </c>
      <c r="L16" s="60">
        <v>0</v>
      </c>
      <c r="M16" s="60">
        <v>0</v>
      </c>
      <c r="N16" s="60">
        <v>0</v>
      </c>
      <c r="O16" s="59">
        <v>0</v>
      </c>
      <c r="P16" s="50">
        <f t="shared" si="4"/>
        <v>34.619999999999997</v>
      </c>
      <c r="R16" s="134">
        <f t="shared" si="18"/>
        <v>0</v>
      </c>
      <c r="T16" s="48">
        <f t="shared" si="5"/>
        <v>-3</v>
      </c>
      <c r="U16" s="67">
        <f t="shared" si="6"/>
        <v>93.587521663778176</v>
      </c>
      <c r="V16" s="66">
        <f t="shared" si="7"/>
        <v>6.412478336221838</v>
      </c>
      <c r="W16" s="65">
        <f t="shared" si="8"/>
        <v>0</v>
      </c>
      <c r="X16" s="66">
        <f t="shared" si="9"/>
        <v>0</v>
      </c>
      <c r="Y16" s="66">
        <f t="shared" si="10"/>
        <v>0</v>
      </c>
      <c r="Z16" s="66">
        <f t="shared" si="11"/>
        <v>0</v>
      </c>
      <c r="AA16" s="66">
        <f t="shared" si="12"/>
        <v>0</v>
      </c>
      <c r="AB16" s="65">
        <f t="shared" si="13"/>
        <v>0</v>
      </c>
      <c r="AC16" s="50">
        <f t="shared" si="14"/>
        <v>100.00000000000001</v>
      </c>
      <c r="AE16" s="48">
        <f t="shared" si="15"/>
        <v>-3</v>
      </c>
      <c r="AF16" s="67">
        <f t="shared" si="19"/>
        <v>93.587521663778162</v>
      </c>
      <c r="AG16" s="66">
        <f t="shared" si="19"/>
        <v>6.412478336221838</v>
      </c>
      <c r="AH16" s="65">
        <f t="shared" si="19"/>
        <v>0</v>
      </c>
      <c r="AI16" s="67">
        <f t="shared" si="19"/>
        <v>0</v>
      </c>
      <c r="AJ16" s="66">
        <f t="shared" si="19"/>
        <v>0</v>
      </c>
      <c r="AK16" s="66">
        <v>0</v>
      </c>
      <c r="AL16" s="66">
        <f t="shared" si="20"/>
        <v>0</v>
      </c>
      <c r="AM16" s="65">
        <f t="shared" si="20"/>
        <v>0</v>
      </c>
      <c r="AN16" s="64">
        <f t="shared" si="17"/>
        <v>100</v>
      </c>
    </row>
    <row r="17" spans="1:40" x14ac:dyDescent="0.35">
      <c r="A17" s="71" t="s">
        <v>60</v>
      </c>
      <c r="B17" s="57">
        <v>-2.5</v>
      </c>
      <c r="C17" s="62">
        <v>48.47</v>
      </c>
      <c r="D17" s="55">
        <f t="shared" si="2"/>
        <v>14.23829387227542</v>
      </c>
      <c r="E17" s="54">
        <f>SUM(D6:D17)</f>
        <v>35.708830268491852</v>
      </c>
      <c r="G17" s="48">
        <f t="shared" si="3"/>
        <v>-2.5</v>
      </c>
      <c r="H17" s="61">
        <v>42.68</v>
      </c>
      <c r="I17" s="60">
        <v>4.4800000000000004</v>
      </c>
      <c r="J17" s="59">
        <v>0</v>
      </c>
      <c r="K17" s="60">
        <v>0</v>
      </c>
      <c r="L17" s="60">
        <v>0</v>
      </c>
      <c r="M17" s="60">
        <v>0</v>
      </c>
      <c r="N17" s="60">
        <v>0</v>
      </c>
      <c r="O17" s="59">
        <v>0</v>
      </c>
      <c r="P17" s="50">
        <f t="shared" si="4"/>
        <v>47.16</v>
      </c>
      <c r="R17" s="134">
        <f t="shared" si="18"/>
        <v>0</v>
      </c>
      <c r="T17" s="48">
        <f t="shared" si="5"/>
        <v>-2.5</v>
      </c>
      <c r="U17" s="67">
        <f t="shared" si="6"/>
        <v>90.500424088210352</v>
      </c>
      <c r="V17" s="66">
        <f t="shared" si="7"/>
        <v>9.4995759117896537</v>
      </c>
      <c r="W17" s="65">
        <f t="shared" si="8"/>
        <v>0</v>
      </c>
      <c r="X17" s="66">
        <f t="shared" si="9"/>
        <v>0</v>
      </c>
      <c r="Y17" s="66">
        <f t="shared" si="10"/>
        <v>0</v>
      </c>
      <c r="Z17" s="66">
        <f t="shared" si="11"/>
        <v>0</v>
      </c>
      <c r="AA17" s="66">
        <f t="shared" si="12"/>
        <v>0</v>
      </c>
      <c r="AB17" s="65">
        <f t="shared" si="13"/>
        <v>0</v>
      </c>
      <c r="AC17" s="50">
        <f t="shared" si="14"/>
        <v>100</v>
      </c>
      <c r="AE17" s="48">
        <f t="shared" si="15"/>
        <v>-2.5</v>
      </c>
      <c r="AF17" s="67">
        <f t="shared" si="19"/>
        <v>90.500424088210352</v>
      </c>
      <c r="AG17" s="66">
        <f t="shared" si="19"/>
        <v>9.4995759117896537</v>
      </c>
      <c r="AH17" s="65">
        <f t="shared" si="19"/>
        <v>0</v>
      </c>
      <c r="AI17" s="67">
        <f t="shared" si="19"/>
        <v>0</v>
      </c>
      <c r="AJ17" s="66">
        <f t="shared" si="19"/>
        <v>0</v>
      </c>
      <c r="AK17" s="66">
        <v>0</v>
      </c>
      <c r="AL17" s="66">
        <f t="shared" si="20"/>
        <v>0</v>
      </c>
      <c r="AM17" s="65">
        <f t="shared" si="20"/>
        <v>0</v>
      </c>
      <c r="AN17" s="64">
        <f t="shared" si="17"/>
        <v>100</v>
      </c>
    </row>
    <row r="18" spans="1:40" x14ac:dyDescent="0.35">
      <c r="A18" s="58" t="s">
        <v>59</v>
      </c>
      <c r="B18" s="57">
        <v>-2</v>
      </c>
      <c r="C18" s="62">
        <v>38.389999999999993</v>
      </c>
      <c r="D18" s="55">
        <f t="shared" si="2"/>
        <v>11.277245755243518</v>
      </c>
      <c r="E18" s="54">
        <f>SUM(D6:D18)</f>
        <v>46.986076023735372</v>
      </c>
      <c r="G18" s="48">
        <f t="shared" si="3"/>
        <v>-2</v>
      </c>
      <c r="H18" s="61">
        <v>27.18</v>
      </c>
      <c r="I18" s="60">
        <v>8.67</v>
      </c>
      <c r="J18" s="59">
        <v>0</v>
      </c>
      <c r="K18" s="60">
        <v>0.99</v>
      </c>
      <c r="L18" s="60">
        <v>0</v>
      </c>
      <c r="M18" s="60">
        <v>2.27</v>
      </c>
      <c r="N18" s="60">
        <v>0</v>
      </c>
      <c r="O18" s="59">
        <v>0</v>
      </c>
      <c r="P18" s="50">
        <f t="shared" si="4"/>
        <v>39.110000000000007</v>
      </c>
      <c r="R18" s="134">
        <f t="shared" si="18"/>
        <v>0.6375867202202059</v>
      </c>
      <c r="T18" s="48">
        <f t="shared" si="5"/>
        <v>-2</v>
      </c>
      <c r="U18" s="67">
        <f t="shared" si="6"/>
        <v>69.496292508309878</v>
      </c>
      <c r="V18" s="66">
        <f t="shared" si="7"/>
        <v>22.168243416006131</v>
      </c>
      <c r="W18" s="65">
        <f t="shared" si="8"/>
        <v>0</v>
      </c>
      <c r="X18" s="66">
        <f t="shared" si="9"/>
        <v>2.5313219125543336</v>
      </c>
      <c r="Y18" s="66">
        <f t="shared" si="10"/>
        <v>0</v>
      </c>
      <c r="Z18" s="66">
        <f t="shared" si="11"/>
        <v>5.804142163129633</v>
      </c>
      <c r="AA18" s="66">
        <f t="shared" si="12"/>
        <v>0</v>
      </c>
      <c r="AB18" s="65">
        <f t="shared" si="13"/>
        <v>0</v>
      </c>
      <c r="AC18" s="50">
        <f t="shared" si="14"/>
        <v>99.999999999999972</v>
      </c>
      <c r="AE18" s="48">
        <f t="shared" si="15"/>
        <v>-2</v>
      </c>
      <c r="AF18" s="67">
        <f t="shared" si="19"/>
        <v>73.7785016286645</v>
      </c>
      <c r="AG18" s="66">
        <f t="shared" si="19"/>
        <v>23.534201954397393</v>
      </c>
      <c r="AH18" s="65">
        <f t="shared" si="19"/>
        <v>0</v>
      </c>
      <c r="AI18" s="67">
        <f t="shared" si="19"/>
        <v>2.6872964169381111</v>
      </c>
      <c r="AJ18" s="66">
        <f t="shared" si="19"/>
        <v>0</v>
      </c>
      <c r="AK18" s="66">
        <v>0</v>
      </c>
      <c r="AL18" s="66">
        <f t="shared" si="20"/>
        <v>0</v>
      </c>
      <c r="AM18" s="65">
        <f t="shared" si="20"/>
        <v>0</v>
      </c>
      <c r="AN18" s="64">
        <f t="shared" si="17"/>
        <v>100</v>
      </c>
    </row>
    <row r="19" spans="1:40" x14ac:dyDescent="0.35">
      <c r="A19" s="58" t="s">
        <v>58</v>
      </c>
      <c r="B19" s="57">
        <v>-1.5</v>
      </c>
      <c r="C19" s="62">
        <v>36.42</v>
      </c>
      <c r="D19" s="55">
        <f t="shared" si="2"/>
        <v>10.698548851418833</v>
      </c>
      <c r="E19" s="54">
        <f>SUM(D6:D19)</f>
        <v>57.684624875154206</v>
      </c>
      <c r="G19" s="48">
        <f t="shared" si="3"/>
        <v>-1.5</v>
      </c>
      <c r="H19" s="61">
        <v>24.39</v>
      </c>
      <c r="I19" s="60">
        <v>10.73</v>
      </c>
      <c r="J19" s="59">
        <v>0</v>
      </c>
      <c r="K19" s="60">
        <v>1.02</v>
      </c>
      <c r="L19" s="60">
        <v>0</v>
      </c>
      <c r="M19" s="60">
        <v>3.82</v>
      </c>
      <c r="N19" s="60">
        <v>0</v>
      </c>
      <c r="O19" s="59">
        <v>0</v>
      </c>
      <c r="P19" s="50">
        <f t="shared" si="4"/>
        <v>39.960000000000008</v>
      </c>
      <c r="R19" s="134">
        <f t="shared" si="18"/>
        <v>1.0729432912956769</v>
      </c>
      <c r="T19" s="48">
        <f t="shared" si="5"/>
        <v>-1.5</v>
      </c>
      <c r="U19" s="67">
        <f t="shared" si="6"/>
        <v>61.036036036036023</v>
      </c>
      <c r="V19" s="66">
        <f t="shared" si="7"/>
        <v>26.851851851851848</v>
      </c>
      <c r="W19" s="65">
        <f t="shared" si="8"/>
        <v>0</v>
      </c>
      <c r="X19" s="66">
        <f t="shared" si="9"/>
        <v>2.5525525525525521</v>
      </c>
      <c r="Y19" s="66">
        <f t="shared" si="10"/>
        <v>0</v>
      </c>
      <c r="Z19" s="66">
        <f t="shared" si="11"/>
        <v>9.5595595595595579</v>
      </c>
      <c r="AA19" s="66">
        <f t="shared" si="12"/>
        <v>0</v>
      </c>
      <c r="AB19" s="65">
        <f t="shared" si="13"/>
        <v>0</v>
      </c>
      <c r="AC19" s="50">
        <f t="shared" si="14"/>
        <v>99.999999999999986</v>
      </c>
      <c r="AE19" s="48">
        <f t="shared" si="15"/>
        <v>-1.5</v>
      </c>
      <c r="AF19" s="67">
        <f t="shared" si="19"/>
        <v>67.487548422800216</v>
      </c>
      <c r="AG19" s="66">
        <f t="shared" si="19"/>
        <v>29.690094078583286</v>
      </c>
      <c r="AH19" s="65">
        <f t="shared" si="19"/>
        <v>0</v>
      </c>
      <c r="AI19" s="67">
        <f t="shared" si="19"/>
        <v>2.8223574986164914</v>
      </c>
      <c r="AJ19" s="66">
        <f t="shared" si="19"/>
        <v>0</v>
      </c>
      <c r="AK19" s="66">
        <v>0</v>
      </c>
      <c r="AL19" s="66">
        <f t="shared" si="20"/>
        <v>0</v>
      </c>
      <c r="AM19" s="65">
        <f t="shared" si="20"/>
        <v>0</v>
      </c>
      <c r="AN19" s="64">
        <f t="shared" si="17"/>
        <v>100</v>
      </c>
    </row>
    <row r="20" spans="1:40" x14ac:dyDescent="0.35">
      <c r="A20" s="58" t="s">
        <v>57</v>
      </c>
      <c r="B20" s="57">
        <v>-1</v>
      </c>
      <c r="C20" s="62">
        <v>28.82</v>
      </c>
      <c r="D20" s="55">
        <f t="shared" si="2"/>
        <v>8.4660125727043045</v>
      </c>
      <c r="E20" s="54">
        <f>SUM(D6:D20)</f>
        <v>66.150637447858514</v>
      </c>
      <c r="G20" s="48">
        <f t="shared" si="3"/>
        <v>-1</v>
      </c>
      <c r="H20" s="61">
        <v>13.8</v>
      </c>
      <c r="I20" s="60">
        <v>12.89</v>
      </c>
      <c r="J20" s="59">
        <v>0</v>
      </c>
      <c r="K20" s="60">
        <v>1.79</v>
      </c>
      <c r="L20" s="60">
        <v>0</v>
      </c>
      <c r="M20" s="60">
        <v>5.07</v>
      </c>
      <c r="N20" s="60">
        <v>0</v>
      </c>
      <c r="O20" s="59">
        <v>0</v>
      </c>
      <c r="P20" s="50">
        <f t="shared" si="4"/>
        <v>33.549999999999997</v>
      </c>
      <c r="R20" s="134">
        <f t="shared" si="18"/>
        <v>1.4240373002275084</v>
      </c>
      <c r="T20" s="48">
        <f t="shared" si="5"/>
        <v>-1</v>
      </c>
      <c r="U20" s="67">
        <f t="shared" si="6"/>
        <v>41.132637853949333</v>
      </c>
      <c r="V20" s="66">
        <f t="shared" si="7"/>
        <v>38.420268256333834</v>
      </c>
      <c r="W20" s="65">
        <f t="shared" si="8"/>
        <v>0</v>
      </c>
      <c r="X20" s="66">
        <f t="shared" si="9"/>
        <v>5.3353204172876305</v>
      </c>
      <c r="Y20" s="66">
        <f t="shared" si="10"/>
        <v>0</v>
      </c>
      <c r="Z20" s="66">
        <f t="shared" si="11"/>
        <v>15.111773472429212</v>
      </c>
      <c r="AA20" s="66">
        <f t="shared" si="12"/>
        <v>0</v>
      </c>
      <c r="AB20" s="65">
        <f t="shared" si="13"/>
        <v>0</v>
      </c>
      <c r="AC20" s="50">
        <f t="shared" si="14"/>
        <v>100.00000000000001</v>
      </c>
      <c r="AE20" s="48">
        <f t="shared" si="15"/>
        <v>-1</v>
      </c>
      <c r="AF20" s="67">
        <f t="shared" si="19"/>
        <v>48.455056179775276</v>
      </c>
      <c r="AG20" s="66">
        <f t="shared" si="19"/>
        <v>45.25983146067415</v>
      </c>
      <c r="AH20" s="65">
        <f t="shared" si="19"/>
        <v>0</v>
      </c>
      <c r="AI20" s="67">
        <f t="shared" si="19"/>
        <v>6.2851123595505607</v>
      </c>
      <c r="AJ20" s="66">
        <f t="shared" si="19"/>
        <v>0</v>
      </c>
      <c r="AK20" s="66">
        <v>0</v>
      </c>
      <c r="AL20" s="66">
        <f t="shared" si="20"/>
        <v>0</v>
      </c>
      <c r="AM20" s="65">
        <f t="shared" si="20"/>
        <v>0</v>
      </c>
      <c r="AN20" s="64">
        <f t="shared" si="17"/>
        <v>100</v>
      </c>
    </row>
    <row r="21" spans="1:40" x14ac:dyDescent="0.35">
      <c r="A21" s="58" t="s">
        <v>56</v>
      </c>
      <c r="B21" s="57">
        <v>-0.5</v>
      </c>
      <c r="C21" s="62">
        <v>22.78</v>
      </c>
      <c r="D21" s="55">
        <f t="shared" si="2"/>
        <v>6.6917337406732846</v>
      </c>
      <c r="E21" s="54">
        <f>SUM(D6:D21)</f>
        <v>72.8423711885318</v>
      </c>
      <c r="G21" s="70">
        <f t="shared" si="3"/>
        <v>-0.5</v>
      </c>
      <c r="H21" s="53">
        <v>12.94</v>
      </c>
      <c r="I21" s="52">
        <v>7.54</v>
      </c>
      <c r="J21" s="51">
        <v>0</v>
      </c>
      <c r="K21" s="52">
        <v>1.97</v>
      </c>
      <c r="L21" s="52">
        <v>0</v>
      </c>
      <c r="M21" s="52">
        <v>4.45</v>
      </c>
      <c r="N21" s="52">
        <v>0</v>
      </c>
      <c r="O21" s="51">
        <v>0</v>
      </c>
      <c r="P21" s="69">
        <f t="shared" si="4"/>
        <v>26.9</v>
      </c>
      <c r="Q21" s="68"/>
      <c r="R21" s="134">
        <f t="shared" si="18"/>
        <v>1.2498946717973201</v>
      </c>
      <c r="S21" s="68"/>
      <c r="T21" s="48">
        <f t="shared" si="5"/>
        <v>-0.5</v>
      </c>
      <c r="U21" s="67">
        <f t="shared" si="6"/>
        <v>48.104089219330859</v>
      </c>
      <c r="V21" s="66">
        <f t="shared" si="7"/>
        <v>28.029739776951676</v>
      </c>
      <c r="W21" s="65">
        <f t="shared" si="8"/>
        <v>0</v>
      </c>
      <c r="X21" s="66">
        <f t="shared" si="9"/>
        <v>7.3234200743494426</v>
      </c>
      <c r="Y21" s="66">
        <f t="shared" si="10"/>
        <v>0</v>
      </c>
      <c r="Z21" s="66">
        <f t="shared" si="11"/>
        <v>16.542750929368029</v>
      </c>
      <c r="AA21" s="66">
        <f t="shared" si="12"/>
        <v>0</v>
      </c>
      <c r="AB21" s="65">
        <f t="shared" si="13"/>
        <v>0</v>
      </c>
      <c r="AC21" s="50">
        <f t="shared" si="14"/>
        <v>100</v>
      </c>
      <c r="AE21" s="48">
        <f t="shared" si="15"/>
        <v>-0.5</v>
      </c>
      <c r="AF21" s="67">
        <f t="shared" si="19"/>
        <v>57.639198218262813</v>
      </c>
      <c r="AG21" s="66">
        <f t="shared" si="19"/>
        <v>33.585746102449889</v>
      </c>
      <c r="AH21" s="65">
        <f t="shared" si="19"/>
        <v>0</v>
      </c>
      <c r="AI21" s="67">
        <f t="shared" si="19"/>
        <v>8.7750556792873038</v>
      </c>
      <c r="AJ21" s="66">
        <f t="shared" si="19"/>
        <v>0</v>
      </c>
      <c r="AK21" s="66">
        <v>0</v>
      </c>
      <c r="AL21" s="66">
        <f t="shared" si="20"/>
        <v>0</v>
      </c>
      <c r="AM21" s="65">
        <f t="shared" si="20"/>
        <v>0</v>
      </c>
      <c r="AN21" s="64">
        <f t="shared" si="17"/>
        <v>100</v>
      </c>
    </row>
    <row r="22" spans="1:40" x14ac:dyDescent="0.35">
      <c r="A22" s="58" t="s">
        <v>55</v>
      </c>
      <c r="B22" s="57">
        <v>0</v>
      </c>
      <c r="C22" s="62">
        <v>16.11</v>
      </c>
      <c r="D22" s="55">
        <f t="shared" si="2"/>
        <v>4.7323894013277705</v>
      </c>
      <c r="E22" s="54">
        <f>SUM(D6:D22)</f>
        <v>77.574760589859565</v>
      </c>
      <c r="G22" s="48">
        <f t="shared" si="3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4"/>
        <v>0</v>
      </c>
      <c r="R22" s="134">
        <f t="shared" si="18"/>
        <v>0</v>
      </c>
      <c r="T22" s="48">
        <f t="shared" si="5"/>
        <v>0</v>
      </c>
      <c r="U22" s="47" t="e">
        <f t="shared" si="6"/>
        <v>#DIV/0!</v>
      </c>
      <c r="V22" s="46" t="e">
        <f t="shared" si="7"/>
        <v>#DIV/0!</v>
      </c>
      <c r="W22" s="45" t="e">
        <f t="shared" si="8"/>
        <v>#DIV/0!</v>
      </c>
      <c r="X22" s="46" t="e">
        <f t="shared" si="9"/>
        <v>#DIV/0!</v>
      </c>
      <c r="Y22" s="46" t="e">
        <f t="shared" si="10"/>
        <v>#DIV/0!</v>
      </c>
      <c r="Z22" s="46" t="e">
        <f t="shared" si="11"/>
        <v>#DIV/0!</v>
      </c>
      <c r="AA22" s="46" t="e">
        <f t="shared" si="12"/>
        <v>#DIV/0!</v>
      </c>
      <c r="AB22" s="45" t="e">
        <f t="shared" si="13"/>
        <v>#DIV/0!</v>
      </c>
      <c r="AC22" s="49" t="e">
        <f t="shared" si="14"/>
        <v>#DIV/0!</v>
      </c>
      <c r="AE22" s="48">
        <f t="shared" si="15"/>
        <v>0</v>
      </c>
      <c r="AF22" s="47" t="e">
        <f t="shared" si="19"/>
        <v>#DIV/0!</v>
      </c>
      <c r="AG22" s="46" t="e">
        <f t="shared" si="19"/>
        <v>#DIV/0!</v>
      </c>
      <c r="AH22" s="45" t="e">
        <f t="shared" si="19"/>
        <v>#DIV/0!</v>
      </c>
      <c r="AI22" s="47" t="e">
        <f t="shared" si="19"/>
        <v>#DIV/0!</v>
      </c>
      <c r="AJ22" s="46" t="e">
        <f t="shared" si="19"/>
        <v>#DIV/0!</v>
      </c>
      <c r="AK22" s="46" t="e">
        <f t="shared" ref="AK22:AK33" si="21">Z22*100/(SUM($U22:$Y22)+SUM($AA22:$AB22))</f>
        <v>#DIV/0!</v>
      </c>
      <c r="AL22" s="46" t="e">
        <f t="shared" si="20"/>
        <v>#DIV/0!</v>
      </c>
      <c r="AM22" s="45" t="e">
        <f t="shared" si="20"/>
        <v>#DIV/0!</v>
      </c>
      <c r="AN22" s="44" t="e">
        <f t="shared" si="17"/>
        <v>#DIV/0!</v>
      </c>
    </row>
    <row r="23" spans="1:40" x14ac:dyDescent="0.35">
      <c r="A23" s="58" t="s">
        <v>54</v>
      </c>
      <c r="B23" s="57">
        <v>0.5</v>
      </c>
      <c r="C23" s="62">
        <v>9.2100000000000009</v>
      </c>
      <c r="D23" s="55">
        <f t="shared" si="2"/>
        <v>2.7054814640737908</v>
      </c>
      <c r="E23" s="54">
        <f>SUM(D6:D23)</f>
        <v>80.28024205393335</v>
      </c>
      <c r="G23" s="48">
        <f t="shared" si="3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4"/>
        <v>0</v>
      </c>
      <c r="R23" s="134">
        <f t="shared" si="18"/>
        <v>0</v>
      </c>
      <c r="T23" s="48">
        <f t="shared" si="5"/>
        <v>0.5</v>
      </c>
      <c r="U23" s="47" t="e">
        <f t="shared" si="6"/>
        <v>#DIV/0!</v>
      </c>
      <c r="V23" s="46" t="e">
        <f t="shared" si="7"/>
        <v>#DIV/0!</v>
      </c>
      <c r="W23" s="45" t="e">
        <f t="shared" si="8"/>
        <v>#DIV/0!</v>
      </c>
      <c r="X23" s="46" t="e">
        <f t="shared" si="9"/>
        <v>#DIV/0!</v>
      </c>
      <c r="Y23" s="46" t="e">
        <f t="shared" si="10"/>
        <v>#DIV/0!</v>
      </c>
      <c r="Z23" s="46" t="e">
        <f t="shared" si="11"/>
        <v>#DIV/0!</v>
      </c>
      <c r="AA23" s="46" t="e">
        <f t="shared" si="12"/>
        <v>#DIV/0!</v>
      </c>
      <c r="AB23" s="45" t="e">
        <f t="shared" si="13"/>
        <v>#DIV/0!</v>
      </c>
      <c r="AC23" s="49" t="e">
        <f t="shared" si="14"/>
        <v>#DIV/0!</v>
      </c>
      <c r="AE23" s="48">
        <f t="shared" si="15"/>
        <v>0.5</v>
      </c>
      <c r="AF23" s="47" t="e">
        <f t="shared" si="19"/>
        <v>#DIV/0!</v>
      </c>
      <c r="AG23" s="46" t="e">
        <f t="shared" si="19"/>
        <v>#DIV/0!</v>
      </c>
      <c r="AH23" s="45" t="e">
        <f t="shared" si="19"/>
        <v>#DIV/0!</v>
      </c>
      <c r="AI23" s="47" t="e">
        <f t="shared" si="19"/>
        <v>#DIV/0!</v>
      </c>
      <c r="AJ23" s="46" t="e">
        <f t="shared" si="19"/>
        <v>#DIV/0!</v>
      </c>
      <c r="AK23" s="46" t="e">
        <f t="shared" si="21"/>
        <v>#DIV/0!</v>
      </c>
      <c r="AL23" s="46" t="e">
        <f t="shared" si="20"/>
        <v>#DIV/0!</v>
      </c>
      <c r="AM23" s="45" t="e">
        <f t="shared" si="20"/>
        <v>#DIV/0!</v>
      </c>
      <c r="AN23" s="44" t="e">
        <f t="shared" si="17"/>
        <v>#DIV/0!</v>
      </c>
    </row>
    <row r="24" spans="1:40" x14ac:dyDescent="0.35">
      <c r="A24" s="58" t="s">
        <v>53</v>
      </c>
      <c r="B24" s="57">
        <v>1</v>
      </c>
      <c r="C24" s="63">
        <v>4.74</v>
      </c>
      <c r="D24" s="55">
        <f t="shared" si="2"/>
        <v>1.3923976264614297</v>
      </c>
      <c r="E24" s="54">
        <f>SUM(D6:D24)</f>
        <v>81.672639680394781</v>
      </c>
      <c r="G24" s="48">
        <f t="shared" si="3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4"/>
        <v>0</v>
      </c>
      <c r="R24" s="134">
        <f t="shared" si="18"/>
        <v>0</v>
      </c>
      <c r="T24" s="48">
        <f t="shared" si="5"/>
        <v>1</v>
      </c>
      <c r="U24" s="47" t="e">
        <f t="shared" si="6"/>
        <v>#DIV/0!</v>
      </c>
      <c r="V24" s="46" t="e">
        <f t="shared" si="7"/>
        <v>#DIV/0!</v>
      </c>
      <c r="W24" s="45" t="e">
        <f t="shared" si="8"/>
        <v>#DIV/0!</v>
      </c>
      <c r="X24" s="46" t="e">
        <f t="shared" si="9"/>
        <v>#DIV/0!</v>
      </c>
      <c r="Y24" s="46" t="e">
        <f t="shared" si="10"/>
        <v>#DIV/0!</v>
      </c>
      <c r="Z24" s="46" t="e">
        <f t="shared" si="11"/>
        <v>#DIV/0!</v>
      </c>
      <c r="AA24" s="46" t="e">
        <f t="shared" si="12"/>
        <v>#DIV/0!</v>
      </c>
      <c r="AB24" s="45" t="e">
        <f t="shared" si="13"/>
        <v>#DIV/0!</v>
      </c>
      <c r="AC24" s="49" t="e">
        <f t="shared" si="14"/>
        <v>#DIV/0!</v>
      </c>
      <c r="AE24" s="48">
        <f t="shared" si="15"/>
        <v>1</v>
      </c>
      <c r="AF24" s="47" t="e">
        <f t="shared" si="19"/>
        <v>#DIV/0!</v>
      </c>
      <c r="AG24" s="46" t="e">
        <f t="shared" si="19"/>
        <v>#DIV/0!</v>
      </c>
      <c r="AH24" s="45" t="e">
        <f t="shared" si="19"/>
        <v>#DIV/0!</v>
      </c>
      <c r="AI24" s="47" t="e">
        <f t="shared" si="19"/>
        <v>#DIV/0!</v>
      </c>
      <c r="AJ24" s="46" t="e">
        <f t="shared" si="19"/>
        <v>#DIV/0!</v>
      </c>
      <c r="AK24" s="46" t="e">
        <f t="shared" si="21"/>
        <v>#DIV/0!</v>
      </c>
      <c r="AL24" s="46" t="e">
        <f t="shared" si="20"/>
        <v>#DIV/0!</v>
      </c>
      <c r="AM24" s="45" t="e">
        <f t="shared" si="20"/>
        <v>#DIV/0!</v>
      </c>
      <c r="AN24" s="44" t="e">
        <f t="shared" si="17"/>
        <v>#DIV/0!</v>
      </c>
    </row>
    <row r="25" spans="1:40" x14ac:dyDescent="0.35">
      <c r="A25" s="58" t="s">
        <v>52</v>
      </c>
      <c r="B25" s="57">
        <v>1.5</v>
      </c>
      <c r="C25" s="62">
        <v>2.86</v>
      </c>
      <c r="D25" s="55">
        <f t="shared" si="2"/>
        <v>0.84013865225309892</v>
      </c>
      <c r="E25" s="54">
        <f>SUM(D6:D25)</f>
        <v>82.512778332647883</v>
      </c>
      <c r="G25" s="48">
        <f t="shared" si="3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4"/>
        <v>0</v>
      </c>
      <c r="R25" s="134">
        <f t="shared" si="18"/>
        <v>0</v>
      </c>
      <c r="T25" s="48">
        <f t="shared" si="5"/>
        <v>1.5</v>
      </c>
      <c r="U25" s="47" t="e">
        <f t="shared" si="6"/>
        <v>#DIV/0!</v>
      </c>
      <c r="V25" s="46" t="e">
        <f t="shared" si="7"/>
        <v>#DIV/0!</v>
      </c>
      <c r="W25" s="45" t="e">
        <f t="shared" si="8"/>
        <v>#DIV/0!</v>
      </c>
      <c r="X25" s="46" t="e">
        <f t="shared" si="9"/>
        <v>#DIV/0!</v>
      </c>
      <c r="Y25" s="46" t="e">
        <f t="shared" si="10"/>
        <v>#DIV/0!</v>
      </c>
      <c r="Z25" s="46" t="e">
        <f t="shared" si="11"/>
        <v>#DIV/0!</v>
      </c>
      <c r="AA25" s="46" t="e">
        <f t="shared" si="12"/>
        <v>#DIV/0!</v>
      </c>
      <c r="AB25" s="45" t="e">
        <f t="shared" si="13"/>
        <v>#DIV/0!</v>
      </c>
      <c r="AC25" s="49" t="e">
        <f t="shared" si="14"/>
        <v>#DIV/0!</v>
      </c>
      <c r="AE25" s="48">
        <f t="shared" si="15"/>
        <v>1.5</v>
      </c>
      <c r="AF25" s="47" t="e">
        <f t="shared" si="19"/>
        <v>#DIV/0!</v>
      </c>
      <c r="AG25" s="46" t="e">
        <f t="shared" si="19"/>
        <v>#DIV/0!</v>
      </c>
      <c r="AH25" s="45" t="e">
        <f t="shared" si="19"/>
        <v>#DIV/0!</v>
      </c>
      <c r="AI25" s="47" t="e">
        <f t="shared" si="19"/>
        <v>#DIV/0!</v>
      </c>
      <c r="AJ25" s="46" t="e">
        <f t="shared" si="19"/>
        <v>#DIV/0!</v>
      </c>
      <c r="AK25" s="46" t="e">
        <f t="shared" si="21"/>
        <v>#DIV/0!</v>
      </c>
      <c r="AL25" s="46" t="e">
        <f t="shared" si="20"/>
        <v>#DIV/0!</v>
      </c>
      <c r="AM25" s="45" t="e">
        <f t="shared" si="20"/>
        <v>#DIV/0!</v>
      </c>
      <c r="AN25" s="44" t="e">
        <f t="shared" si="17"/>
        <v>#DIV/0!</v>
      </c>
    </row>
    <row r="26" spans="1:40" x14ac:dyDescent="0.35">
      <c r="A26" s="58" t="s">
        <v>51</v>
      </c>
      <c r="B26" s="57">
        <v>2</v>
      </c>
      <c r="C26" s="62">
        <v>2.73</v>
      </c>
      <c r="D26" s="55">
        <f t="shared" si="2"/>
        <v>0.80195053169613995</v>
      </c>
      <c r="E26" s="54">
        <f>SUM(D6:D26)</f>
        <v>83.314728864344019</v>
      </c>
      <c r="G26" s="48">
        <f t="shared" si="3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4"/>
        <v>0</v>
      </c>
      <c r="R26" s="134">
        <f t="shared" si="18"/>
        <v>0</v>
      </c>
      <c r="T26" s="48">
        <f t="shared" si="5"/>
        <v>2</v>
      </c>
      <c r="U26" s="47" t="e">
        <f t="shared" si="6"/>
        <v>#DIV/0!</v>
      </c>
      <c r="V26" s="46" t="e">
        <f t="shared" si="7"/>
        <v>#DIV/0!</v>
      </c>
      <c r="W26" s="45" t="e">
        <f t="shared" si="8"/>
        <v>#DIV/0!</v>
      </c>
      <c r="X26" s="46" t="e">
        <f t="shared" si="9"/>
        <v>#DIV/0!</v>
      </c>
      <c r="Y26" s="46" t="e">
        <f t="shared" si="10"/>
        <v>#DIV/0!</v>
      </c>
      <c r="Z26" s="46" t="e">
        <f t="shared" si="11"/>
        <v>#DIV/0!</v>
      </c>
      <c r="AA26" s="46" t="e">
        <f t="shared" si="12"/>
        <v>#DIV/0!</v>
      </c>
      <c r="AB26" s="45" t="e">
        <f t="shared" si="13"/>
        <v>#DIV/0!</v>
      </c>
      <c r="AC26" s="49" t="e">
        <f t="shared" si="14"/>
        <v>#DIV/0!</v>
      </c>
      <c r="AE26" s="48">
        <f t="shared" si="15"/>
        <v>2</v>
      </c>
      <c r="AF26" s="47" t="e">
        <f t="shared" si="19"/>
        <v>#DIV/0!</v>
      </c>
      <c r="AG26" s="46" t="e">
        <f t="shared" si="19"/>
        <v>#DIV/0!</v>
      </c>
      <c r="AH26" s="45" t="e">
        <f t="shared" si="19"/>
        <v>#DIV/0!</v>
      </c>
      <c r="AI26" s="47" t="e">
        <f t="shared" si="19"/>
        <v>#DIV/0!</v>
      </c>
      <c r="AJ26" s="46" t="e">
        <f t="shared" si="19"/>
        <v>#DIV/0!</v>
      </c>
      <c r="AK26" s="46" t="e">
        <f t="shared" si="21"/>
        <v>#DIV/0!</v>
      </c>
      <c r="AL26" s="46" t="e">
        <f t="shared" si="20"/>
        <v>#DIV/0!</v>
      </c>
      <c r="AM26" s="45" t="e">
        <f t="shared" si="20"/>
        <v>#DIV/0!</v>
      </c>
      <c r="AN26" s="44" t="e">
        <f t="shared" si="17"/>
        <v>#DIV/0!</v>
      </c>
    </row>
    <row r="27" spans="1:40" x14ac:dyDescent="0.35">
      <c r="A27" s="58" t="s">
        <v>50</v>
      </c>
      <c r="B27" s="57">
        <v>2.5</v>
      </c>
      <c r="C27" s="62">
        <v>2.61</v>
      </c>
      <c r="D27" s="55">
        <f t="shared" si="2"/>
        <v>0.76669995887433151</v>
      </c>
      <c r="E27" s="54">
        <f>SUM(D7:D27)</f>
        <v>84.081428823218346</v>
      </c>
      <c r="G27" s="48">
        <f t="shared" si="3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4"/>
        <v>0</v>
      </c>
      <c r="R27" s="134">
        <f t="shared" si="18"/>
        <v>0</v>
      </c>
      <c r="T27" s="48">
        <f t="shared" si="5"/>
        <v>2.5</v>
      </c>
      <c r="U27" s="47" t="e">
        <f t="shared" si="6"/>
        <v>#DIV/0!</v>
      </c>
      <c r="V27" s="46" t="e">
        <f t="shared" si="7"/>
        <v>#DIV/0!</v>
      </c>
      <c r="W27" s="45" t="e">
        <f t="shared" si="8"/>
        <v>#DIV/0!</v>
      </c>
      <c r="X27" s="46" t="e">
        <f t="shared" si="9"/>
        <v>#DIV/0!</v>
      </c>
      <c r="Y27" s="46" t="e">
        <f t="shared" si="10"/>
        <v>#DIV/0!</v>
      </c>
      <c r="Z27" s="46" t="e">
        <f t="shared" si="11"/>
        <v>#DIV/0!</v>
      </c>
      <c r="AA27" s="46" t="e">
        <f t="shared" si="12"/>
        <v>#DIV/0!</v>
      </c>
      <c r="AB27" s="45" t="e">
        <f t="shared" si="13"/>
        <v>#DIV/0!</v>
      </c>
      <c r="AC27" s="49" t="e">
        <f t="shared" si="14"/>
        <v>#DIV/0!</v>
      </c>
      <c r="AE27" s="48">
        <f t="shared" si="15"/>
        <v>2.5</v>
      </c>
      <c r="AF27" s="47" t="e">
        <f t="shared" si="19"/>
        <v>#DIV/0!</v>
      </c>
      <c r="AG27" s="46" t="e">
        <f t="shared" si="19"/>
        <v>#DIV/0!</v>
      </c>
      <c r="AH27" s="45" t="e">
        <f t="shared" si="19"/>
        <v>#DIV/0!</v>
      </c>
      <c r="AI27" s="47" t="e">
        <f t="shared" si="19"/>
        <v>#DIV/0!</v>
      </c>
      <c r="AJ27" s="46" t="e">
        <f t="shared" si="19"/>
        <v>#DIV/0!</v>
      </c>
      <c r="AK27" s="46" t="e">
        <f t="shared" si="21"/>
        <v>#DIV/0!</v>
      </c>
      <c r="AL27" s="46" t="e">
        <f t="shared" si="20"/>
        <v>#DIV/0!</v>
      </c>
      <c r="AM27" s="45" t="e">
        <f t="shared" si="20"/>
        <v>#DIV/0!</v>
      </c>
      <c r="AN27" s="44" t="e">
        <f t="shared" si="17"/>
        <v>#DIV/0!</v>
      </c>
    </row>
    <row r="28" spans="1:40" x14ac:dyDescent="0.35">
      <c r="A28" s="58" t="s">
        <v>49</v>
      </c>
      <c r="B28" s="57">
        <v>3</v>
      </c>
      <c r="C28" s="56">
        <v>3.16</v>
      </c>
      <c r="D28" s="55">
        <f t="shared" si="2"/>
        <v>0.92826508430761989</v>
      </c>
      <c r="E28" s="54">
        <f>SUM(D7:D28)</f>
        <v>85.009693907525971</v>
      </c>
      <c r="G28" s="48">
        <f t="shared" si="3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4"/>
        <v>0</v>
      </c>
      <c r="R28" s="134">
        <f t="shared" si="18"/>
        <v>0</v>
      </c>
      <c r="T28" s="48">
        <f t="shared" si="5"/>
        <v>3</v>
      </c>
      <c r="U28" s="47" t="e">
        <f t="shared" si="6"/>
        <v>#DIV/0!</v>
      </c>
      <c r="V28" s="46" t="e">
        <f t="shared" si="7"/>
        <v>#DIV/0!</v>
      </c>
      <c r="W28" s="45" t="e">
        <f t="shared" si="8"/>
        <v>#DIV/0!</v>
      </c>
      <c r="X28" s="46" t="e">
        <f t="shared" si="9"/>
        <v>#DIV/0!</v>
      </c>
      <c r="Y28" s="46" t="e">
        <f t="shared" si="10"/>
        <v>#DIV/0!</v>
      </c>
      <c r="Z28" s="46" t="e">
        <f t="shared" si="11"/>
        <v>#DIV/0!</v>
      </c>
      <c r="AA28" s="46" t="e">
        <f t="shared" si="12"/>
        <v>#DIV/0!</v>
      </c>
      <c r="AB28" s="45" t="e">
        <f t="shared" si="13"/>
        <v>#DIV/0!</v>
      </c>
      <c r="AC28" s="49" t="e">
        <f t="shared" si="14"/>
        <v>#DIV/0!</v>
      </c>
      <c r="AE28" s="48">
        <f t="shared" si="15"/>
        <v>3</v>
      </c>
      <c r="AF28" s="47" t="e">
        <f t="shared" si="19"/>
        <v>#DIV/0!</v>
      </c>
      <c r="AG28" s="46" t="e">
        <f t="shared" si="19"/>
        <v>#DIV/0!</v>
      </c>
      <c r="AH28" s="45" t="e">
        <f t="shared" si="19"/>
        <v>#DIV/0!</v>
      </c>
      <c r="AI28" s="47" t="e">
        <f t="shared" si="19"/>
        <v>#DIV/0!</v>
      </c>
      <c r="AJ28" s="46" t="e">
        <f t="shared" si="19"/>
        <v>#DIV/0!</v>
      </c>
      <c r="AK28" s="46" t="e">
        <f t="shared" si="21"/>
        <v>#DIV/0!</v>
      </c>
      <c r="AL28" s="46" t="e">
        <f t="shared" si="20"/>
        <v>#DIV/0!</v>
      </c>
      <c r="AM28" s="45" t="e">
        <f t="shared" si="20"/>
        <v>#DIV/0!</v>
      </c>
      <c r="AN28" s="44" t="e">
        <f t="shared" si="17"/>
        <v>#DIV/0!</v>
      </c>
    </row>
    <row r="29" spans="1:40" x14ac:dyDescent="0.35">
      <c r="A29" s="58" t="s">
        <v>48</v>
      </c>
      <c r="B29" s="57">
        <v>3.5</v>
      </c>
      <c r="C29" s="56">
        <v>7.04</v>
      </c>
      <c r="D29" s="55">
        <f t="shared" si="2"/>
        <v>2.0680336055460895</v>
      </c>
      <c r="E29" s="54">
        <f>SUM(D7:D29)</f>
        <v>87.077727513072062</v>
      </c>
      <c r="G29" s="48">
        <f t="shared" si="3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59">
        <v>0</v>
      </c>
      <c r="P29" s="50">
        <f t="shared" si="4"/>
        <v>0</v>
      </c>
      <c r="R29" s="134">
        <f t="shared" si="18"/>
        <v>0</v>
      </c>
      <c r="T29" s="48">
        <f t="shared" si="5"/>
        <v>3.5</v>
      </c>
      <c r="U29" s="47" t="e">
        <f t="shared" si="6"/>
        <v>#DIV/0!</v>
      </c>
      <c r="V29" s="46" t="e">
        <f t="shared" si="7"/>
        <v>#DIV/0!</v>
      </c>
      <c r="W29" s="45" t="e">
        <f t="shared" si="8"/>
        <v>#DIV/0!</v>
      </c>
      <c r="X29" s="46" t="e">
        <f t="shared" si="9"/>
        <v>#DIV/0!</v>
      </c>
      <c r="Y29" s="46" t="e">
        <f t="shared" si="10"/>
        <v>#DIV/0!</v>
      </c>
      <c r="Z29" s="46" t="e">
        <f t="shared" si="11"/>
        <v>#DIV/0!</v>
      </c>
      <c r="AA29" s="46" t="e">
        <f t="shared" si="12"/>
        <v>#DIV/0!</v>
      </c>
      <c r="AB29" s="45" t="e">
        <f t="shared" si="13"/>
        <v>#DIV/0!</v>
      </c>
      <c r="AC29" s="49" t="e">
        <f t="shared" si="14"/>
        <v>#DIV/0!</v>
      </c>
      <c r="AE29" s="48">
        <f t="shared" si="15"/>
        <v>3.5</v>
      </c>
      <c r="AF29" s="47" t="e">
        <f t="shared" si="19"/>
        <v>#DIV/0!</v>
      </c>
      <c r="AG29" s="46" t="e">
        <f t="shared" si="19"/>
        <v>#DIV/0!</v>
      </c>
      <c r="AH29" s="45" t="e">
        <f t="shared" si="19"/>
        <v>#DIV/0!</v>
      </c>
      <c r="AI29" s="47" t="e">
        <f t="shared" si="19"/>
        <v>#DIV/0!</v>
      </c>
      <c r="AJ29" s="46" t="e">
        <f t="shared" si="19"/>
        <v>#DIV/0!</v>
      </c>
      <c r="AK29" s="46" t="e">
        <f t="shared" si="21"/>
        <v>#DIV/0!</v>
      </c>
      <c r="AL29" s="46" t="e">
        <f t="shared" si="20"/>
        <v>#DIV/0!</v>
      </c>
      <c r="AM29" s="45" t="e">
        <f t="shared" si="20"/>
        <v>#DIV/0!</v>
      </c>
      <c r="AN29" s="44" t="e">
        <f t="shared" si="17"/>
        <v>#DIV/0!</v>
      </c>
    </row>
    <row r="30" spans="1:40" x14ac:dyDescent="0.35">
      <c r="A30" s="58" t="s">
        <v>47</v>
      </c>
      <c r="B30" s="57">
        <v>4</v>
      </c>
      <c r="C30" s="56">
        <v>12.51</v>
      </c>
      <c r="D30" s="55">
        <f t="shared" si="2"/>
        <v>3.6748722166735202</v>
      </c>
      <c r="E30" s="54">
        <f>SUM(D7:D30)</f>
        <v>90.752599729745583</v>
      </c>
      <c r="G30" s="48">
        <f t="shared" si="3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59">
        <v>0</v>
      </c>
      <c r="P30" s="50">
        <f t="shared" si="4"/>
        <v>0</v>
      </c>
      <c r="R30" s="134">
        <f t="shared" si="18"/>
        <v>0</v>
      </c>
      <c r="T30" s="48">
        <f t="shared" si="5"/>
        <v>4</v>
      </c>
      <c r="U30" s="47" t="e">
        <f t="shared" si="6"/>
        <v>#DIV/0!</v>
      </c>
      <c r="V30" s="46" t="e">
        <f t="shared" si="7"/>
        <v>#DIV/0!</v>
      </c>
      <c r="W30" s="45" t="e">
        <f t="shared" si="8"/>
        <v>#DIV/0!</v>
      </c>
      <c r="X30" s="46" t="e">
        <f t="shared" si="9"/>
        <v>#DIV/0!</v>
      </c>
      <c r="Y30" s="46" t="e">
        <f t="shared" si="10"/>
        <v>#DIV/0!</v>
      </c>
      <c r="Z30" s="46" t="e">
        <f t="shared" si="11"/>
        <v>#DIV/0!</v>
      </c>
      <c r="AA30" s="46" t="e">
        <f t="shared" si="12"/>
        <v>#DIV/0!</v>
      </c>
      <c r="AB30" s="45" t="e">
        <f t="shared" si="13"/>
        <v>#DIV/0!</v>
      </c>
      <c r="AC30" s="49" t="e">
        <f t="shared" si="14"/>
        <v>#DIV/0!</v>
      </c>
      <c r="AE30" s="48">
        <f t="shared" si="15"/>
        <v>4</v>
      </c>
      <c r="AF30" s="47" t="e">
        <f t="shared" si="19"/>
        <v>#DIV/0!</v>
      </c>
      <c r="AG30" s="46" t="e">
        <f t="shared" si="19"/>
        <v>#DIV/0!</v>
      </c>
      <c r="AH30" s="45" t="e">
        <f t="shared" si="19"/>
        <v>#DIV/0!</v>
      </c>
      <c r="AI30" s="47" t="e">
        <f t="shared" si="19"/>
        <v>#DIV/0!</v>
      </c>
      <c r="AJ30" s="46" t="e">
        <f t="shared" si="19"/>
        <v>#DIV/0!</v>
      </c>
      <c r="AK30" s="46" t="e">
        <f t="shared" si="21"/>
        <v>#DIV/0!</v>
      </c>
      <c r="AL30" s="46" t="e">
        <f t="shared" si="20"/>
        <v>#DIV/0!</v>
      </c>
      <c r="AM30" s="45" t="e">
        <f t="shared" si="20"/>
        <v>#DIV/0!</v>
      </c>
      <c r="AN30" s="44" t="e">
        <f t="shared" si="17"/>
        <v>#DIV/0!</v>
      </c>
    </row>
    <row r="31" spans="1:40" x14ac:dyDescent="0.35">
      <c r="A31" s="58" t="s">
        <v>46</v>
      </c>
      <c r="B31" s="57">
        <v>4.5</v>
      </c>
      <c r="C31" s="56">
        <v>31.48</v>
      </c>
      <c r="D31" s="55">
        <f t="shared" si="2"/>
        <v>9.2474002702543903</v>
      </c>
      <c r="E31" s="54">
        <f>SUM(D7:D31)</f>
        <v>99.999999999999972</v>
      </c>
      <c r="G31" s="48">
        <f t="shared" si="3"/>
        <v>4.5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59">
        <v>0</v>
      </c>
      <c r="P31" s="50">
        <f t="shared" si="4"/>
        <v>0</v>
      </c>
      <c r="R31" s="134">
        <f t="shared" si="18"/>
        <v>0</v>
      </c>
      <c r="T31" s="48">
        <f t="shared" si="5"/>
        <v>4.5</v>
      </c>
      <c r="U31" s="47" t="e">
        <f t="shared" si="6"/>
        <v>#DIV/0!</v>
      </c>
      <c r="V31" s="46" t="e">
        <f t="shared" si="7"/>
        <v>#DIV/0!</v>
      </c>
      <c r="W31" s="45" t="e">
        <f t="shared" si="8"/>
        <v>#DIV/0!</v>
      </c>
      <c r="X31" s="46" t="e">
        <f t="shared" si="9"/>
        <v>#DIV/0!</v>
      </c>
      <c r="Y31" s="46" t="e">
        <f t="shared" si="10"/>
        <v>#DIV/0!</v>
      </c>
      <c r="Z31" s="46" t="e">
        <f t="shared" si="11"/>
        <v>#DIV/0!</v>
      </c>
      <c r="AA31" s="46" t="e">
        <f t="shared" si="12"/>
        <v>#DIV/0!</v>
      </c>
      <c r="AB31" s="45" t="e">
        <f t="shared" si="13"/>
        <v>#DIV/0!</v>
      </c>
      <c r="AC31" s="49" t="e">
        <f t="shared" si="14"/>
        <v>#DIV/0!</v>
      </c>
      <c r="AE31" s="48">
        <f t="shared" si="15"/>
        <v>4.5</v>
      </c>
      <c r="AF31" s="47" t="e">
        <f t="shared" si="19"/>
        <v>#DIV/0!</v>
      </c>
      <c r="AG31" s="46" t="e">
        <f t="shared" si="19"/>
        <v>#DIV/0!</v>
      </c>
      <c r="AH31" s="45" t="e">
        <f t="shared" si="19"/>
        <v>#DIV/0!</v>
      </c>
      <c r="AI31" s="47" t="e">
        <f t="shared" si="19"/>
        <v>#DIV/0!</v>
      </c>
      <c r="AJ31" s="46" t="e">
        <f t="shared" si="19"/>
        <v>#DIV/0!</v>
      </c>
      <c r="AK31" s="46" t="e">
        <f t="shared" si="21"/>
        <v>#DIV/0!</v>
      </c>
      <c r="AL31" s="46" t="e">
        <f t="shared" si="20"/>
        <v>#DIV/0!</v>
      </c>
      <c r="AM31" s="45" t="e">
        <f t="shared" si="20"/>
        <v>#DIV/0!</v>
      </c>
      <c r="AN31" s="44" t="e">
        <f t="shared" si="17"/>
        <v>#DIV/0!</v>
      </c>
    </row>
    <row r="32" spans="1:40" x14ac:dyDescent="0.35">
      <c r="A32" s="58" t="s">
        <v>45</v>
      </c>
      <c r="B32" s="57">
        <v>5</v>
      </c>
      <c r="C32" s="56">
        <v>0</v>
      </c>
      <c r="D32" s="55">
        <f t="shared" si="2"/>
        <v>0</v>
      </c>
      <c r="E32" s="54">
        <f>SUM(D7:D32)</f>
        <v>99.999999999999972</v>
      </c>
      <c r="G32" s="48">
        <f t="shared" si="3"/>
        <v>5</v>
      </c>
      <c r="H32" s="53">
        <v>0</v>
      </c>
      <c r="I32" s="52">
        <v>0</v>
      </c>
      <c r="J32" s="51">
        <v>0</v>
      </c>
      <c r="K32" s="52">
        <v>0</v>
      </c>
      <c r="L32" s="52">
        <v>0</v>
      </c>
      <c r="M32" s="52">
        <v>0</v>
      </c>
      <c r="N32" s="52">
        <v>0</v>
      </c>
      <c r="O32" s="51">
        <v>0</v>
      </c>
      <c r="P32" s="50">
        <f t="shared" si="4"/>
        <v>0</v>
      </c>
      <c r="R32" s="134">
        <f t="shared" si="18"/>
        <v>0</v>
      </c>
      <c r="T32" s="48">
        <f t="shared" si="5"/>
        <v>5</v>
      </c>
      <c r="U32" s="47" t="e">
        <f t="shared" si="6"/>
        <v>#DIV/0!</v>
      </c>
      <c r="V32" s="46" t="e">
        <f t="shared" si="7"/>
        <v>#DIV/0!</v>
      </c>
      <c r="W32" s="45" t="e">
        <f t="shared" si="8"/>
        <v>#DIV/0!</v>
      </c>
      <c r="X32" s="46" t="e">
        <f t="shared" si="9"/>
        <v>#DIV/0!</v>
      </c>
      <c r="Y32" s="46" t="e">
        <f t="shared" si="10"/>
        <v>#DIV/0!</v>
      </c>
      <c r="Z32" s="46" t="e">
        <f t="shared" si="11"/>
        <v>#DIV/0!</v>
      </c>
      <c r="AA32" s="46" t="e">
        <f t="shared" si="12"/>
        <v>#DIV/0!</v>
      </c>
      <c r="AB32" s="45" t="e">
        <f t="shared" si="13"/>
        <v>#DIV/0!</v>
      </c>
      <c r="AC32" s="49" t="e">
        <f t="shared" si="14"/>
        <v>#DIV/0!</v>
      </c>
      <c r="AE32" s="48">
        <f t="shared" si="15"/>
        <v>5</v>
      </c>
      <c r="AF32" s="47" t="e">
        <f t="shared" si="19"/>
        <v>#DIV/0!</v>
      </c>
      <c r="AG32" s="46" t="e">
        <f t="shared" si="19"/>
        <v>#DIV/0!</v>
      </c>
      <c r="AH32" s="45" t="e">
        <f t="shared" si="19"/>
        <v>#DIV/0!</v>
      </c>
      <c r="AI32" s="47" t="e">
        <f t="shared" si="19"/>
        <v>#DIV/0!</v>
      </c>
      <c r="AJ32" s="46" t="e">
        <f t="shared" si="19"/>
        <v>#DIV/0!</v>
      </c>
      <c r="AK32" s="46" t="e">
        <f t="shared" si="21"/>
        <v>#DIV/0!</v>
      </c>
      <c r="AL32" s="46" t="e">
        <f t="shared" si="20"/>
        <v>#DIV/0!</v>
      </c>
      <c r="AM32" s="45" t="e">
        <f t="shared" si="20"/>
        <v>#DIV/0!</v>
      </c>
      <c r="AN32" s="44" t="e">
        <f t="shared" si="17"/>
        <v>#DIV/0!</v>
      </c>
    </row>
    <row r="33" spans="1:40" ht="15" thickBot="1" x14ac:dyDescent="0.4">
      <c r="A33" s="43" t="s">
        <v>44</v>
      </c>
      <c r="B33" s="42" t="s">
        <v>43</v>
      </c>
      <c r="C33" s="41">
        <v>0</v>
      </c>
      <c r="D33" s="40">
        <f t="shared" si="2"/>
        <v>0</v>
      </c>
      <c r="E33" s="39">
        <f>SUM(D7:D33)</f>
        <v>99.999999999999972</v>
      </c>
      <c r="G33" s="33" t="str">
        <f t="shared" si="3"/>
        <v>&gt;6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4"/>
        <v>0</v>
      </c>
      <c r="R33" s="134">
        <f t="shared" si="18"/>
        <v>0</v>
      </c>
      <c r="T33" s="33" t="str">
        <f t="shared" si="5"/>
        <v>&gt;6</v>
      </c>
      <c r="U33" s="32" t="e">
        <f t="shared" si="6"/>
        <v>#DIV/0!</v>
      </c>
      <c r="V33" s="31" t="e">
        <f t="shared" si="7"/>
        <v>#DIV/0!</v>
      </c>
      <c r="W33" s="30" t="e">
        <f t="shared" si="8"/>
        <v>#DIV/0!</v>
      </c>
      <c r="X33" s="31" t="e">
        <f t="shared" si="9"/>
        <v>#DIV/0!</v>
      </c>
      <c r="Y33" s="31" t="e">
        <f t="shared" si="10"/>
        <v>#DIV/0!</v>
      </c>
      <c r="Z33" s="31" t="e">
        <f t="shared" si="11"/>
        <v>#DIV/0!</v>
      </c>
      <c r="AA33" s="31" t="e">
        <f t="shared" si="12"/>
        <v>#DIV/0!</v>
      </c>
      <c r="AB33" s="30" t="e">
        <f t="shared" si="13"/>
        <v>#DIV/0!</v>
      </c>
      <c r="AC33" s="34" t="e">
        <f t="shared" si="14"/>
        <v>#DIV/0!</v>
      </c>
      <c r="AE33" s="33" t="str">
        <f t="shared" si="15"/>
        <v>&gt;6</v>
      </c>
      <c r="AF33" s="32" t="e">
        <f t="shared" si="19"/>
        <v>#DIV/0!</v>
      </c>
      <c r="AG33" s="31" t="e">
        <f t="shared" si="19"/>
        <v>#DIV/0!</v>
      </c>
      <c r="AH33" s="30" t="e">
        <f t="shared" si="19"/>
        <v>#DIV/0!</v>
      </c>
      <c r="AI33" s="32" t="e">
        <f t="shared" si="19"/>
        <v>#DIV/0!</v>
      </c>
      <c r="AJ33" s="31" t="e">
        <f t="shared" si="19"/>
        <v>#DIV/0!</v>
      </c>
      <c r="AK33" s="31" t="e">
        <f t="shared" si="21"/>
        <v>#DIV/0!</v>
      </c>
      <c r="AL33" s="31" t="e">
        <f t="shared" si="20"/>
        <v>#DIV/0!</v>
      </c>
      <c r="AM33" s="30" t="e">
        <f t="shared" si="20"/>
        <v>#DIV/0!</v>
      </c>
      <c r="AN33" s="29" t="e">
        <f t="shared" si="17"/>
        <v>#DIV/0!</v>
      </c>
    </row>
    <row r="34" spans="1:40" x14ac:dyDescent="0.35">
      <c r="G34" t="s">
        <v>114</v>
      </c>
      <c r="H34">
        <f>SUM(H7:H33)</f>
        <v>190.88</v>
      </c>
      <c r="I34">
        <f t="shared" ref="I34:O34" si="22">SUM(I7:I33)</f>
        <v>46.53</v>
      </c>
      <c r="J34">
        <f t="shared" si="22"/>
        <v>0</v>
      </c>
      <c r="K34">
        <f t="shared" si="22"/>
        <v>5.77</v>
      </c>
      <c r="L34">
        <f t="shared" si="22"/>
        <v>0</v>
      </c>
      <c r="M34">
        <f t="shared" si="22"/>
        <v>15.61</v>
      </c>
      <c r="N34">
        <f t="shared" si="22"/>
        <v>0</v>
      </c>
      <c r="O34">
        <f t="shared" si="22"/>
        <v>0</v>
      </c>
      <c r="T34" s="28"/>
    </row>
    <row r="40" spans="1:40" x14ac:dyDescent="0.35">
      <c r="H40" s="27"/>
    </row>
    <row r="41" spans="1:40" x14ac:dyDescent="0.35">
      <c r="H41" s="27"/>
    </row>
    <row r="42" spans="1:40" x14ac:dyDescent="0.35">
      <c r="H42" s="27"/>
    </row>
    <row r="56" spans="10:10" x14ac:dyDescent="0.35">
      <c r="J56" s="134"/>
    </row>
    <row r="57" spans="10:10" x14ac:dyDescent="0.35">
      <c r="J57" s="134"/>
    </row>
    <row r="58" spans="10:10" x14ac:dyDescent="0.35">
      <c r="J58" s="134"/>
    </row>
    <row r="59" spans="10:10" x14ac:dyDescent="0.35">
      <c r="J59" s="134"/>
    </row>
    <row r="60" spans="10:10" x14ac:dyDescent="0.35">
      <c r="J60" s="134"/>
    </row>
    <row r="61" spans="10:10" x14ac:dyDescent="0.35">
      <c r="J61" s="134"/>
    </row>
    <row r="62" spans="10:10" x14ac:dyDescent="0.35">
      <c r="J62" s="134"/>
    </row>
    <row r="63" spans="10:10" x14ac:dyDescent="0.35">
      <c r="J63" s="134"/>
    </row>
    <row r="64" spans="10:10" x14ac:dyDescent="0.35">
      <c r="J64" s="134"/>
    </row>
    <row r="65" spans="1:10" x14ac:dyDescent="0.35">
      <c r="J65" s="134"/>
    </row>
    <row r="66" spans="1:10" x14ac:dyDescent="0.35">
      <c r="J66" s="134"/>
    </row>
    <row r="67" spans="1:10" x14ac:dyDescent="0.35">
      <c r="A67" s="5" t="s">
        <v>27</v>
      </c>
      <c r="B67" s="26"/>
      <c r="C67" s="2"/>
      <c r="D67" s="2"/>
      <c r="J67" s="134"/>
    </row>
    <row r="68" spans="1:10" x14ac:dyDescent="0.35">
      <c r="A68" s="25" t="s">
        <v>42</v>
      </c>
      <c r="B68" s="25"/>
      <c r="C68" s="2"/>
      <c r="D68" s="2"/>
      <c r="J68" s="134"/>
    </row>
    <row r="69" spans="1:10" x14ac:dyDescent="0.35">
      <c r="A69" s="24" t="s">
        <v>41</v>
      </c>
      <c r="B69" s="23">
        <v>5</v>
      </c>
      <c r="C69" s="18">
        <f t="shared" ref="C69:C75" si="23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-3.8548162014976173</v>
      </c>
      <c r="D69" s="2"/>
      <c r="J69" s="134"/>
    </row>
    <row r="70" spans="1:10" x14ac:dyDescent="0.35">
      <c r="A70" s="24" t="s">
        <v>41</v>
      </c>
      <c r="B70" s="23">
        <v>16</v>
      </c>
      <c r="C70" s="18">
        <f t="shared" si="23"/>
        <v>-3.2643781942078363</v>
      </c>
      <c r="D70" s="2"/>
      <c r="J70" s="134"/>
    </row>
    <row r="71" spans="1:10" x14ac:dyDescent="0.35">
      <c r="A71" s="24" t="s">
        <v>41</v>
      </c>
      <c r="B71" s="23">
        <v>25</v>
      </c>
      <c r="C71" s="18">
        <f t="shared" si="23"/>
        <v>-2.8760573550649884</v>
      </c>
      <c r="D71" s="2"/>
      <c r="J71" s="134"/>
    </row>
    <row r="72" spans="1:10" x14ac:dyDescent="0.35">
      <c r="A72" s="24" t="s">
        <v>41</v>
      </c>
      <c r="B72" s="23">
        <v>50</v>
      </c>
      <c r="C72" s="18">
        <f t="shared" si="23"/>
        <v>-1.8591433278418446</v>
      </c>
      <c r="D72" s="2"/>
      <c r="J72" s="134"/>
    </row>
    <row r="73" spans="1:10" x14ac:dyDescent="0.35">
      <c r="A73" s="24" t="s">
        <v>41</v>
      </c>
      <c r="B73" s="23">
        <v>75</v>
      </c>
      <c r="C73" s="18">
        <f t="shared" si="23"/>
        <v>-0.27203600248292809</v>
      </c>
      <c r="D73" s="2"/>
      <c r="J73" s="134"/>
    </row>
    <row r="74" spans="1:10" x14ac:dyDescent="0.35">
      <c r="A74" s="24" t="s">
        <v>41</v>
      </c>
      <c r="B74" s="23">
        <v>84</v>
      </c>
      <c r="C74" s="18">
        <f t="shared" si="23"/>
        <v>2.4468965517241581</v>
      </c>
      <c r="D74" s="2"/>
    </row>
    <row r="75" spans="1:10" x14ac:dyDescent="0.35">
      <c r="A75" s="24" t="s">
        <v>41</v>
      </c>
      <c r="B75" s="23">
        <v>95</v>
      </c>
      <c r="C75" s="18">
        <f t="shared" si="23"/>
        <v>4.2296537484116916</v>
      </c>
      <c r="D75" s="2"/>
    </row>
    <row r="76" spans="1:10" x14ac:dyDescent="0.35">
      <c r="A76" s="18"/>
      <c r="B76" s="22"/>
      <c r="C76" s="2"/>
      <c r="D76" s="2"/>
    </row>
    <row r="77" spans="1:10" x14ac:dyDescent="0.35">
      <c r="A77" s="21" t="s">
        <v>40</v>
      </c>
      <c r="B77">
        <f>SUM(C7:C10)/SUM(C7:C33)</f>
        <v>0</v>
      </c>
      <c r="D77" s="19" t="s">
        <v>7</v>
      </c>
      <c r="E77" s="18">
        <f>SUM($D$7:$D$20)</f>
        <v>66.150637447858514</v>
      </c>
    </row>
    <row r="78" spans="1:10" x14ac:dyDescent="0.35">
      <c r="A78" s="20" t="s">
        <v>39</v>
      </c>
      <c r="B78">
        <f>SUM(C11:C20)/SUM(C7:C33)</f>
        <v>0.66150637447858518</v>
      </c>
      <c r="D78" s="19" t="s">
        <v>6</v>
      </c>
      <c r="E78" s="18">
        <f>SUM($D$21:$D$30)</f>
        <v>24.601962281887069</v>
      </c>
    </row>
    <row r="79" spans="1:10" x14ac:dyDescent="0.35">
      <c r="A79" s="20" t="s">
        <v>38</v>
      </c>
      <c r="B79">
        <f>SUM(C21:C33)/SUM(C7:C33)</f>
        <v>0.33849362552141471</v>
      </c>
      <c r="D79" s="19" t="s">
        <v>5</v>
      </c>
      <c r="E79" s="18">
        <f>SUM($D$31:$D$33)</f>
        <v>9.2474002702543903</v>
      </c>
    </row>
    <row r="80" spans="1:10" x14ac:dyDescent="0.35">
      <c r="A80" s="11"/>
      <c r="B80" s="8"/>
      <c r="D80" s="2"/>
      <c r="E80" s="2"/>
    </row>
    <row r="81" spans="1:8" x14ac:dyDescent="0.35">
      <c r="A81" s="16" t="s">
        <v>4</v>
      </c>
      <c r="B81">
        <f>100*SUM(H7:J33)/SUM(P7:P33)</f>
        <v>91.738475211561507</v>
      </c>
      <c r="D81" s="16" t="s">
        <v>4</v>
      </c>
      <c r="E81">
        <f>100*SUM(H7:J33)/SUM(P7:P33)</f>
        <v>91.738475211561507</v>
      </c>
      <c r="G81" s="17" t="s">
        <v>2</v>
      </c>
      <c r="H81">
        <f>100*SUM(H7:H33)/(SUM(P7:P33)-SUM(M7:N33))</f>
        <v>78.493297146146901</v>
      </c>
    </row>
    <row r="82" spans="1:8" x14ac:dyDescent="0.35">
      <c r="A82" s="16" t="s">
        <v>0</v>
      </c>
      <c r="B82">
        <f>100*SUM(K7:L33)/SUM(P7:P33)</f>
        <v>2.2296070172726923</v>
      </c>
      <c r="D82" s="16" t="s">
        <v>0</v>
      </c>
      <c r="E82">
        <f>100*SUM(K7:L33)/SUM(P7:P33)</f>
        <v>2.2296070172726923</v>
      </c>
      <c r="G82" s="17" t="s">
        <v>1</v>
      </c>
      <c r="H82">
        <f>100*SUM(I7:J33)/(SUM(P7:P33)-SUM(M7:N33))</f>
        <v>19.133974833456701</v>
      </c>
    </row>
    <row r="83" spans="1:8" x14ac:dyDescent="0.35">
      <c r="A83" s="16" t="s">
        <v>3</v>
      </c>
      <c r="B83">
        <f>100*SUM(O7:O33)/SUM(P7:P33)</f>
        <v>0</v>
      </c>
      <c r="D83" s="16" t="s">
        <v>37</v>
      </c>
      <c r="E83">
        <f>100*SUM(M7:N33)/SUM(P7:P33)</f>
        <v>6.0319177711658112</v>
      </c>
      <c r="G83" s="17" t="s">
        <v>0</v>
      </c>
      <c r="H83">
        <f>100*SUM(K7:L33)/(SUM(P7:P33)-SUM(M7:N33))</f>
        <v>2.3727280203964147</v>
      </c>
    </row>
    <row r="85" spans="1:8" x14ac:dyDescent="0.35">
      <c r="A85" s="16" t="s">
        <v>36</v>
      </c>
      <c r="B85" s="2"/>
      <c r="C85" s="2"/>
      <c r="D85" s="13">
        <f>(C70+C74+C72)/3</f>
        <v>-0.89220832344184087</v>
      </c>
    </row>
    <row r="86" spans="1:8" x14ac:dyDescent="0.35">
      <c r="A86" s="14" t="s">
        <v>35</v>
      </c>
      <c r="B86" s="14"/>
      <c r="C86" s="14"/>
      <c r="D86" s="7">
        <f>C72</f>
        <v>-1.8591433278418446</v>
      </c>
    </row>
    <row r="87" spans="1:8" x14ac:dyDescent="0.35">
      <c r="A87" s="14" t="s">
        <v>34</v>
      </c>
      <c r="B87" s="14"/>
      <c r="C87" s="14"/>
      <c r="D87" s="7">
        <f>(C74-C70)/2</f>
        <v>2.8556373729659974</v>
      </c>
    </row>
    <row r="88" spans="1:8" x14ac:dyDescent="0.35">
      <c r="A88" s="15" t="s">
        <v>33</v>
      </c>
      <c r="B88" s="14"/>
      <c r="C88" s="14"/>
      <c r="D88" s="13">
        <f>(C74+C70-D86)/D87</f>
        <v>0.36477379628781376</v>
      </c>
    </row>
    <row r="89" spans="1:8" x14ac:dyDescent="0.35">
      <c r="A89" s="3" t="s">
        <v>32</v>
      </c>
      <c r="B89" s="12"/>
      <c r="C89" s="11"/>
      <c r="D89" s="7">
        <f>((C74-C70)/4)+((C75-C69)/6.6)</f>
        <v>2.6527383758631968</v>
      </c>
    </row>
    <row r="90" spans="1:8" x14ac:dyDescent="0.35">
      <c r="A90" s="3" t="s">
        <v>31</v>
      </c>
      <c r="B90" s="10"/>
      <c r="C90" s="10"/>
      <c r="D90" s="7">
        <f>((C70+C74-(2*C72))/(2*(C74-C70)))+((C69+C75-(2*C72))/(2*(C75-C69)))</f>
        <v>0.50710159681418587</v>
      </c>
    </row>
    <row r="91" spans="1:8" x14ac:dyDescent="0.35">
      <c r="A91" s="3" t="s">
        <v>30</v>
      </c>
      <c r="B91" s="9"/>
      <c r="C91" s="8"/>
      <c r="D91" s="7">
        <f>(C74-C69)/(2.44*(C73-C71))</f>
        <v>0.99180030094437466</v>
      </c>
    </row>
    <row r="92" spans="1:8" x14ac:dyDescent="0.35">
      <c r="A92" s="6" t="s">
        <v>29</v>
      </c>
      <c r="B92" s="6"/>
      <c r="C92" s="5"/>
      <c r="D92" s="7">
        <f>(C70+C72+C74)/3</f>
        <v>-0.89220832344184098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-0.40874082124183908</v>
      </c>
    </row>
    <row r="95" spans="1:8" x14ac:dyDescent="0.35">
      <c r="A95" s="2" t="s">
        <v>9</v>
      </c>
      <c r="B95" s="2"/>
      <c r="C95" s="2"/>
      <c r="D95" s="1">
        <f>100-E23</f>
        <v>19.71975794606665</v>
      </c>
    </row>
    <row r="96" spans="1:8" x14ac:dyDescent="0.35">
      <c r="A96" s="2" t="s">
        <v>8</v>
      </c>
      <c r="B96" s="2"/>
      <c r="C96" s="2"/>
      <c r="D96" s="1">
        <f>100-E30</f>
        <v>9.2474002702544169</v>
      </c>
    </row>
    <row r="98" spans="1:3" x14ac:dyDescent="0.35">
      <c r="A98" t="s">
        <v>101</v>
      </c>
      <c r="C98" t="str">
        <f>IF(SUM(M7:N33)&gt;0,"Mixed","No Mixed")</f>
        <v>Mixed</v>
      </c>
    </row>
    <row r="99" spans="1:3" x14ac:dyDescent="0.35">
      <c r="A99" t="s">
        <v>102</v>
      </c>
      <c r="C99" t="str">
        <f>IF(SUM(J7:J33)&gt;0,"Obsidian","No obsidian")</f>
        <v>No obsidian</v>
      </c>
    </row>
  </sheetData>
  <mergeCells count="9">
    <mergeCell ref="X3:AB3"/>
    <mergeCell ref="AF3:AH3"/>
    <mergeCell ref="AI3:AM3"/>
    <mergeCell ref="A2:C2"/>
    <mergeCell ref="D2:E2"/>
    <mergeCell ref="K2:O2"/>
    <mergeCell ref="H3:J3"/>
    <mergeCell ref="K3:O3"/>
    <mergeCell ref="U3:W3"/>
  </mergeCells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L99"/>
  <sheetViews>
    <sheetView zoomScale="63" zoomScaleNormal="100" workbookViewId="0">
      <selection activeCell="K2" sqref="K2:O2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14.1796875" bestFit="1" customWidth="1"/>
    <col min="18" max="18" width="14.1796875" bestFit="1" customWidth="1"/>
    <col min="23" max="23" width="11.453125" customWidth="1"/>
  </cols>
  <sheetData>
    <row r="1" spans="1:38" ht="15" thickBot="1" x14ac:dyDescent="0.4">
      <c r="A1" s="111"/>
      <c r="F1" s="110"/>
    </row>
    <row r="2" spans="1:38" ht="15" thickBot="1" x14ac:dyDescent="0.4">
      <c r="A2" s="157" t="s">
        <v>91</v>
      </c>
      <c r="B2" s="158"/>
      <c r="C2" s="158"/>
      <c r="D2" s="159" t="str">
        <f ca="1">RIGHT(CELL("nomfichier",A1),LEN(CELL("nomfichier",A1))-FIND("]",CELL("nomfichier",A1)))</f>
        <v>MAY190405_2_no_aggr</v>
      </c>
      <c r="E2" s="160"/>
      <c r="G2" s="109" t="s">
        <v>90</v>
      </c>
      <c r="H2" s="108" t="str">
        <f ca="1">D2</f>
        <v>MAY190405_2_no_aggr</v>
      </c>
      <c r="I2" s="108"/>
      <c r="J2" s="107"/>
      <c r="K2" s="161"/>
      <c r="L2" s="162"/>
      <c r="M2" s="162"/>
      <c r="N2" s="162"/>
      <c r="O2" s="163"/>
    </row>
    <row r="3" spans="1:38" ht="15" thickBot="1" x14ac:dyDescent="0.4">
      <c r="A3" s="106"/>
      <c r="B3" s="105"/>
      <c r="C3" s="105"/>
      <c r="D3" s="105"/>
      <c r="E3" s="104"/>
      <c r="G3" s="103"/>
      <c r="H3" s="154" t="s">
        <v>88</v>
      </c>
      <c r="I3" s="155"/>
      <c r="J3" s="156"/>
      <c r="K3" s="154" t="s">
        <v>87</v>
      </c>
      <c r="L3" s="155"/>
      <c r="M3" s="155"/>
      <c r="N3" s="155"/>
      <c r="O3" s="156"/>
      <c r="S3" s="154" t="s">
        <v>88</v>
      </c>
      <c r="T3" s="155"/>
      <c r="U3" s="156"/>
      <c r="V3" s="154" t="s">
        <v>87</v>
      </c>
      <c r="W3" s="155"/>
      <c r="X3" s="155"/>
      <c r="Y3" s="155"/>
      <c r="Z3" s="156"/>
      <c r="AD3" s="154" t="s">
        <v>88</v>
      </c>
      <c r="AE3" s="155"/>
      <c r="AF3" s="156"/>
      <c r="AG3" s="154" t="s">
        <v>87</v>
      </c>
      <c r="AH3" s="155"/>
      <c r="AI3" s="155"/>
      <c r="AJ3" s="155"/>
      <c r="AK3" s="156"/>
    </row>
    <row r="4" spans="1:38" ht="15" thickBot="1" x14ac:dyDescent="0.4">
      <c r="A4" s="102" t="s">
        <v>86</v>
      </c>
      <c r="B4" s="101">
        <f>SUM(C7:C33)</f>
        <v>340.42000000000007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77</v>
      </c>
      <c r="P4" s="94" t="s">
        <v>76</v>
      </c>
      <c r="R4" s="97" t="str">
        <f t="shared" ref="R4:Z4" si="0">G4</f>
        <v>Grain size (phi)</v>
      </c>
      <c r="S4" s="95" t="str">
        <f t="shared" si="0"/>
        <v>Pumices</v>
      </c>
      <c r="T4" s="95" t="str">
        <f t="shared" si="0"/>
        <v>Dense juveniles</v>
      </c>
      <c r="U4" s="95" t="str">
        <f t="shared" si="0"/>
        <v>Obsidian</v>
      </c>
      <c r="V4" s="96" t="str">
        <f t="shared" si="0"/>
        <v>Coral fragments</v>
      </c>
      <c r="W4" s="95" t="str">
        <f t="shared" si="0"/>
        <v>Mafic clasts</v>
      </c>
      <c r="X4" s="95" t="str">
        <f t="shared" si="0"/>
        <v>Aggregate</v>
      </c>
      <c r="Y4" s="95" t="str">
        <f t="shared" si="0"/>
        <v>Accretionnary lapilli</v>
      </c>
      <c r="Z4" s="94" t="str">
        <f t="shared" si="0"/>
        <v>Crystals</v>
      </c>
      <c r="AA4" s="94" t="s">
        <v>76</v>
      </c>
      <c r="AC4" s="97" t="str">
        <f t="shared" ref="AC4:AK4" si="1">R4</f>
        <v>Grain size (phi)</v>
      </c>
      <c r="AD4" s="95" t="str">
        <f t="shared" si="1"/>
        <v>Pumices</v>
      </c>
      <c r="AE4" s="95" t="str">
        <f t="shared" si="1"/>
        <v>Dense juveniles</v>
      </c>
      <c r="AF4" s="95" t="str">
        <f t="shared" si="1"/>
        <v>Obsidian</v>
      </c>
      <c r="AG4" s="96" t="str">
        <f t="shared" si="1"/>
        <v>Coral fragments</v>
      </c>
      <c r="AH4" s="95" t="str">
        <f t="shared" si="1"/>
        <v>Mafic clasts</v>
      </c>
      <c r="AI4" s="95" t="str">
        <f t="shared" si="1"/>
        <v>Aggregate</v>
      </c>
      <c r="AJ4" s="95" t="str">
        <f t="shared" si="1"/>
        <v>Accretionnary lapilli</v>
      </c>
      <c r="AK4" s="94" t="str">
        <f t="shared" si="1"/>
        <v>Crystals</v>
      </c>
      <c r="AL4" s="94" t="s">
        <v>76</v>
      </c>
    </row>
    <row r="5" spans="1:38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R5" s="77"/>
      <c r="S5" s="85"/>
      <c r="T5" s="84"/>
      <c r="U5" s="83"/>
      <c r="V5" s="84"/>
      <c r="W5" s="84"/>
      <c r="X5" s="84"/>
      <c r="Y5" s="84"/>
      <c r="Z5" s="83"/>
      <c r="AA5" s="82"/>
      <c r="AC5" s="77"/>
      <c r="AD5" s="85"/>
      <c r="AE5" s="84"/>
      <c r="AF5" s="83"/>
      <c r="AG5" s="85"/>
      <c r="AH5" s="84"/>
      <c r="AI5" s="84"/>
      <c r="AJ5" s="84"/>
      <c r="AK5" s="83"/>
      <c r="AL5" s="82"/>
    </row>
    <row r="6" spans="1:38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R6" s="77"/>
      <c r="S6" s="77"/>
      <c r="U6" s="76"/>
      <c r="Z6" s="76"/>
      <c r="AA6" s="49"/>
      <c r="AC6" s="77"/>
      <c r="AD6" s="77"/>
      <c r="AF6" s="76"/>
      <c r="AG6" s="77"/>
      <c r="AK6" s="76"/>
      <c r="AL6" s="49"/>
    </row>
    <row r="7" spans="1:38" x14ac:dyDescent="0.35">
      <c r="A7" s="75" t="s">
        <v>70</v>
      </c>
      <c r="B7" s="74">
        <v>-7.5</v>
      </c>
      <c r="C7" s="72">
        <v>0</v>
      </c>
      <c r="D7" s="55">
        <f t="shared" ref="D7:D33" si="2">(C7/SUM($C$7:$C$33))*100</f>
        <v>0</v>
      </c>
      <c r="E7" s="73">
        <v>0</v>
      </c>
      <c r="G7" s="48">
        <f t="shared" ref="G7:G33" si="3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4">SUM(H7:O7)</f>
        <v>0</v>
      </c>
      <c r="R7" s="48">
        <f t="shared" ref="R7:R33" si="5">G7</f>
        <v>-7.5</v>
      </c>
      <c r="S7" s="47" t="e">
        <f t="shared" ref="S7:Z33" si="6">100*H7/$P7</f>
        <v>#DIV/0!</v>
      </c>
      <c r="T7" s="46" t="e">
        <f t="shared" si="6"/>
        <v>#DIV/0!</v>
      </c>
      <c r="U7" s="45" t="e">
        <f t="shared" si="6"/>
        <v>#DIV/0!</v>
      </c>
      <c r="V7" s="46" t="e">
        <f t="shared" si="6"/>
        <v>#DIV/0!</v>
      </c>
      <c r="W7" s="46" t="e">
        <f t="shared" si="6"/>
        <v>#DIV/0!</v>
      </c>
      <c r="X7" s="46" t="e">
        <f t="shared" si="6"/>
        <v>#DIV/0!</v>
      </c>
      <c r="Y7" s="46" t="e">
        <f t="shared" si="6"/>
        <v>#DIV/0!</v>
      </c>
      <c r="Z7" s="45" t="e">
        <f t="shared" si="6"/>
        <v>#DIV/0!</v>
      </c>
      <c r="AA7" s="49" t="e">
        <f t="shared" ref="AA7:AA33" si="7">SUM(S7:Z7)</f>
        <v>#DIV/0!</v>
      </c>
      <c r="AC7" s="48">
        <f t="shared" ref="AC7:AC33" si="8">R7</f>
        <v>-7.5</v>
      </c>
      <c r="AD7" s="47" t="e">
        <f t="shared" ref="AD7:AK14" si="9">S7*100/(SUM($S7:$W7)+SUM($Y7:$Z7))</f>
        <v>#DIV/0!</v>
      </c>
      <c r="AE7" s="46" t="e">
        <f t="shared" si="9"/>
        <v>#DIV/0!</v>
      </c>
      <c r="AF7" s="45" t="e">
        <f t="shared" si="9"/>
        <v>#DIV/0!</v>
      </c>
      <c r="AG7" s="47" t="e">
        <f t="shared" si="9"/>
        <v>#DIV/0!</v>
      </c>
      <c r="AH7" s="46" t="e">
        <f t="shared" si="9"/>
        <v>#DIV/0!</v>
      </c>
      <c r="AI7" s="46" t="e">
        <f t="shared" si="9"/>
        <v>#DIV/0!</v>
      </c>
      <c r="AJ7" s="46" t="e">
        <f t="shared" si="9"/>
        <v>#DIV/0!</v>
      </c>
      <c r="AK7" s="45" t="e">
        <f t="shared" si="9"/>
        <v>#DIV/0!</v>
      </c>
      <c r="AL7" s="44" t="e">
        <f t="shared" ref="AL7:AL33" si="10">SUM(AD7:AK7)</f>
        <v>#DIV/0!</v>
      </c>
    </row>
    <row r="8" spans="1:38" x14ac:dyDescent="0.35">
      <c r="A8" s="58" t="s">
        <v>69</v>
      </c>
      <c r="B8" s="57">
        <v>-7</v>
      </c>
      <c r="C8" s="72">
        <v>0</v>
      </c>
      <c r="D8" s="55">
        <f t="shared" si="2"/>
        <v>0</v>
      </c>
      <c r="E8" s="73">
        <f>SUM(D6,D8)</f>
        <v>0</v>
      </c>
      <c r="G8" s="48">
        <f t="shared" si="3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4"/>
        <v>0</v>
      </c>
      <c r="R8" s="48">
        <f t="shared" si="5"/>
        <v>-7</v>
      </c>
      <c r="S8" s="47" t="e">
        <f t="shared" si="6"/>
        <v>#DIV/0!</v>
      </c>
      <c r="T8" s="46" t="e">
        <f t="shared" si="6"/>
        <v>#DIV/0!</v>
      </c>
      <c r="U8" s="45" t="e">
        <f t="shared" si="6"/>
        <v>#DIV/0!</v>
      </c>
      <c r="V8" s="46" t="e">
        <f t="shared" si="6"/>
        <v>#DIV/0!</v>
      </c>
      <c r="W8" s="46" t="e">
        <f t="shared" si="6"/>
        <v>#DIV/0!</v>
      </c>
      <c r="X8" s="46" t="e">
        <f t="shared" si="6"/>
        <v>#DIV/0!</v>
      </c>
      <c r="Y8" s="46" t="e">
        <f t="shared" si="6"/>
        <v>#DIV/0!</v>
      </c>
      <c r="Z8" s="45" t="e">
        <f t="shared" si="6"/>
        <v>#DIV/0!</v>
      </c>
      <c r="AA8" s="49" t="e">
        <f t="shared" si="7"/>
        <v>#DIV/0!</v>
      </c>
      <c r="AC8" s="48">
        <f t="shared" si="8"/>
        <v>-7</v>
      </c>
      <c r="AD8" s="47" t="e">
        <f t="shared" si="9"/>
        <v>#DIV/0!</v>
      </c>
      <c r="AE8" s="46" t="e">
        <f t="shared" si="9"/>
        <v>#DIV/0!</v>
      </c>
      <c r="AF8" s="45" t="e">
        <f t="shared" si="9"/>
        <v>#DIV/0!</v>
      </c>
      <c r="AG8" s="47" t="e">
        <f t="shared" si="9"/>
        <v>#DIV/0!</v>
      </c>
      <c r="AH8" s="46" t="e">
        <f t="shared" si="9"/>
        <v>#DIV/0!</v>
      </c>
      <c r="AI8" s="46" t="e">
        <f t="shared" si="9"/>
        <v>#DIV/0!</v>
      </c>
      <c r="AJ8" s="46" t="e">
        <f t="shared" si="9"/>
        <v>#DIV/0!</v>
      </c>
      <c r="AK8" s="45" t="e">
        <f t="shared" si="9"/>
        <v>#DIV/0!</v>
      </c>
      <c r="AL8" s="44" t="e">
        <f t="shared" si="10"/>
        <v>#DIV/0!</v>
      </c>
    </row>
    <row r="9" spans="1:38" x14ac:dyDescent="0.35">
      <c r="A9" s="58" t="s">
        <v>68</v>
      </c>
      <c r="B9" s="57">
        <v>-6.5</v>
      </c>
      <c r="C9" s="72">
        <v>0</v>
      </c>
      <c r="D9" s="55">
        <f t="shared" si="2"/>
        <v>0</v>
      </c>
      <c r="E9" s="73">
        <f>SUM(D6:D9)</f>
        <v>0</v>
      </c>
      <c r="G9" s="48">
        <f t="shared" si="3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4"/>
        <v>0</v>
      </c>
      <c r="R9" s="48">
        <f t="shared" si="5"/>
        <v>-6.5</v>
      </c>
      <c r="S9" s="47" t="e">
        <f t="shared" si="6"/>
        <v>#DIV/0!</v>
      </c>
      <c r="T9" s="46" t="e">
        <f t="shared" si="6"/>
        <v>#DIV/0!</v>
      </c>
      <c r="U9" s="45" t="e">
        <f t="shared" si="6"/>
        <v>#DIV/0!</v>
      </c>
      <c r="V9" s="46" t="e">
        <f t="shared" si="6"/>
        <v>#DIV/0!</v>
      </c>
      <c r="W9" s="46" t="e">
        <f t="shared" si="6"/>
        <v>#DIV/0!</v>
      </c>
      <c r="X9" s="46" t="e">
        <f t="shared" si="6"/>
        <v>#DIV/0!</v>
      </c>
      <c r="Y9" s="46" t="e">
        <f t="shared" si="6"/>
        <v>#DIV/0!</v>
      </c>
      <c r="Z9" s="45" t="e">
        <f t="shared" si="6"/>
        <v>#DIV/0!</v>
      </c>
      <c r="AA9" s="49" t="e">
        <f t="shared" si="7"/>
        <v>#DIV/0!</v>
      </c>
      <c r="AC9" s="48">
        <f t="shared" si="8"/>
        <v>-6.5</v>
      </c>
      <c r="AD9" s="47" t="e">
        <f t="shared" si="9"/>
        <v>#DIV/0!</v>
      </c>
      <c r="AE9" s="46" t="e">
        <f t="shared" si="9"/>
        <v>#DIV/0!</v>
      </c>
      <c r="AF9" s="45" t="e">
        <f t="shared" si="9"/>
        <v>#DIV/0!</v>
      </c>
      <c r="AG9" s="47" t="e">
        <f t="shared" si="9"/>
        <v>#DIV/0!</v>
      </c>
      <c r="AH9" s="46" t="e">
        <f t="shared" si="9"/>
        <v>#DIV/0!</v>
      </c>
      <c r="AI9" s="46" t="e">
        <f t="shared" si="9"/>
        <v>#DIV/0!</v>
      </c>
      <c r="AJ9" s="46" t="e">
        <f t="shared" si="9"/>
        <v>#DIV/0!</v>
      </c>
      <c r="AK9" s="45" t="e">
        <f t="shared" si="9"/>
        <v>#DIV/0!</v>
      </c>
      <c r="AL9" s="44" t="e">
        <f t="shared" si="10"/>
        <v>#DIV/0!</v>
      </c>
    </row>
    <row r="10" spans="1:38" x14ac:dyDescent="0.35">
      <c r="A10" s="58" t="s">
        <v>67</v>
      </c>
      <c r="B10" s="57">
        <v>-6</v>
      </c>
      <c r="C10" s="72">
        <v>0</v>
      </c>
      <c r="D10" s="55">
        <f t="shared" si="2"/>
        <v>0</v>
      </c>
      <c r="E10" s="54">
        <f>SUM(D6:D10)</f>
        <v>0</v>
      </c>
      <c r="G10" s="48">
        <f t="shared" si="3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4"/>
        <v>0</v>
      </c>
      <c r="R10" s="48">
        <f t="shared" si="5"/>
        <v>-6</v>
      </c>
      <c r="S10" s="47" t="e">
        <f t="shared" si="6"/>
        <v>#DIV/0!</v>
      </c>
      <c r="T10" s="46" t="e">
        <f t="shared" si="6"/>
        <v>#DIV/0!</v>
      </c>
      <c r="U10" s="45" t="e">
        <f t="shared" si="6"/>
        <v>#DIV/0!</v>
      </c>
      <c r="V10" s="46" t="e">
        <f t="shared" si="6"/>
        <v>#DIV/0!</v>
      </c>
      <c r="W10" s="46" t="e">
        <f t="shared" si="6"/>
        <v>#DIV/0!</v>
      </c>
      <c r="X10" s="46" t="e">
        <f t="shared" si="6"/>
        <v>#DIV/0!</v>
      </c>
      <c r="Y10" s="46" t="e">
        <f t="shared" si="6"/>
        <v>#DIV/0!</v>
      </c>
      <c r="Z10" s="45" t="e">
        <f t="shared" si="6"/>
        <v>#DIV/0!</v>
      </c>
      <c r="AA10" s="49" t="e">
        <f t="shared" si="7"/>
        <v>#DIV/0!</v>
      </c>
      <c r="AC10" s="48">
        <f t="shared" si="8"/>
        <v>-6</v>
      </c>
      <c r="AD10" s="47" t="e">
        <f t="shared" si="9"/>
        <v>#DIV/0!</v>
      </c>
      <c r="AE10" s="46" t="e">
        <f t="shared" si="9"/>
        <v>#DIV/0!</v>
      </c>
      <c r="AF10" s="45" t="e">
        <f t="shared" si="9"/>
        <v>#DIV/0!</v>
      </c>
      <c r="AG10" s="47" t="e">
        <f t="shared" si="9"/>
        <v>#DIV/0!</v>
      </c>
      <c r="AH10" s="46" t="e">
        <f t="shared" si="9"/>
        <v>#DIV/0!</v>
      </c>
      <c r="AI10" s="46" t="e">
        <f t="shared" si="9"/>
        <v>#DIV/0!</v>
      </c>
      <c r="AJ10" s="46" t="e">
        <f t="shared" si="9"/>
        <v>#DIV/0!</v>
      </c>
      <c r="AK10" s="45" t="e">
        <f t="shared" si="9"/>
        <v>#DIV/0!</v>
      </c>
      <c r="AL10" s="44" t="e">
        <f t="shared" si="10"/>
        <v>#DIV/0!</v>
      </c>
    </row>
    <row r="11" spans="1:38" x14ac:dyDescent="0.35">
      <c r="A11" s="58" t="s">
        <v>66</v>
      </c>
      <c r="B11" s="57">
        <v>-5.5</v>
      </c>
      <c r="C11" s="62">
        <v>0</v>
      </c>
      <c r="D11" s="55">
        <f t="shared" si="2"/>
        <v>0</v>
      </c>
      <c r="E11" s="54">
        <f>SUM(D6:D11)</f>
        <v>0</v>
      </c>
      <c r="G11" s="48">
        <f t="shared" si="3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50">
        <f t="shared" si="4"/>
        <v>0</v>
      </c>
      <c r="R11" s="48">
        <f t="shared" si="5"/>
        <v>-5.5</v>
      </c>
      <c r="S11" s="47" t="e">
        <f t="shared" si="6"/>
        <v>#DIV/0!</v>
      </c>
      <c r="T11" s="46" t="e">
        <f t="shared" si="6"/>
        <v>#DIV/0!</v>
      </c>
      <c r="U11" s="45" t="e">
        <f t="shared" si="6"/>
        <v>#DIV/0!</v>
      </c>
      <c r="V11" s="46" t="e">
        <f t="shared" si="6"/>
        <v>#DIV/0!</v>
      </c>
      <c r="W11" s="46" t="e">
        <f t="shared" si="6"/>
        <v>#DIV/0!</v>
      </c>
      <c r="X11" s="46" t="e">
        <f t="shared" si="6"/>
        <v>#DIV/0!</v>
      </c>
      <c r="Y11" s="46" t="e">
        <f t="shared" si="6"/>
        <v>#DIV/0!</v>
      </c>
      <c r="Z11" s="45" t="e">
        <f t="shared" si="6"/>
        <v>#DIV/0!</v>
      </c>
      <c r="AA11" s="49" t="e">
        <f t="shared" si="7"/>
        <v>#DIV/0!</v>
      </c>
      <c r="AC11" s="48">
        <f t="shared" si="8"/>
        <v>-5.5</v>
      </c>
      <c r="AD11" s="47" t="e">
        <f t="shared" si="9"/>
        <v>#DIV/0!</v>
      </c>
      <c r="AE11" s="46" t="e">
        <f t="shared" si="9"/>
        <v>#DIV/0!</v>
      </c>
      <c r="AF11" s="45" t="e">
        <f t="shared" si="9"/>
        <v>#DIV/0!</v>
      </c>
      <c r="AG11" s="47" t="e">
        <f t="shared" si="9"/>
        <v>#DIV/0!</v>
      </c>
      <c r="AH11" s="46" t="e">
        <f t="shared" si="9"/>
        <v>#DIV/0!</v>
      </c>
      <c r="AI11" s="46" t="e">
        <f t="shared" si="9"/>
        <v>#DIV/0!</v>
      </c>
      <c r="AJ11" s="46" t="e">
        <f t="shared" si="9"/>
        <v>#DIV/0!</v>
      </c>
      <c r="AK11" s="45" t="e">
        <f t="shared" si="9"/>
        <v>#DIV/0!</v>
      </c>
      <c r="AL11" s="44" t="e">
        <f t="shared" si="10"/>
        <v>#DIV/0!</v>
      </c>
    </row>
    <row r="12" spans="1:38" x14ac:dyDescent="0.35">
      <c r="A12" s="58" t="s">
        <v>65</v>
      </c>
      <c r="B12" s="57">
        <v>-5</v>
      </c>
      <c r="C12" s="62">
        <v>0</v>
      </c>
      <c r="D12" s="55">
        <f t="shared" si="2"/>
        <v>0</v>
      </c>
      <c r="E12" s="54">
        <f>SUM(D6:D12)</f>
        <v>0</v>
      </c>
      <c r="G12" s="48">
        <f t="shared" si="3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50">
        <f t="shared" si="4"/>
        <v>0</v>
      </c>
      <c r="R12" s="48">
        <f t="shared" si="5"/>
        <v>-5</v>
      </c>
      <c r="S12" s="47" t="e">
        <f t="shared" si="6"/>
        <v>#DIV/0!</v>
      </c>
      <c r="T12" s="46" t="e">
        <f t="shared" si="6"/>
        <v>#DIV/0!</v>
      </c>
      <c r="U12" s="45" t="e">
        <f t="shared" si="6"/>
        <v>#DIV/0!</v>
      </c>
      <c r="V12" s="46" t="e">
        <f t="shared" si="6"/>
        <v>#DIV/0!</v>
      </c>
      <c r="W12" s="46" t="e">
        <f t="shared" si="6"/>
        <v>#DIV/0!</v>
      </c>
      <c r="X12" s="46" t="e">
        <f t="shared" si="6"/>
        <v>#DIV/0!</v>
      </c>
      <c r="Y12" s="46" t="e">
        <f t="shared" si="6"/>
        <v>#DIV/0!</v>
      </c>
      <c r="Z12" s="45" t="e">
        <f t="shared" si="6"/>
        <v>#DIV/0!</v>
      </c>
      <c r="AA12" s="49" t="e">
        <f t="shared" si="7"/>
        <v>#DIV/0!</v>
      </c>
      <c r="AC12" s="48">
        <f t="shared" si="8"/>
        <v>-5</v>
      </c>
      <c r="AD12" s="47" t="e">
        <f t="shared" si="9"/>
        <v>#DIV/0!</v>
      </c>
      <c r="AE12" s="46" t="e">
        <f t="shared" si="9"/>
        <v>#DIV/0!</v>
      </c>
      <c r="AF12" s="45" t="e">
        <f t="shared" si="9"/>
        <v>#DIV/0!</v>
      </c>
      <c r="AG12" s="47" t="e">
        <f t="shared" si="9"/>
        <v>#DIV/0!</v>
      </c>
      <c r="AH12" s="46" t="e">
        <f t="shared" si="9"/>
        <v>#DIV/0!</v>
      </c>
      <c r="AI12" s="46" t="e">
        <f t="shared" si="9"/>
        <v>#DIV/0!</v>
      </c>
      <c r="AJ12" s="46" t="e">
        <f t="shared" si="9"/>
        <v>#DIV/0!</v>
      </c>
      <c r="AK12" s="45" t="e">
        <f t="shared" si="9"/>
        <v>#DIV/0!</v>
      </c>
      <c r="AL12" s="44" t="e">
        <f t="shared" si="10"/>
        <v>#DIV/0!</v>
      </c>
    </row>
    <row r="13" spans="1:38" x14ac:dyDescent="0.35">
      <c r="A13" s="58" t="s">
        <v>64</v>
      </c>
      <c r="B13" s="57">
        <v>-4.5</v>
      </c>
      <c r="C13" s="62">
        <v>0</v>
      </c>
      <c r="D13" s="55">
        <f t="shared" si="2"/>
        <v>0</v>
      </c>
      <c r="E13" s="54">
        <f>SUM(D7:D13)</f>
        <v>0</v>
      </c>
      <c r="G13" s="48">
        <f t="shared" si="3"/>
        <v>-4.5</v>
      </c>
      <c r="H13" s="61">
        <v>0</v>
      </c>
      <c r="I13" s="60">
        <v>0</v>
      </c>
      <c r="J13" s="59">
        <v>0</v>
      </c>
      <c r="K13" s="60">
        <v>0</v>
      </c>
      <c r="L13" s="60">
        <v>0</v>
      </c>
      <c r="M13" s="60">
        <v>0</v>
      </c>
      <c r="N13" s="60">
        <v>0</v>
      </c>
      <c r="O13" s="60">
        <v>0</v>
      </c>
      <c r="P13" s="50">
        <f t="shared" si="4"/>
        <v>0</v>
      </c>
      <c r="R13" s="48">
        <f t="shared" si="5"/>
        <v>-4.5</v>
      </c>
      <c r="S13" s="47" t="e">
        <f t="shared" si="6"/>
        <v>#DIV/0!</v>
      </c>
      <c r="T13" s="46" t="e">
        <f t="shared" si="6"/>
        <v>#DIV/0!</v>
      </c>
      <c r="U13" s="45" t="e">
        <f t="shared" si="6"/>
        <v>#DIV/0!</v>
      </c>
      <c r="V13" s="46" t="e">
        <f t="shared" si="6"/>
        <v>#DIV/0!</v>
      </c>
      <c r="W13" s="46" t="e">
        <f t="shared" si="6"/>
        <v>#DIV/0!</v>
      </c>
      <c r="X13" s="46" t="e">
        <f t="shared" si="6"/>
        <v>#DIV/0!</v>
      </c>
      <c r="Y13" s="46" t="e">
        <f t="shared" si="6"/>
        <v>#DIV/0!</v>
      </c>
      <c r="Z13" s="45" t="e">
        <f t="shared" si="6"/>
        <v>#DIV/0!</v>
      </c>
      <c r="AA13" s="49" t="e">
        <f t="shared" si="7"/>
        <v>#DIV/0!</v>
      </c>
      <c r="AC13" s="48">
        <f t="shared" si="8"/>
        <v>-4.5</v>
      </c>
      <c r="AD13" s="47" t="e">
        <f t="shared" si="9"/>
        <v>#DIV/0!</v>
      </c>
      <c r="AE13" s="46" t="e">
        <f t="shared" si="9"/>
        <v>#DIV/0!</v>
      </c>
      <c r="AF13" s="45" t="e">
        <f t="shared" si="9"/>
        <v>#DIV/0!</v>
      </c>
      <c r="AG13" s="47" t="e">
        <f t="shared" si="9"/>
        <v>#DIV/0!</v>
      </c>
      <c r="AH13" s="46" t="e">
        <f t="shared" si="9"/>
        <v>#DIV/0!</v>
      </c>
      <c r="AI13" s="46" t="e">
        <f t="shared" si="9"/>
        <v>#DIV/0!</v>
      </c>
      <c r="AJ13" s="46" t="e">
        <f t="shared" si="9"/>
        <v>#DIV/0!</v>
      </c>
      <c r="AK13" s="45" t="e">
        <f t="shared" si="9"/>
        <v>#DIV/0!</v>
      </c>
      <c r="AL13" s="44" t="e">
        <f t="shared" si="10"/>
        <v>#DIV/0!</v>
      </c>
    </row>
    <row r="14" spans="1:38" x14ac:dyDescent="0.35">
      <c r="A14" s="58" t="s">
        <v>63</v>
      </c>
      <c r="B14" s="57">
        <v>-4</v>
      </c>
      <c r="C14" s="62">
        <v>8.49</v>
      </c>
      <c r="D14" s="55">
        <f t="shared" si="2"/>
        <v>2.4939780271429406</v>
      </c>
      <c r="E14" s="54">
        <f>SUM(D8:D14)</f>
        <v>2.4939780271429406</v>
      </c>
      <c r="G14" s="48">
        <f t="shared" si="3"/>
        <v>-4</v>
      </c>
      <c r="H14" s="61">
        <v>8.3699999999999992</v>
      </c>
      <c r="I14" s="60">
        <v>0</v>
      </c>
      <c r="J14" s="59">
        <v>0</v>
      </c>
      <c r="K14" s="60">
        <v>0</v>
      </c>
      <c r="L14" s="60">
        <v>0</v>
      </c>
      <c r="M14" s="60">
        <v>0</v>
      </c>
      <c r="N14" s="60">
        <v>0</v>
      </c>
      <c r="O14" s="60">
        <v>0</v>
      </c>
      <c r="P14" s="50">
        <f t="shared" si="4"/>
        <v>8.3699999999999992</v>
      </c>
      <c r="R14" s="48">
        <f t="shared" si="5"/>
        <v>-4</v>
      </c>
      <c r="S14" s="47">
        <f t="shared" si="6"/>
        <v>100</v>
      </c>
      <c r="T14" s="46">
        <f t="shared" si="6"/>
        <v>0</v>
      </c>
      <c r="U14" s="45">
        <f t="shared" si="6"/>
        <v>0</v>
      </c>
      <c r="V14" s="46">
        <f t="shared" si="6"/>
        <v>0</v>
      </c>
      <c r="W14" s="46">
        <f t="shared" si="6"/>
        <v>0</v>
      </c>
      <c r="X14" s="46">
        <f t="shared" si="6"/>
        <v>0</v>
      </c>
      <c r="Y14" s="46">
        <f t="shared" si="6"/>
        <v>0</v>
      </c>
      <c r="Z14" s="45">
        <f t="shared" si="6"/>
        <v>0</v>
      </c>
      <c r="AA14" s="49">
        <f t="shared" si="7"/>
        <v>100</v>
      </c>
      <c r="AC14" s="48">
        <f t="shared" si="8"/>
        <v>-4</v>
      </c>
      <c r="AD14" s="47">
        <f t="shared" si="9"/>
        <v>100</v>
      </c>
      <c r="AE14" s="46">
        <f t="shared" si="9"/>
        <v>0</v>
      </c>
      <c r="AF14" s="45">
        <f t="shared" si="9"/>
        <v>0</v>
      </c>
      <c r="AG14" s="47">
        <f t="shared" si="9"/>
        <v>0</v>
      </c>
      <c r="AH14" s="46">
        <f t="shared" si="9"/>
        <v>0</v>
      </c>
      <c r="AI14" s="46">
        <f t="shared" si="9"/>
        <v>0</v>
      </c>
      <c r="AJ14" s="46">
        <f t="shared" si="9"/>
        <v>0</v>
      </c>
      <c r="AK14" s="45">
        <f t="shared" si="9"/>
        <v>0</v>
      </c>
      <c r="AL14" s="44">
        <f t="shared" si="10"/>
        <v>100</v>
      </c>
    </row>
    <row r="15" spans="1:38" x14ac:dyDescent="0.35">
      <c r="A15" s="58" t="s">
        <v>62</v>
      </c>
      <c r="B15" s="57">
        <v>-3.5</v>
      </c>
      <c r="C15" s="62">
        <v>29.38</v>
      </c>
      <c r="D15" s="55">
        <f t="shared" si="2"/>
        <v>8.6305152458727434</v>
      </c>
      <c r="E15" s="54">
        <f>SUM(D6:D15)</f>
        <v>11.124493273015684</v>
      </c>
      <c r="G15" s="48">
        <f t="shared" si="3"/>
        <v>-3.5</v>
      </c>
      <c r="H15" s="61">
        <v>29.12</v>
      </c>
      <c r="I15" s="60">
        <v>0</v>
      </c>
      <c r="J15" s="59">
        <v>0</v>
      </c>
      <c r="K15" s="60">
        <v>0</v>
      </c>
      <c r="L15" s="60">
        <v>0</v>
      </c>
      <c r="M15" s="60">
        <v>0</v>
      </c>
      <c r="N15" s="60">
        <v>0</v>
      </c>
      <c r="O15" s="59">
        <v>0</v>
      </c>
      <c r="P15" s="50">
        <f t="shared" si="4"/>
        <v>29.12</v>
      </c>
      <c r="R15" s="48">
        <f t="shared" si="5"/>
        <v>-3.5</v>
      </c>
      <c r="S15" s="67">
        <f t="shared" si="6"/>
        <v>100</v>
      </c>
      <c r="T15" s="66">
        <f t="shared" si="6"/>
        <v>0</v>
      </c>
      <c r="U15" s="65">
        <f t="shared" si="6"/>
        <v>0</v>
      </c>
      <c r="V15" s="66">
        <f t="shared" si="6"/>
        <v>0</v>
      </c>
      <c r="W15" s="66">
        <f t="shared" si="6"/>
        <v>0</v>
      </c>
      <c r="X15" s="66">
        <f t="shared" si="6"/>
        <v>0</v>
      </c>
      <c r="Y15" s="66">
        <f t="shared" si="6"/>
        <v>0</v>
      </c>
      <c r="Z15" s="65">
        <f t="shared" si="6"/>
        <v>0</v>
      </c>
      <c r="AA15" s="50">
        <f t="shared" si="7"/>
        <v>100</v>
      </c>
      <c r="AC15" s="48">
        <f t="shared" si="8"/>
        <v>-3.5</v>
      </c>
      <c r="AD15" s="67">
        <f t="shared" ref="AD15:AH33" si="11">S15*100/(SUM($S15:$W15)+SUM($Y15:$Z15))</f>
        <v>100</v>
      </c>
      <c r="AE15" s="66">
        <f t="shared" si="11"/>
        <v>0</v>
      </c>
      <c r="AF15" s="65">
        <f t="shared" si="11"/>
        <v>0</v>
      </c>
      <c r="AG15" s="67">
        <f t="shared" si="11"/>
        <v>0</v>
      </c>
      <c r="AH15" s="66">
        <f t="shared" si="11"/>
        <v>0</v>
      </c>
      <c r="AI15" s="66">
        <v>0</v>
      </c>
      <c r="AJ15" s="66">
        <f t="shared" ref="AJ15:AK33" si="12">Y15*100/(SUM($S15:$W15)+SUM($Y15:$Z15))</f>
        <v>0</v>
      </c>
      <c r="AK15" s="65">
        <f t="shared" si="12"/>
        <v>0</v>
      </c>
      <c r="AL15" s="64">
        <f t="shared" si="10"/>
        <v>100</v>
      </c>
    </row>
    <row r="16" spans="1:38" x14ac:dyDescent="0.35">
      <c r="A16" s="71" t="s">
        <v>61</v>
      </c>
      <c r="B16" s="57">
        <v>-3</v>
      </c>
      <c r="C16" s="62">
        <v>35.22</v>
      </c>
      <c r="D16" s="55">
        <f t="shared" si="2"/>
        <v>10.346043123200749</v>
      </c>
      <c r="E16" s="54">
        <f>SUM(D6:D16)</f>
        <v>21.470536396216431</v>
      </c>
      <c r="G16" s="48">
        <f t="shared" si="3"/>
        <v>-3</v>
      </c>
      <c r="H16" s="61">
        <v>32.4</v>
      </c>
      <c r="I16" s="60">
        <v>2.2200000000000002</v>
      </c>
      <c r="J16" s="59">
        <v>0</v>
      </c>
      <c r="K16" s="60">
        <v>0</v>
      </c>
      <c r="L16" s="60">
        <v>0</v>
      </c>
      <c r="M16" s="60">
        <v>0</v>
      </c>
      <c r="N16" s="60">
        <v>0</v>
      </c>
      <c r="O16" s="59">
        <v>0</v>
      </c>
      <c r="P16" s="50">
        <f t="shared" si="4"/>
        <v>34.619999999999997</v>
      </c>
      <c r="R16" s="48">
        <f t="shared" si="5"/>
        <v>-3</v>
      </c>
      <c r="S16" s="67">
        <f t="shared" si="6"/>
        <v>93.587521663778176</v>
      </c>
      <c r="T16" s="66">
        <f t="shared" si="6"/>
        <v>6.412478336221838</v>
      </c>
      <c r="U16" s="65">
        <f t="shared" si="6"/>
        <v>0</v>
      </c>
      <c r="V16" s="66">
        <f t="shared" si="6"/>
        <v>0</v>
      </c>
      <c r="W16" s="66">
        <f t="shared" si="6"/>
        <v>0</v>
      </c>
      <c r="X16" s="66">
        <f t="shared" si="6"/>
        <v>0</v>
      </c>
      <c r="Y16" s="66">
        <f t="shared" si="6"/>
        <v>0</v>
      </c>
      <c r="Z16" s="65">
        <f t="shared" si="6"/>
        <v>0</v>
      </c>
      <c r="AA16" s="50">
        <f t="shared" si="7"/>
        <v>100.00000000000001</v>
      </c>
      <c r="AC16" s="48">
        <f t="shared" si="8"/>
        <v>-3</v>
      </c>
      <c r="AD16" s="67">
        <f t="shared" si="11"/>
        <v>93.587521663778162</v>
      </c>
      <c r="AE16" s="66">
        <f t="shared" si="11"/>
        <v>6.412478336221838</v>
      </c>
      <c r="AF16" s="65">
        <f t="shared" si="11"/>
        <v>0</v>
      </c>
      <c r="AG16" s="67">
        <f t="shared" si="11"/>
        <v>0</v>
      </c>
      <c r="AH16" s="66">
        <f t="shared" si="11"/>
        <v>0</v>
      </c>
      <c r="AI16" s="66">
        <v>0</v>
      </c>
      <c r="AJ16" s="66">
        <f t="shared" si="12"/>
        <v>0</v>
      </c>
      <c r="AK16" s="65">
        <f t="shared" si="12"/>
        <v>0</v>
      </c>
      <c r="AL16" s="64">
        <f t="shared" si="10"/>
        <v>100</v>
      </c>
    </row>
    <row r="17" spans="1:38" x14ac:dyDescent="0.35">
      <c r="A17" s="71" t="s">
        <v>60</v>
      </c>
      <c r="B17" s="57">
        <v>-2.5</v>
      </c>
      <c r="C17" s="62">
        <v>48.47</v>
      </c>
      <c r="D17" s="55">
        <f t="shared" si="2"/>
        <v>14.23829387227542</v>
      </c>
      <c r="E17" s="54">
        <f>SUM(D6:D17)</f>
        <v>35.708830268491852</v>
      </c>
      <c r="G17" s="48">
        <f t="shared" si="3"/>
        <v>-2.5</v>
      </c>
      <c r="H17" s="61">
        <v>42.68</v>
      </c>
      <c r="I17" s="60">
        <v>4.4800000000000004</v>
      </c>
      <c r="J17" s="59">
        <v>0</v>
      </c>
      <c r="K17" s="60">
        <v>0</v>
      </c>
      <c r="L17" s="60">
        <v>0</v>
      </c>
      <c r="M17" s="60">
        <v>0</v>
      </c>
      <c r="N17" s="60">
        <v>0</v>
      </c>
      <c r="O17" s="59">
        <v>0</v>
      </c>
      <c r="P17" s="50">
        <f t="shared" si="4"/>
        <v>47.16</v>
      </c>
      <c r="R17" s="48">
        <f t="shared" si="5"/>
        <v>-2.5</v>
      </c>
      <c r="S17" s="67">
        <f t="shared" si="6"/>
        <v>90.500424088210352</v>
      </c>
      <c r="T17" s="66">
        <f t="shared" si="6"/>
        <v>9.4995759117896537</v>
      </c>
      <c r="U17" s="65">
        <f t="shared" si="6"/>
        <v>0</v>
      </c>
      <c r="V17" s="66">
        <f t="shared" si="6"/>
        <v>0</v>
      </c>
      <c r="W17" s="66">
        <f t="shared" si="6"/>
        <v>0</v>
      </c>
      <c r="X17" s="66">
        <f t="shared" si="6"/>
        <v>0</v>
      </c>
      <c r="Y17" s="66">
        <f t="shared" si="6"/>
        <v>0</v>
      </c>
      <c r="Z17" s="65">
        <f t="shared" si="6"/>
        <v>0</v>
      </c>
      <c r="AA17" s="50">
        <f t="shared" si="7"/>
        <v>100</v>
      </c>
      <c r="AC17" s="48">
        <f t="shared" si="8"/>
        <v>-2.5</v>
      </c>
      <c r="AD17" s="67">
        <f t="shared" si="11"/>
        <v>90.500424088210352</v>
      </c>
      <c r="AE17" s="66">
        <f t="shared" si="11"/>
        <v>9.4995759117896537</v>
      </c>
      <c r="AF17" s="65">
        <f t="shared" si="11"/>
        <v>0</v>
      </c>
      <c r="AG17" s="67">
        <f t="shared" si="11"/>
        <v>0</v>
      </c>
      <c r="AH17" s="66">
        <f t="shared" si="11"/>
        <v>0</v>
      </c>
      <c r="AI17" s="66">
        <v>0</v>
      </c>
      <c r="AJ17" s="66">
        <f t="shared" si="12"/>
        <v>0</v>
      </c>
      <c r="AK17" s="65">
        <f t="shared" si="12"/>
        <v>0</v>
      </c>
      <c r="AL17" s="64">
        <f t="shared" si="10"/>
        <v>100</v>
      </c>
    </row>
    <row r="18" spans="1:38" x14ac:dyDescent="0.35">
      <c r="A18" s="58" t="s">
        <v>59</v>
      </c>
      <c r="B18" s="57">
        <v>-2</v>
      </c>
      <c r="C18" s="62">
        <v>38.389999999999993</v>
      </c>
      <c r="D18" s="55">
        <f t="shared" si="2"/>
        <v>11.277245755243518</v>
      </c>
      <c r="E18" s="54">
        <f>SUM(D6:D18)</f>
        <v>46.986076023735372</v>
      </c>
      <c r="G18" s="48">
        <f t="shared" si="3"/>
        <v>-2</v>
      </c>
      <c r="H18" s="61">
        <v>27.18</v>
      </c>
      <c r="I18" s="60">
        <v>8.67</v>
      </c>
      <c r="J18" s="59">
        <v>0</v>
      </c>
      <c r="K18" s="60">
        <v>0.99</v>
      </c>
      <c r="L18" s="60">
        <v>0</v>
      </c>
      <c r="M18" s="60">
        <v>0</v>
      </c>
      <c r="N18" s="60">
        <v>0</v>
      </c>
      <c r="O18" s="59">
        <v>0</v>
      </c>
      <c r="P18" s="50">
        <f t="shared" si="4"/>
        <v>36.840000000000003</v>
      </c>
      <c r="R18" s="48">
        <f t="shared" si="5"/>
        <v>-2</v>
      </c>
      <c r="S18" s="67">
        <f t="shared" si="6"/>
        <v>73.778501628664486</v>
      </c>
      <c r="T18" s="66">
        <f t="shared" si="6"/>
        <v>23.534201954397393</v>
      </c>
      <c r="U18" s="65">
        <f t="shared" si="6"/>
        <v>0</v>
      </c>
      <c r="V18" s="66">
        <f t="shared" si="6"/>
        <v>2.6872964169381106</v>
      </c>
      <c r="W18" s="66">
        <f t="shared" si="6"/>
        <v>0</v>
      </c>
      <c r="X18" s="66">
        <f t="shared" si="6"/>
        <v>0</v>
      </c>
      <c r="Y18" s="66">
        <f t="shared" si="6"/>
        <v>0</v>
      </c>
      <c r="Z18" s="65">
        <f t="shared" si="6"/>
        <v>0</v>
      </c>
      <c r="AA18" s="50">
        <f t="shared" si="7"/>
        <v>99.999999999999986</v>
      </c>
      <c r="AC18" s="48">
        <f t="shared" si="8"/>
        <v>-2</v>
      </c>
      <c r="AD18" s="67">
        <f t="shared" si="11"/>
        <v>73.7785016286645</v>
      </c>
      <c r="AE18" s="66">
        <f t="shared" si="11"/>
        <v>23.5342019543974</v>
      </c>
      <c r="AF18" s="65">
        <f t="shared" si="11"/>
        <v>0</v>
      </c>
      <c r="AG18" s="67">
        <f t="shared" si="11"/>
        <v>2.6872964169381111</v>
      </c>
      <c r="AH18" s="66">
        <f t="shared" si="11"/>
        <v>0</v>
      </c>
      <c r="AI18" s="66">
        <v>0</v>
      </c>
      <c r="AJ18" s="66">
        <f t="shared" si="12"/>
        <v>0</v>
      </c>
      <c r="AK18" s="65">
        <f t="shared" si="12"/>
        <v>0</v>
      </c>
      <c r="AL18" s="64">
        <f t="shared" si="10"/>
        <v>100.00000000000001</v>
      </c>
    </row>
    <row r="19" spans="1:38" x14ac:dyDescent="0.35">
      <c r="A19" s="58" t="s">
        <v>58</v>
      </c>
      <c r="B19" s="57">
        <v>-1.5</v>
      </c>
      <c r="C19" s="62">
        <v>36.42</v>
      </c>
      <c r="D19" s="55">
        <f t="shared" si="2"/>
        <v>10.698548851418833</v>
      </c>
      <c r="E19" s="54">
        <f>SUM(D6:D19)</f>
        <v>57.684624875154206</v>
      </c>
      <c r="G19" s="48">
        <f t="shared" si="3"/>
        <v>-1.5</v>
      </c>
      <c r="H19" s="61">
        <v>24.39</v>
      </c>
      <c r="I19" s="60">
        <v>10.73</v>
      </c>
      <c r="J19" s="59">
        <v>0</v>
      </c>
      <c r="K19" s="60">
        <v>1.02</v>
      </c>
      <c r="L19" s="60">
        <v>0</v>
      </c>
      <c r="M19" s="60">
        <v>0</v>
      </c>
      <c r="N19" s="60">
        <v>0</v>
      </c>
      <c r="O19" s="59">
        <v>0</v>
      </c>
      <c r="P19" s="50">
        <f t="shared" si="4"/>
        <v>36.140000000000008</v>
      </c>
      <c r="R19" s="48">
        <f t="shared" si="5"/>
        <v>-1.5</v>
      </c>
      <c r="S19" s="67">
        <f t="shared" si="6"/>
        <v>67.487548422800202</v>
      </c>
      <c r="T19" s="66">
        <f t="shared" si="6"/>
        <v>29.690094078583282</v>
      </c>
      <c r="U19" s="65">
        <f t="shared" si="6"/>
        <v>0</v>
      </c>
      <c r="V19" s="66">
        <f t="shared" si="6"/>
        <v>2.822357498616491</v>
      </c>
      <c r="W19" s="66">
        <f t="shared" si="6"/>
        <v>0</v>
      </c>
      <c r="X19" s="66">
        <f t="shared" si="6"/>
        <v>0</v>
      </c>
      <c r="Y19" s="66">
        <f t="shared" si="6"/>
        <v>0</v>
      </c>
      <c r="Z19" s="65">
        <f t="shared" si="6"/>
        <v>0</v>
      </c>
      <c r="AA19" s="50">
        <f t="shared" si="7"/>
        <v>99.999999999999986</v>
      </c>
      <c r="AC19" s="48">
        <f t="shared" si="8"/>
        <v>-1.5</v>
      </c>
      <c r="AD19" s="67">
        <f t="shared" si="11"/>
        <v>67.487548422800216</v>
      </c>
      <c r="AE19" s="66">
        <f t="shared" si="11"/>
        <v>29.690094078583289</v>
      </c>
      <c r="AF19" s="65">
        <f t="shared" si="11"/>
        <v>0</v>
      </c>
      <c r="AG19" s="67">
        <f t="shared" si="11"/>
        <v>2.8223574986164914</v>
      </c>
      <c r="AH19" s="66">
        <f t="shared" si="11"/>
        <v>0</v>
      </c>
      <c r="AI19" s="66">
        <v>0</v>
      </c>
      <c r="AJ19" s="66">
        <f t="shared" si="12"/>
        <v>0</v>
      </c>
      <c r="AK19" s="65">
        <f t="shared" si="12"/>
        <v>0</v>
      </c>
      <c r="AL19" s="64">
        <f t="shared" si="10"/>
        <v>100</v>
      </c>
    </row>
    <row r="20" spans="1:38" x14ac:dyDescent="0.35">
      <c r="A20" s="58" t="s">
        <v>57</v>
      </c>
      <c r="B20" s="57">
        <v>-1</v>
      </c>
      <c r="C20" s="62">
        <v>28.82</v>
      </c>
      <c r="D20" s="55">
        <f t="shared" si="2"/>
        <v>8.4660125727043045</v>
      </c>
      <c r="E20" s="54">
        <f>SUM(D6:D20)</f>
        <v>66.150637447858514</v>
      </c>
      <c r="G20" s="48">
        <f t="shared" si="3"/>
        <v>-1</v>
      </c>
      <c r="H20" s="61">
        <v>13.8</v>
      </c>
      <c r="I20" s="60">
        <v>12.89</v>
      </c>
      <c r="J20" s="59">
        <v>0</v>
      </c>
      <c r="K20" s="60">
        <v>1.79</v>
      </c>
      <c r="L20" s="60">
        <v>0</v>
      </c>
      <c r="M20" s="60">
        <v>0</v>
      </c>
      <c r="N20" s="60">
        <v>0</v>
      </c>
      <c r="O20" s="59">
        <v>0</v>
      </c>
      <c r="P20" s="50">
        <f t="shared" si="4"/>
        <v>28.48</v>
      </c>
      <c r="R20" s="48">
        <f t="shared" si="5"/>
        <v>-1</v>
      </c>
      <c r="S20" s="67">
        <f t="shared" si="6"/>
        <v>48.455056179775283</v>
      </c>
      <c r="T20" s="66">
        <f t="shared" si="6"/>
        <v>45.259831460674157</v>
      </c>
      <c r="U20" s="65">
        <f t="shared" si="6"/>
        <v>0</v>
      </c>
      <c r="V20" s="66">
        <f t="shared" si="6"/>
        <v>6.2851123595505616</v>
      </c>
      <c r="W20" s="66">
        <f t="shared" si="6"/>
        <v>0</v>
      </c>
      <c r="X20" s="66">
        <f t="shared" si="6"/>
        <v>0</v>
      </c>
      <c r="Y20" s="66">
        <f t="shared" si="6"/>
        <v>0</v>
      </c>
      <c r="Z20" s="65">
        <f t="shared" si="6"/>
        <v>0</v>
      </c>
      <c r="AA20" s="50">
        <f t="shared" si="7"/>
        <v>100</v>
      </c>
      <c r="AC20" s="48">
        <f t="shared" si="8"/>
        <v>-1</v>
      </c>
      <c r="AD20" s="67">
        <f t="shared" si="11"/>
        <v>48.455056179775283</v>
      </c>
      <c r="AE20" s="66">
        <f t="shared" si="11"/>
        <v>45.259831460674157</v>
      </c>
      <c r="AF20" s="65">
        <f t="shared" si="11"/>
        <v>0</v>
      </c>
      <c r="AG20" s="67">
        <f t="shared" si="11"/>
        <v>6.2851123595505616</v>
      </c>
      <c r="AH20" s="66">
        <f t="shared" si="11"/>
        <v>0</v>
      </c>
      <c r="AI20" s="66">
        <v>0</v>
      </c>
      <c r="AJ20" s="66">
        <f t="shared" si="12"/>
        <v>0</v>
      </c>
      <c r="AK20" s="65">
        <f t="shared" si="12"/>
        <v>0</v>
      </c>
      <c r="AL20" s="64">
        <f t="shared" si="10"/>
        <v>100</v>
      </c>
    </row>
    <row r="21" spans="1:38" x14ac:dyDescent="0.35">
      <c r="A21" s="58" t="s">
        <v>56</v>
      </c>
      <c r="B21" s="57">
        <v>-0.5</v>
      </c>
      <c r="C21" s="62">
        <v>22.78</v>
      </c>
      <c r="D21" s="55">
        <f t="shared" si="2"/>
        <v>6.6917337406732846</v>
      </c>
      <c r="E21" s="54">
        <f>SUM(D6:D21)</f>
        <v>72.8423711885318</v>
      </c>
      <c r="G21" s="70">
        <f t="shared" si="3"/>
        <v>-0.5</v>
      </c>
      <c r="H21" s="53">
        <v>12.94</v>
      </c>
      <c r="I21" s="52">
        <v>7.54</v>
      </c>
      <c r="J21" s="51">
        <v>0</v>
      </c>
      <c r="K21" s="52">
        <v>1.97</v>
      </c>
      <c r="L21" s="52">
        <v>0</v>
      </c>
      <c r="M21" s="60">
        <v>0</v>
      </c>
      <c r="N21" s="52">
        <v>0</v>
      </c>
      <c r="O21" s="51">
        <v>0</v>
      </c>
      <c r="P21" s="69">
        <f t="shared" si="4"/>
        <v>22.45</v>
      </c>
      <c r="Q21" s="68"/>
      <c r="R21" s="48">
        <f t="shared" si="5"/>
        <v>-0.5</v>
      </c>
      <c r="S21" s="67">
        <f t="shared" si="6"/>
        <v>57.639198218262806</v>
      </c>
      <c r="T21" s="66">
        <f t="shared" si="6"/>
        <v>33.585746102449889</v>
      </c>
      <c r="U21" s="65">
        <f t="shared" si="6"/>
        <v>0</v>
      </c>
      <c r="V21" s="66">
        <f t="shared" si="6"/>
        <v>8.7750556792873056</v>
      </c>
      <c r="W21" s="66">
        <f t="shared" si="6"/>
        <v>0</v>
      </c>
      <c r="X21" s="66">
        <f t="shared" si="6"/>
        <v>0</v>
      </c>
      <c r="Y21" s="66">
        <f t="shared" si="6"/>
        <v>0</v>
      </c>
      <c r="Z21" s="65">
        <f t="shared" si="6"/>
        <v>0</v>
      </c>
      <c r="AA21" s="50">
        <f t="shared" si="7"/>
        <v>100</v>
      </c>
      <c r="AC21" s="48">
        <f t="shared" si="8"/>
        <v>-0.5</v>
      </c>
      <c r="AD21" s="67">
        <f t="shared" si="11"/>
        <v>57.639198218262806</v>
      </c>
      <c r="AE21" s="66">
        <f t="shared" si="11"/>
        <v>33.585746102449889</v>
      </c>
      <c r="AF21" s="65">
        <f t="shared" si="11"/>
        <v>0</v>
      </c>
      <c r="AG21" s="67">
        <f t="shared" si="11"/>
        <v>8.7750556792873056</v>
      </c>
      <c r="AH21" s="66">
        <f t="shared" si="11"/>
        <v>0</v>
      </c>
      <c r="AI21" s="66">
        <v>0</v>
      </c>
      <c r="AJ21" s="66">
        <f t="shared" si="12"/>
        <v>0</v>
      </c>
      <c r="AK21" s="65">
        <f t="shared" si="12"/>
        <v>0</v>
      </c>
      <c r="AL21" s="64">
        <f t="shared" si="10"/>
        <v>100</v>
      </c>
    </row>
    <row r="22" spans="1:38" x14ac:dyDescent="0.35">
      <c r="A22" s="58" t="s">
        <v>55</v>
      </c>
      <c r="B22" s="57">
        <v>0</v>
      </c>
      <c r="C22" s="62">
        <v>16.11</v>
      </c>
      <c r="D22" s="55">
        <f t="shared" si="2"/>
        <v>4.7323894013277705</v>
      </c>
      <c r="E22" s="54">
        <f>SUM(D6:D22)</f>
        <v>77.574760589859565</v>
      </c>
      <c r="G22" s="48">
        <f t="shared" si="3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4"/>
        <v>0</v>
      </c>
      <c r="R22" s="48">
        <f t="shared" si="5"/>
        <v>0</v>
      </c>
      <c r="S22" s="47" t="e">
        <f t="shared" si="6"/>
        <v>#DIV/0!</v>
      </c>
      <c r="T22" s="46" t="e">
        <f t="shared" si="6"/>
        <v>#DIV/0!</v>
      </c>
      <c r="U22" s="45" t="e">
        <f t="shared" si="6"/>
        <v>#DIV/0!</v>
      </c>
      <c r="V22" s="46" t="e">
        <f t="shared" si="6"/>
        <v>#DIV/0!</v>
      </c>
      <c r="W22" s="46" t="e">
        <f t="shared" si="6"/>
        <v>#DIV/0!</v>
      </c>
      <c r="X22" s="46" t="e">
        <f t="shared" si="6"/>
        <v>#DIV/0!</v>
      </c>
      <c r="Y22" s="46" t="e">
        <f t="shared" si="6"/>
        <v>#DIV/0!</v>
      </c>
      <c r="Z22" s="45" t="e">
        <f t="shared" si="6"/>
        <v>#DIV/0!</v>
      </c>
      <c r="AA22" s="49" t="e">
        <f t="shared" si="7"/>
        <v>#DIV/0!</v>
      </c>
      <c r="AC22" s="48">
        <f t="shared" si="8"/>
        <v>0</v>
      </c>
      <c r="AD22" s="47" t="e">
        <f t="shared" si="11"/>
        <v>#DIV/0!</v>
      </c>
      <c r="AE22" s="46" t="e">
        <f t="shared" si="11"/>
        <v>#DIV/0!</v>
      </c>
      <c r="AF22" s="45" t="e">
        <f t="shared" si="11"/>
        <v>#DIV/0!</v>
      </c>
      <c r="AG22" s="47" t="e">
        <f t="shared" si="11"/>
        <v>#DIV/0!</v>
      </c>
      <c r="AH22" s="46" t="e">
        <f t="shared" si="11"/>
        <v>#DIV/0!</v>
      </c>
      <c r="AI22" s="46" t="e">
        <f t="shared" ref="AI22:AI33" si="13">X22*100/(SUM($S22:$W22)+SUM($Y22:$Z22))</f>
        <v>#DIV/0!</v>
      </c>
      <c r="AJ22" s="46" t="e">
        <f t="shared" si="12"/>
        <v>#DIV/0!</v>
      </c>
      <c r="AK22" s="45" t="e">
        <f t="shared" si="12"/>
        <v>#DIV/0!</v>
      </c>
      <c r="AL22" s="44" t="e">
        <f t="shared" si="10"/>
        <v>#DIV/0!</v>
      </c>
    </row>
    <row r="23" spans="1:38" x14ac:dyDescent="0.35">
      <c r="A23" s="58" t="s">
        <v>54</v>
      </c>
      <c r="B23" s="57">
        <v>0.5</v>
      </c>
      <c r="C23" s="62">
        <v>9.2100000000000009</v>
      </c>
      <c r="D23" s="55">
        <f t="shared" si="2"/>
        <v>2.7054814640737908</v>
      </c>
      <c r="E23" s="54">
        <f>SUM(D6:D23)</f>
        <v>80.28024205393335</v>
      </c>
      <c r="G23" s="48">
        <f t="shared" si="3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4"/>
        <v>0</v>
      </c>
      <c r="R23" s="48">
        <f t="shared" si="5"/>
        <v>0.5</v>
      </c>
      <c r="S23" s="47" t="e">
        <f t="shared" si="6"/>
        <v>#DIV/0!</v>
      </c>
      <c r="T23" s="46" t="e">
        <f t="shared" si="6"/>
        <v>#DIV/0!</v>
      </c>
      <c r="U23" s="45" t="e">
        <f t="shared" si="6"/>
        <v>#DIV/0!</v>
      </c>
      <c r="V23" s="46" t="e">
        <f t="shared" si="6"/>
        <v>#DIV/0!</v>
      </c>
      <c r="W23" s="46" t="e">
        <f t="shared" si="6"/>
        <v>#DIV/0!</v>
      </c>
      <c r="X23" s="46" t="e">
        <f t="shared" si="6"/>
        <v>#DIV/0!</v>
      </c>
      <c r="Y23" s="46" t="e">
        <f t="shared" si="6"/>
        <v>#DIV/0!</v>
      </c>
      <c r="Z23" s="45" t="e">
        <f t="shared" si="6"/>
        <v>#DIV/0!</v>
      </c>
      <c r="AA23" s="49" t="e">
        <f t="shared" si="7"/>
        <v>#DIV/0!</v>
      </c>
      <c r="AC23" s="48">
        <f t="shared" si="8"/>
        <v>0.5</v>
      </c>
      <c r="AD23" s="47" t="e">
        <f t="shared" si="11"/>
        <v>#DIV/0!</v>
      </c>
      <c r="AE23" s="46" t="e">
        <f t="shared" si="11"/>
        <v>#DIV/0!</v>
      </c>
      <c r="AF23" s="45" t="e">
        <f t="shared" si="11"/>
        <v>#DIV/0!</v>
      </c>
      <c r="AG23" s="47" t="e">
        <f t="shared" si="11"/>
        <v>#DIV/0!</v>
      </c>
      <c r="AH23" s="46" t="e">
        <f t="shared" si="11"/>
        <v>#DIV/0!</v>
      </c>
      <c r="AI23" s="46" t="e">
        <f t="shared" si="13"/>
        <v>#DIV/0!</v>
      </c>
      <c r="AJ23" s="46" t="e">
        <f t="shared" si="12"/>
        <v>#DIV/0!</v>
      </c>
      <c r="AK23" s="45" t="e">
        <f t="shared" si="12"/>
        <v>#DIV/0!</v>
      </c>
      <c r="AL23" s="44" t="e">
        <f t="shared" si="10"/>
        <v>#DIV/0!</v>
      </c>
    </row>
    <row r="24" spans="1:38" x14ac:dyDescent="0.35">
      <c r="A24" s="58" t="s">
        <v>53</v>
      </c>
      <c r="B24" s="57">
        <v>1</v>
      </c>
      <c r="C24" s="63">
        <v>4.74</v>
      </c>
      <c r="D24" s="55">
        <f t="shared" si="2"/>
        <v>1.3923976264614297</v>
      </c>
      <c r="E24" s="54">
        <f>SUM(D6:D24)</f>
        <v>81.672639680394781</v>
      </c>
      <c r="G24" s="48">
        <f t="shared" si="3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4"/>
        <v>0</v>
      </c>
      <c r="R24" s="48">
        <f t="shared" si="5"/>
        <v>1</v>
      </c>
      <c r="S24" s="47" t="e">
        <f t="shared" si="6"/>
        <v>#DIV/0!</v>
      </c>
      <c r="T24" s="46" t="e">
        <f t="shared" si="6"/>
        <v>#DIV/0!</v>
      </c>
      <c r="U24" s="45" t="e">
        <f t="shared" si="6"/>
        <v>#DIV/0!</v>
      </c>
      <c r="V24" s="46" t="e">
        <f t="shared" si="6"/>
        <v>#DIV/0!</v>
      </c>
      <c r="W24" s="46" t="e">
        <f t="shared" si="6"/>
        <v>#DIV/0!</v>
      </c>
      <c r="X24" s="46" t="e">
        <f t="shared" si="6"/>
        <v>#DIV/0!</v>
      </c>
      <c r="Y24" s="46" t="e">
        <f t="shared" si="6"/>
        <v>#DIV/0!</v>
      </c>
      <c r="Z24" s="45" t="e">
        <f t="shared" si="6"/>
        <v>#DIV/0!</v>
      </c>
      <c r="AA24" s="49" t="e">
        <f t="shared" si="7"/>
        <v>#DIV/0!</v>
      </c>
      <c r="AC24" s="48">
        <f t="shared" si="8"/>
        <v>1</v>
      </c>
      <c r="AD24" s="47" t="e">
        <f t="shared" si="11"/>
        <v>#DIV/0!</v>
      </c>
      <c r="AE24" s="46" t="e">
        <f t="shared" si="11"/>
        <v>#DIV/0!</v>
      </c>
      <c r="AF24" s="45" t="e">
        <f t="shared" si="11"/>
        <v>#DIV/0!</v>
      </c>
      <c r="AG24" s="47" t="e">
        <f t="shared" si="11"/>
        <v>#DIV/0!</v>
      </c>
      <c r="AH24" s="46" t="e">
        <f t="shared" si="11"/>
        <v>#DIV/0!</v>
      </c>
      <c r="AI24" s="46" t="e">
        <f t="shared" si="13"/>
        <v>#DIV/0!</v>
      </c>
      <c r="AJ24" s="46" t="e">
        <f t="shared" si="12"/>
        <v>#DIV/0!</v>
      </c>
      <c r="AK24" s="45" t="e">
        <f t="shared" si="12"/>
        <v>#DIV/0!</v>
      </c>
      <c r="AL24" s="44" t="e">
        <f t="shared" si="10"/>
        <v>#DIV/0!</v>
      </c>
    </row>
    <row r="25" spans="1:38" x14ac:dyDescent="0.35">
      <c r="A25" s="58" t="s">
        <v>52</v>
      </c>
      <c r="B25" s="57">
        <v>1.5</v>
      </c>
      <c r="C25" s="62">
        <v>2.86</v>
      </c>
      <c r="D25" s="55">
        <f t="shared" si="2"/>
        <v>0.84013865225309892</v>
      </c>
      <c r="E25" s="54">
        <f>SUM(D6:D25)</f>
        <v>82.512778332647883</v>
      </c>
      <c r="G25" s="48">
        <f t="shared" si="3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4"/>
        <v>0</v>
      </c>
      <c r="R25" s="48">
        <f t="shared" si="5"/>
        <v>1.5</v>
      </c>
      <c r="S25" s="47" t="e">
        <f t="shared" si="6"/>
        <v>#DIV/0!</v>
      </c>
      <c r="T25" s="46" t="e">
        <f t="shared" si="6"/>
        <v>#DIV/0!</v>
      </c>
      <c r="U25" s="45" t="e">
        <f t="shared" si="6"/>
        <v>#DIV/0!</v>
      </c>
      <c r="V25" s="46" t="e">
        <f t="shared" si="6"/>
        <v>#DIV/0!</v>
      </c>
      <c r="W25" s="46" t="e">
        <f t="shared" si="6"/>
        <v>#DIV/0!</v>
      </c>
      <c r="X25" s="46" t="e">
        <f t="shared" si="6"/>
        <v>#DIV/0!</v>
      </c>
      <c r="Y25" s="46" t="e">
        <f t="shared" si="6"/>
        <v>#DIV/0!</v>
      </c>
      <c r="Z25" s="45" t="e">
        <f t="shared" si="6"/>
        <v>#DIV/0!</v>
      </c>
      <c r="AA25" s="49" t="e">
        <f t="shared" si="7"/>
        <v>#DIV/0!</v>
      </c>
      <c r="AC25" s="48">
        <f t="shared" si="8"/>
        <v>1.5</v>
      </c>
      <c r="AD25" s="47" t="e">
        <f t="shared" si="11"/>
        <v>#DIV/0!</v>
      </c>
      <c r="AE25" s="46" t="e">
        <f t="shared" si="11"/>
        <v>#DIV/0!</v>
      </c>
      <c r="AF25" s="45" t="e">
        <f t="shared" si="11"/>
        <v>#DIV/0!</v>
      </c>
      <c r="AG25" s="47" t="e">
        <f t="shared" si="11"/>
        <v>#DIV/0!</v>
      </c>
      <c r="AH25" s="46" t="e">
        <f t="shared" si="11"/>
        <v>#DIV/0!</v>
      </c>
      <c r="AI25" s="46" t="e">
        <f t="shared" si="13"/>
        <v>#DIV/0!</v>
      </c>
      <c r="AJ25" s="46" t="e">
        <f t="shared" si="12"/>
        <v>#DIV/0!</v>
      </c>
      <c r="AK25" s="45" t="e">
        <f t="shared" si="12"/>
        <v>#DIV/0!</v>
      </c>
      <c r="AL25" s="44" t="e">
        <f t="shared" si="10"/>
        <v>#DIV/0!</v>
      </c>
    </row>
    <row r="26" spans="1:38" x14ac:dyDescent="0.35">
      <c r="A26" s="58" t="s">
        <v>51</v>
      </c>
      <c r="B26" s="57">
        <v>2</v>
      </c>
      <c r="C26" s="62">
        <v>2.73</v>
      </c>
      <c r="D26" s="55">
        <f t="shared" si="2"/>
        <v>0.80195053169613995</v>
      </c>
      <c r="E26" s="54">
        <f>SUM(D6:D26)</f>
        <v>83.314728864344019</v>
      </c>
      <c r="G26" s="48">
        <f t="shared" si="3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4"/>
        <v>0</v>
      </c>
      <c r="R26" s="48">
        <f t="shared" si="5"/>
        <v>2</v>
      </c>
      <c r="S26" s="47" t="e">
        <f t="shared" si="6"/>
        <v>#DIV/0!</v>
      </c>
      <c r="T26" s="46" t="e">
        <f t="shared" si="6"/>
        <v>#DIV/0!</v>
      </c>
      <c r="U26" s="45" t="e">
        <f t="shared" si="6"/>
        <v>#DIV/0!</v>
      </c>
      <c r="V26" s="46" t="e">
        <f t="shared" si="6"/>
        <v>#DIV/0!</v>
      </c>
      <c r="W26" s="46" t="e">
        <f t="shared" si="6"/>
        <v>#DIV/0!</v>
      </c>
      <c r="X26" s="46" t="e">
        <f t="shared" si="6"/>
        <v>#DIV/0!</v>
      </c>
      <c r="Y26" s="46" t="e">
        <f t="shared" si="6"/>
        <v>#DIV/0!</v>
      </c>
      <c r="Z26" s="45" t="e">
        <f t="shared" si="6"/>
        <v>#DIV/0!</v>
      </c>
      <c r="AA26" s="49" t="e">
        <f t="shared" si="7"/>
        <v>#DIV/0!</v>
      </c>
      <c r="AC26" s="48">
        <f t="shared" si="8"/>
        <v>2</v>
      </c>
      <c r="AD26" s="47" t="e">
        <f t="shared" si="11"/>
        <v>#DIV/0!</v>
      </c>
      <c r="AE26" s="46" t="e">
        <f t="shared" si="11"/>
        <v>#DIV/0!</v>
      </c>
      <c r="AF26" s="45" t="e">
        <f t="shared" si="11"/>
        <v>#DIV/0!</v>
      </c>
      <c r="AG26" s="47" t="e">
        <f t="shared" si="11"/>
        <v>#DIV/0!</v>
      </c>
      <c r="AH26" s="46" t="e">
        <f t="shared" si="11"/>
        <v>#DIV/0!</v>
      </c>
      <c r="AI26" s="46" t="e">
        <f t="shared" si="13"/>
        <v>#DIV/0!</v>
      </c>
      <c r="AJ26" s="46" t="e">
        <f t="shared" si="12"/>
        <v>#DIV/0!</v>
      </c>
      <c r="AK26" s="45" t="e">
        <f t="shared" si="12"/>
        <v>#DIV/0!</v>
      </c>
      <c r="AL26" s="44" t="e">
        <f t="shared" si="10"/>
        <v>#DIV/0!</v>
      </c>
    </row>
    <row r="27" spans="1:38" x14ac:dyDescent="0.35">
      <c r="A27" s="58" t="s">
        <v>50</v>
      </c>
      <c r="B27" s="57">
        <v>2.5</v>
      </c>
      <c r="C27" s="62">
        <v>2.61</v>
      </c>
      <c r="D27" s="55">
        <f t="shared" si="2"/>
        <v>0.76669995887433151</v>
      </c>
      <c r="E27" s="54">
        <f>SUM(D7:D27)</f>
        <v>84.081428823218346</v>
      </c>
      <c r="G27" s="48">
        <f t="shared" si="3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4"/>
        <v>0</v>
      </c>
      <c r="R27" s="48">
        <f t="shared" si="5"/>
        <v>2.5</v>
      </c>
      <c r="S27" s="47" t="e">
        <f t="shared" si="6"/>
        <v>#DIV/0!</v>
      </c>
      <c r="T27" s="46" t="e">
        <f t="shared" si="6"/>
        <v>#DIV/0!</v>
      </c>
      <c r="U27" s="45" t="e">
        <f t="shared" si="6"/>
        <v>#DIV/0!</v>
      </c>
      <c r="V27" s="46" t="e">
        <f t="shared" si="6"/>
        <v>#DIV/0!</v>
      </c>
      <c r="W27" s="46" t="e">
        <f t="shared" si="6"/>
        <v>#DIV/0!</v>
      </c>
      <c r="X27" s="46" t="e">
        <f t="shared" si="6"/>
        <v>#DIV/0!</v>
      </c>
      <c r="Y27" s="46" t="e">
        <f t="shared" si="6"/>
        <v>#DIV/0!</v>
      </c>
      <c r="Z27" s="45" t="e">
        <f t="shared" si="6"/>
        <v>#DIV/0!</v>
      </c>
      <c r="AA27" s="49" t="e">
        <f t="shared" si="7"/>
        <v>#DIV/0!</v>
      </c>
      <c r="AC27" s="48">
        <f t="shared" si="8"/>
        <v>2.5</v>
      </c>
      <c r="AD27" s="47" t="e">
        <f t="shared" si="11"/>
        <v>#DIV/0!</v>
      </c>
      <c r="AE27" s="46" t="e">
        <f t="shared" si="11"/>
        <v>#DIV/0!</v>
      </c>
      <c r="AF27" s="45" t="e">
        <f t="shared" si="11"/>
        <v>#DIV/0!</v>
      </c>
      <c r="AG27" s="47" t="e">
        <f t="shared" si="11"/>
        <v>#DIV/0!</v>
      </c>
      <c r="AH27" s="46" t="e">
        <f t="shared" si="11"/>
        <v>#DIV/0!</v>
      </c>
      <c r="AI27" s="46" t="e">
        <f t="shared" si="13"/>
        <v>#DIV/0!</v>
      </c>
      <c r="AJ27" s="46" t="e">
        <f t="shared" si="12"/>
        <v>#DIV/0!</v>
      </c>
      <c r="AK27" s="45" t="e">
        <f t="shared" si="12"/>
        <v>#DIV/0!</v>
      </c>
      <c r="AL27" s="44" t="e">
        <f t="shared" si="10"/>
        <v>#DIV/0!</v>
      </c>
    </row>
    <row r="28" spans="1:38" x14ac:dyDescent="0.35">
      <c r="A28" s="58" t="s">
        <v>49</v>
      </c>
      <c r="B28" s="57">
        <v>3</v>
      </c>
      <c r="C28" s="56">
        <v>3.16</v>
      </c>
      <c r="D28" s="55">
        <f t="shared" si="2"/>
        <v>0.92826508430761989</v>
      </c>
      <c r="E28" s="54">
        <f>SUM(D7:D28)</f>
        <v>85.009693907525971</v>
      </c>
      <c r="G28" s="48">
        <f t="shared" si="3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4"/>
        <v>0</v>
      </c>
      <c r="R28" s="48">
        <f t="shared" si="5"/>
        <v>3</v>
      </c>
      <c r="S28" s="47" t="e">
        <f t="shared" si="6"/>
        <v>#DIV/0!</v>
      </c>
      <c r="T28" s="46" t="e">
        <f t="shared" si="6"/>
        <v>#DIV/0!</v>
      </c>
      <c r="U28" s="45" t="e">
        <f t="shared" si="6"/>
        <v>#DIV/0!</v>
      </c>
      <c r="V28" s="46" t="e">
        <f t="shared" si="6"/>
        <v>#DIV/0!</v>
      </c>
      <c r="W28" s="46" t="e">
        <f t="shared" si="6"/>
        <v>#DIV/0!</v>
      </c>
      <c r="X28" s="46" t="e">
        <f t="shared" si="6"/>
        <v>#DIV/0!</v>
      </c>
      <c r="Y28" s="46" t="e">
        <f t="shared" si="6"/>
        <v>#DIV/0!</v>
      </c>
      <c r="Z28" s="45" t="e">
        <f t="shared" si="6"/>
        <v>#DIV/0!</v>
      </c>
      <c r="AA28" s="49" t="e">
        <f t="shared" si="7"/>
        <v>#DIV/0!</v>
      </c>
      <c r="AC28" s="48">
        <f t="shared" si="8"/>
        <v>3</v>
      </c>
      <c r="AD28" s="47" t="e">
        <f t="shared" si="11"/>
        <v>#DIV/0!</v>
      </c>
      <c r="AE28" s="46" t="e">
        <f t="shared" si="11"/>
        <v>#DIV/0!</v>
      </c>
      <c r="AF28" s="45" t="e">
        <f t="shared" si="11"/>
        <v>#DIV/0!</v>
      </c>
      <c r="AG28" s="47" t="e">
        <f t="shared" si="11"/>
        <v>#DIV/0!</v>
      </c>
      <c r="AH28" s="46" t="e">
        <f t="shared" si="11"/>
        <v>#DIV/0!</v>
      </c>
      <c r="AI28" s="46" t="e">
        <f t="shared" si="13"/>
        <v>#DIV/0!</v>
      </c>
      <c r="AJ28" s="46" t="e">
        <f t="shared" si="12"/>
        <v>#DIV/0!</v>
      </c>
      <c r="AK28" s="45" t="e">
        <f t="shared" si="12"/>
        <v>#DIV/0!</v>
      </c>
      <c r="AL28" s="44" t="e">
        <f t="shared" si="10"/>
        <v>#DIV/0!</v>
      </c>
    </row>
    <row r="29" spans="1:38" x14ac:dyDescent="0.35">
      <c r="A29" s="58" t="s">
        <v>48</v>
      </c>
      <c r="B29" s="57">
        <v>3.5</v>
      </c>
      <c r="C29" s="56">
        <v>7.04</v>
      </c>
      <c r="D29" s="55">
        <f t="shared" si="2"/>
        <v>2.0680336055460895</v>
      </c>
      <c r="E29" s="54">
        <f>SUM(D7:D29)</f>
        <v>87.077727513072062</v>
      </c>
      <c r="G29" s="48">
        <f t="shared" si="3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59">
        <v>0</v>
      </c>
      <c r="P29" s="50">
        <f t="shared" si="4"/>
        <v>0</v>
      </c>
      <c r="R29" s="48">
        <f t="shared" si="5"/>
        <v>3.5</v>
      </c>
      <c r="S29" s="47" t="e">
        <f t="shared" si="6"/>
        <v>#DIV/0!</v>
      </c>
      <c r="T29" s="46" t="e">
        <f t="shared" si="6"/>
        <v>#DIV/0!</v>
      </c>
      <c r="U29" s="45" t="e">
        <f t="shared" si="6"/>
        <v>#DIV/0!</v>
      </c>
      <c r="V29" s="46" t="e">
        <f t="shared" si="6"/>
        <v>#DIV/0!</v>
      </c>
      <c r="W29" s="46" t="e">
        <f t="shared" si="6"/>
        <v>#DIV/0!</v>
      </c>
      <c r="X29" s="46" t="e">
        <f t="shared" si="6"/>
        <v>#DIV/0!</v>
      </c>
      <c r="Y29" s="46" t="e">
        <f t="shared" si="6"/>
        <v>#DIV/0!</v>
      </c>
      <c r="Z29" s="45" t="e">
        <f t="shared" si="6"/>
        <v>#DIV/0!</v>
      </c>
      <c r="AA29" s="49" t="e">
        <f t="shared" si="7"/>
        <v>#DIV/0!</v>
      </c>
      <c r="AC29" s="48">
        <f t="shared" si="8"/>
        <v>3.5</v>
      </c>
      <c r="AD29" s="47" t="e">
        <f t="shared" si="11"/>
        <v>#DIV/0!</v>
      </c>
      <c r="AE29" s="46" t="e">
        <f t="shared" si="11"/>
        <v>#DIV/0!</v>
      </c>
      <c r="AF29" s="45" t="e">
        <f t="shared" si="11"/>
        <v>#DIV/0!</v>
      </c>
      <c r="AG29" s="47" t="e">
        <f t="shared" si="11"/>
        <v>#DIV/0!</v>
      </c>
      <c r="AH29" s="46" t="e">
        <f t="shared" si="11"/>
        <v>#DIV/0!</v>
      </c>
      <c r="AI29" s="46" t="e">
        <f t="shared" si="13"/>
        <v>#DIV/0!</v>
      </c>
      <c r="AJ29" s="46" t="e">
        <f t="shared" si="12"/>
        <v>#DIV/0!</v>
      </c>
      <c r="AK29" s="45" t="e">
        <f t="shared" si="12"/>
        <v>#DIV/0!</v>
      </c>
      <c r="AL29" s="44" t="e">
        <f t="shared" si="10"/>
        <v>#DIV/0!</v>
      </c>
    </row>
    <row r="30" spans="1:38" x14ac:dyDescent="0.35">
      <c r="A30" s="58" t="s">
        <v>47</v>
      </c>
      <c r="B30" s="57">
        <v>4</v>
      </c>
      <c r="C30" s="56">
        <v>12.51</v>
      </c>
      <c r="D30" s="55">
        <f t="shared" si="2"/>
        <v>3.6748722166735202</v>
      </c>
      <c r="E30" s="54">
        <f>SUM(D7:D30)</f>
        <v>90.752599729745583</v>
      </c>
      <c r="G30" s="48">
        <f t="shared" si="3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59">
        <v>0</v>
      </c>
      <c r="P30" s="50">
        <f t="shared" si="4"/>
        <v>0</v>
      </c>
      <c r="R30" s="48">
        <f t="shared" si="5"/>
        <v>4</v>
      </c>
      <c r="S30" s="47" t="e">
        <f t="shared" si="6"/>
        <v>#DIV/0!</v>
      </c>
      <c r="T30" s="46" t="e">
        <f t="shared" si="6"/>
        <v>#DIV/0!</v>
      </c>
      <c r="U30" s="45" t="e">
        <f t="shared" si="6"/>
        <v>#DIV/0!</v>
      </c>
      <c r="V30" s="46" t="e">
        <f t="shared" si="6"/>
        <v>#DIV/0!</v>
      </c>
      <c r="W30" s="46" t="e">
        <f t="shared" si="6"/>
        <v>#DIV/0!</v>
      </c>
      <c r="X30" s="46" t="e">
        <f t="shared" si="6"/>
        <v>#DIV/0!</v>
      </c>
      <c r="Y30" s="46" t="e">
        <f t="shared" si="6"/>
        <v>#DIV/0!</v>
      </c>
      <c r="Z30" s="45" t="e">
        <f t="shared" si="6"/>
        <v>#DIV/0!</v>
      </c>
      <c r="AA30" s="49" t="e">
        <f t="shared" si="7"/>
        <v>#DIV/0!</v>
      </c>
      <c r="AC30" s="48">
        <f t="shared" si="8"/>
        <v>4</v>
      </c>
      <c r="AD30" s="47" t="e">
        <f t="shared" si="11"/>
        <v>#DIV/0!</v>
      </c>
      <c r="AE30" s="46" t="e">
        <f t="shared" si="11"/>
        <v>#DIV/0!</v>
      </c>
      <c r="AF30" s="45" t="e">
        <f t="shared" si="11"/>
        <v>#DIV/0!</v>
      </c>
      <c r="AG30" s="47" t="e">
        <f t="shared" si="11"/>
        <v>#DIV/0!</v>
      </c>
      <c r="AH30" s="46" t="e">
        <f t="shared" si="11"/>
        <v>#DIV/0!</v>
      </c>
      <c r="AI30" s="46" t="e">
        <f t="shared" si="13"/>
        <v>#DIV/0!</v>
      </c>
      <c r="AJ30" s="46" t="e">
        <f t="shared" si="12"/>
        <v>#DIV/0!</v>
      </c>
      <c r="AK30" s="45" t="e">
        <f t="shared" si="12"/>
        <v>#DIV/0!</v>
      </c>
      <c r="AL30" s="44" t="e">
        <f t="shared" si="10"/>
        <v>#DIV/0!</v>
      </c>
    </row>
    <row r="31" spans="1:38" x14ac:dyDescent="0.35">
      <c r="A31" s="58" t="s">
        <v>46</v>
      </c>
      <c r="B31" s="57">
        <v>4.5</v>
      </c>
      <c r="C31" s="56">
        <v>31.48</v>
      </c>
      <c r="D31" s="55">
        <f t="shared" si="2"/>
        <v>9.2474002702543903</v>
      </c>
      <c r="E31" s="54">
        <f>SUM(D7:D31)</f>
        <v>99.999999999999972</v>
      </c>
      <c r="G31" s="48">
        <f t="shared" si="3"/>
        <v>4.5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59">
        <v>0</v>
      </c>
      <c r="P31" s="50">
        <f t="shared" si="4"/>
        <v>0</v>
      </c>
      <c r="R31" s="48">
        <f t="shared" si="5"/>
        <v>4.5</v>
      </c>
      <c r="S31" s="47" t="e">
        <f t="shared" si="6"/>
        <v>#DIV/0!</v>
      </c>
      <c r="T31" s="46" t="e">
        <f t="shared" si="6"/>
        <v>#DIV/0!</v>
      </c>
      <c r="U31" s="45" t="e">
        <f t="shared" si="6"/>
        <v>#DIV/0!</v>
      </c>
      <c r="V31" s="46" t="e">
        <f t="shared" si="6"/>
        <v>#DIV/0!</v>
      </c>
      <c r="W31" s="46" t="e">
        <f t="shared" si="6"/>
        <v>#DIV/0!</v>
      </c>
      <c r="X31" s="46" t="e">
        <f t="shared" si="6"/>
        <v>#DIV/0!</v>
      </c>
      <c r="Y31" s="46" t="e">
        <f t="shared" si="6"/>
        <v>#DIV/0!</v>
      </c>
      <c r="Z31" s="45" t="e">
        <f t="shared" si="6"/>
        <v>#DIV/0!</v>
      </c>
      <c r="AA31" s="49" t="e">
        <f t="shared" si="7"/>
        <v>#DIV/0!</v>
      </c>
      <c r="AC31" s="48">
        <f t="shared" si="8"/>
        <v>4.5</v>
      </c>
      <c r="AD31" s="47" t="e">
        <f t="shared" si="11"/>
        <v>#DIV/0!</v>
      </c>
      <c r="AE31" s="46" t="e">
        <f t="shared" si="11"/>
        <v>#DIV/0!</v>
      </c>
      <c r="AF31" s="45" t="e">
        <f t="shared" si="11"/>
        <v>#DIV/0!</v>
      </c>
      <c r="AG31" s="47" t="e">
        <f t="shared" si="11"/>
        <v>#DIV/0!</v>
      </c>
      <c r="AH31" s="46" t="e">
        <f t="shared" si="11"/>
        <v>#DIV/0!</v>
      </c>
      <c r="AI31" s="46" t="e">
        <f t="shared" si="13"/>
        <v>#DIV/0!</v>
      </c>
      <c r="AJ31" s="46" t="e">
        <f t="shared" si="12"/>
        <v>#DIV/0!</v>
      </c>
      <c r="AK31" s="45" t="e">
        <f t="shared" si="12"/>
        <v>#DIV/0!</v>
      </c>
      <c r="AL31" s="44" t="e">
        <f t="shared" si="10"/>
        <v>#DIV/0!</v>
      </c>
    </row>
    <row r="32" spans="1:38" x14ac:dyDescent="0.35">
      <c r="A32" s="58" t="s">
        <v>45</v>
      </c>
      <c r="B32" s="57">
        <v>5</v>
      </c>
      <c r="C32" s="56">
        <v>0</v>
      </c>
      <c r="D32" s="55">
        <f t="shared" si="2"/>
        <v>0</v>
      </c>
      <c r="E32" s="54">
        <f>SUM(D7:D32)</f>
        <v>99.999999999999972</v>
      </c>
      <c r="G32" s="48">
        <f t="shared" si="3"/>
        <v>5</v>
      </c>
      <c r="H32" s="53">
        <v>0</v>
      </c>
      <c r="I32" s="52">
        <v>0</v>
      </c>
      <c r="J32" s="51">
        <v>0</v>
      </c>
      <c r="K32" s="52">
        <v>0</v>
      </c>
      <c r="L32" s="52">
        <v>0</v>
      </c>
      <c r="M32" s="52">
        <v>0</v>
      </c>
      <c r="N32" s="52">
        <v>0</v>
      </c>
      <c r="O32" s="51">
        <v>0</v>
      </c>
      <c r="P32" s="50">
        <f t="shared" si="4"/>
        <v>0</v>
      </c>
      <c r="R32" s="48">
        <f t="shared" si="5"/>
        <v>5</v>
      </c>
      <c r="S32" s="47" t="e">
        <f t="shared" si="6"/>
        <v>#DIV/0!</v>
      </c>
      <c r="T32" s="46" t="e">
        <f t="shared" si="6"/>
        <v>#DIV/0!</v>
      </c>
      <c r="U32" s="45" t="e">
        <f t="shared" si="6"/>
        <v>#DIV/0!</v>
      </c>
      <c r="V32" s="46" t="e">
        <f t="shared" si="6"/>
        <v>#DIV/0!</v>
      </c>
      <c r="W32" s="46" t="e">
        <f t="shared" si="6"/>
        <v>#DIV/0!</v>
      </c>
      <c r="X32" s="46" t="e">
        <f t="shared" si="6"/>
        <v>#DIV/0!</v>
      </c>
      <c r="Y32" s="46" t="e">
        <f t="shared" si="6"/>
        <v>#DIV/0!</v>
      </c>
      <c r="Z32" s="45" t="e">
        <f t="shared" si="6"/>
        <v>#DIV/0!</v>
      </c>
      <c r="AA32" s="49" t="e">
        <f t="shared" si="7"/>
        <v>#DIV/0!</v>
      </c>
      <c r="AC32" s="48">
        <f t="shared" si="8"/>
        <v>5</v>
      </c>
      <c r="AD32" s="47" t="e">
        <f t="shared" si="11"/>
        <v>#DIV/0!</v>
      </c>
      <c r="AE32" s="46" t="e">
        <f t="shared" si="11"/>
        <v>#DIV/0!</v>
      </c>
      <c r="AF32" s="45" t="e">
        <f t="shared" si="11"/>
        <v>#DIV/0!</v>
      </c>
      <c r="AG32" s="47" t="e">
        <f t="shared" si="11"/>
        <v>#DIV/0!</v>
      </c>
      <c r="AH32" s="46" t="e">
        <f t="shared" si="11"/>
        <v>#DIV/0!</v>
      </c>
      <c r="AI32" s="46" t="e">
        <f t="shared" si="13"/>
        <v>#DIV/0!</v>
      </c>
      <c r="AJ32" s="46" t="e">
        <f t="shared" si="12"/>
        <v>#DIV/0!</v>
      </c>
      <c r="AK32" s="45" t="e">
        <f t="shared" si="12"/>
        <v>#DIV/0!</v>
      </c>
      <c r="AL32" s="44" t="e">
        <f t="shared" si="10"/>
        <v>#DIV/0!</v>
      </c>
    </row>
    <row r="33" spans="1:38" ht="15" thickBot="1" x14ac:dyDescent="0.4">
      <c r="A33" s="43" t="s">
        <v>44</v>
      </c>
      <c r="B33" s="42" t="s">
        <v>43</v>
      </c>
      <c r="C33" s="41">
        <v>0</v>
      </c>
      <c r="D33" s="40">
        <f t="shared" si="2"/>
        <v>0</v>
      </c>
      <c r="E33" s="39">
        <f>SUM(D7:D33)</f>
        <v>99.999999999999972</v>
      </c>
      <c r="G33" s="33" t="str">
        <f t="shared" si="3"/>
        <v>&gt;6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4"/>
        <v>0</v>
      </c>
      <c r="R33" s="33" t="str">
        <f t="shared" si="5"/>
        <v>&gt;6</v>
      </c>
      <c r="S33" s="32" t="e">
        <f t="shared" si="6"/>
        <v>#DIV/0!</v>
      </c>
      <c r="T33" s="31" t="e">
        <f t="shared" si="6"/>
        <v>#DIV/0!</v>
      </c>
      <c r="U33" s="30" t="e">
        <f t="shared" si="6"/>
        <v>#DIV/0!</v>
      </c>
      <c r="V33" s="31" t="e">
        <f t="shared" si="6"/>
        <v>#DIV/0!</v>
      </c>
      <c r="W33" s="31" t="e">
        <f t="shared" si="6"/>
        <v>#DIV/0!</v>
      </c>
      <c r="X33" s="31" t="e">
        <f t="shared" si="6"/>
        <v>#DIV/0!</v>
      </c>
      <c r="Y33" s="31" t="e">
        <f t="shared" si="6"/>
        <v>#DIV/0!</v>
      </c>
      <c r="Z33" s="30" t="e">
        <f t="shared" si="6"/>
        <v>#DIV/0!</v>
      </c>
      <c r="AA33" s="34" t="e">
        <f t="shared" si="7"/>
        <v>#DIV/0!</v>
      </c>
      <c r="AC33" s="33" t="str">
        <f t="shared" si="8"/>
        <v>&gt;6</v>
      </c>
      <c r="AD33" s="32" t="e">
        <f t="shared" si="11"/>
        <v>#DIV/0!</v>
      </c>
      <c r="AE33" s="31" t="e">
        <f t="shared" si="11"/>
        <v>#DIV/0!</v>
      </c>
      <c r="AF33" s="30" t="e">
        <f t="shared" si="11"/>
        <v>#DIV/0!</v>
      </c>
      <c r="AG33" s="32" t="e">
        <f t="shared" si="11"/>
        <v>#DIV/0!</v>
      </c>
      <c r="AH33" s="31" t="e">
        <f t="shared" si="11"/>
        <v>#DIV/0!</v>
      </c>
      <c r="AI33" s="31" t="e">
        <f t="shared" si="13"/>
        <v>#DIV/0!</v>
      </c>
      <c r="AJ33" s="31" t="e">
        <f t="shared" si="12"/>
        <v>#DIV/0!</v>
      </c>
      <c r="AK33" s="30" t="e">
        <f t="shared" si="12"/>
        <v>#DIV/0!</v>
      </c>
      <c r="AL33" s="29" t="e">
        <f t="shared" si="10"/>
        <v>#DIV/0!</v>
      </c>
    </row>
    <row r="34" spans="1:38" x14ac:dyDescent="0.35">
      <c r="G34" t="s">
        <v>114</v>
      </c>
      <c r="H34">
        <f>SUM(H7:H33)</f>
        <v>190.88</v>
      </c>
      <c r="I34">
        <f t="shared" ref="I34:O34" si="14">SUM(I7:I33)</f>
        <v>46.53</v>
      </c>
      <c r="J34">
        <f t="shared" si="14"/>
        <v>0</v>
      </c>
      <c r="K34">
        <f t="shared" si="14"/>
        <v>5.77</v>
      </c>
      <c r="L34">
        <f t="shared" si="14"/>
        <v>0</v>
      </c>
      <c r="M34">
        <f t="shared" si="14"/>
        <v>0</v>
      </c>
      <c r="N34">
        <f t="shared" si="14"/>
        <v>0</v>
      </c>
      <c r="O34">
        <f t="shared" si="14"/>
        <v>0</v>
      </c>
      <c r="R34" s="28"/>
    </row>
    <row r="40" spans="1:38" x14ac:dyDescent="0.35">
      <c r="H40" s="27"/>
    </row>
    <row r="41" spans="1:38" x14ac:dyDescent="0.35">
      <c r="H41" s="27"/>
    </row>
    <row r="42" spans="1:38" x14ac:dyDescent="0.35">
      <c r="H42" s="27"/>
    </row>
    <row r="56" spans="10:10" x14ac:dyDescent="0.35">
      <c r="J56" s="134"/>
    </row>
    <row r="57" spans="10:10" x14ac:dyDescent="0.35">
      <c r="J57" s="134"/>
    </row>
    <row r="58" spans="10:10" x14ac:dyDescent="0.35">
      <c r="J58" s="134"/>
    </row>
    <row r="59" spans="10:10" x14ac:dyDescent="0.35">
      <c r="J59" s="134"/>
    </row>
    <row r="60" spans="10:10" x14ac:dyDescent="0.35">
      <c r="J60" s="134"/>
    </row>
    <row r="61" spans="10:10" x14ac:dyDescent="0.35">
      <c r="J61" s="134"/>
    </row>
    <row r="62" spans="10:10" x14ac:dyDescent="0.35">
      <c r="J62" s="134"/>
    </row>
    <row r="63" spans="10:10" x14ac:dyDescent="0.35">
      <c r="J63" s="134"/>
    </row>
    <row r="64" spans="10:10" x14ac:dyDescent="0.35">
      <c r="J64" s="134"/>
    </row>
    <row r="65" spans="1:10" x14ac:dyDescent="0.35">
      <c r="J65" s="134"/>
    </row>
    <row r="66" spans="1:10" x14ac:dyDescent="0.35">
      <c r="J66" s="134"/>
    </row>
    <row r="67" spans="1:10" x14ac:dyDescent="0.35">
      <c r="A67" s="5" t="s">
        <v>27</v>
      </c>
      <c r="B67" s="26"/>
      <c r="C67" s="2"/>
      <c r="D67" s="2"/>
      <c r="J67" s="134"/>
    </row>
    <row r="68" spans="1:10" x14ac:dyDescent="0.35">
      <c r="A68" s="25" t="s">
        <v>42</v>
      </c>
      <c r="B68" s="25"/>
      <c r="C68" s="2"/>
      <c r="D68" s="2"/>
      <c r="J68" s="134"/>
    </row>
    <row r="69" spans="1:10" x14ac:dyDescent="0.35">
      <c r="A69" s="24" t="s">
        <v>41</v>
      </c>
      <c r="B69" s="23">
        <v>5</v>
      </c>
      <c r="C69" s="18">
        <f t="shared" ref="C69:C75" si="15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-3.8548162014976173</v>
      </c>
      <c r="D69" s="2"/>
      <c r="J69" s="134"/>
    </row>
    <row r="70" spans="1:10" x14ac:dyDescent="0.35">
      <c r="A70" s="24" t="s">
        <v>41</v>
      </c>
      <c r="B70" s="23">
        <v>16</v>
      </c>
      <c r="C70" s="18">
        <f t="shared" si="15"/>
        <v>-3.2643781942078363</v>
      </c>
      <c r="D70" s="2"/>
      <c r="J70" s="134"/>
    </row>
    <row r="71" spans="1:10" x14ac:dyDescent="0.35">
      <c r="A71" s="24" t="s">
        <v>41</v>
      </c>
      <c r="B71" s="23">
        <v>25</v>
      </c>
      <c r="C71" s="18">
        <f t="shared" si="15"/>
        <v>-2.8760573550649884</v>
      </c>
      <c r="D71" s="2"/>
      <c r="J71" s="134"/>
    </row>
    <row r="72" spans="1:10" x14ac:dyDescent="0.35">
      <c r="A72" s="24" t="s">
        <v>41</v>
      </c>
      <c r="B72" s="23">
        <v>50</v>
      </c>
      <c r="C72" s="18">
        <f t="shared" si="15"/>
        <v>-1.8591433278418446</v>
      </c>
      <c r="D72" s="2"/>
      <c r="J72" s="134"/>
    </row>
    <row r="73" spans="1:10" x14ac:dyDescent="0.35">
      <c r="A73" s="24" t="s">
        <v>41</v>
      </c>
      <c r="B73" s="23">
        <v>75</v>
      </c>
      <c r="C73" s="18">
        <f t="shared" si="15"/>
        <v>-0.27203600248292809</v>
      </c>
      <c r="D73" s="2"/>
      <c r="J73" s="134"/>
    </row>
    <row r="74" spans="1:10" x14ac:dyDescent="0.35">
      <c r="A74" s="24" t="s">
        <v>41</v>
      </c>
      <c r="B74" s="23">
        <v>84</v>
      </c>
      <c r="C74" s="18">
        <f t="shared" si="15"/>
        <v>2.4468965517241581</v>
      </c>
      <c r="D74" s="2"/>
    </row>
    <row r="75" spans="1:10" x14ac:dyDescent="0.35">
      <c r="A75" s="24" t="s">
        <v>41</v>
      </c>
      <c r="B75" s="23">
        <v>95</v>
      </c>
      <c r="C75" s="18">
        <f t="shared" si="15"/>
        <v>4.2296537484116916</v>
      </c>
      <c r="D75" s="2"/>
    </row>
    <row r="76" spans="1:10" x14ac:dyDescent="0.35">
      <c r="A76" s="18"/>
      <c r="B76" s="22"/>
      <c r="C76" s="2"/>
      <c r="D76" s="2"/>
    </row>
    <row r="77" spans="1:10" x14ac:dyDescent="0.35">
      <c r="A77" s="21" t="s">
        <v>40</v>
      </c>
      <c r="B77">
        <f>SUM(C7:C10)/SUM(C7:C33)</f>
        <v>0</v>
      </c>
      <c r="D77" s="19" t="s">
        <v>7</v>
      </c>
      <c r="E77" s="18">
        <f>SUM($D$7:$D$20)</f>
        <v>66.150637447858514</v>
      </c>
    </row>
    <row r="78" spans="1:10" x14ac:dyDescent="0.35">
      <c r="A78" s="20" t="s">
        <v>39</v>
      </c>
      <c r="B78">
        <f>SUM(C11:C20)/SUM(C7:C33)</f>
        <v>0.66150637447858518</v>
      </c>
      <c r="D78" s="19" t="s">
        <v>6</v>
      </c>
      <c r="E78" s="18">
        <f>SUM($D$21:$D$30)</f>
        <v>24.601962281887069</v>
      </c>
    </row>
    <row r="79" spans="1:10" x14ac:dyDescent="0.35">
      <c r="A79" s="20" t="s">
        <v>38</v>
      </c>
      <c r="B79">
        <f>SUM(C21:C33)/SUM(C7:C33)</f>
        <v>0.33849362552141471</v>
      </c>
      <c r="D79" s="19" t="s">
        <v>5</v>
      </c>
      <c r="E79" s="18">
        <f>SUM($D$31:$D$33)</f>
        <v>9.2474002702543903</v>
      </c>
    </row>
    <row r="80" spans="1:10" x14ac:dyDescent="0.35">
      <c r="A80" s="11"/>
      <c r="B80" s="8"/>
      <c r="D80" s="2"/>
      <c r="E80" s="2"/>
    </row>
    <row r="81" spans="1:8" x14ac:dyDescent="0.35">
      <c r="A81" s="16" t="s">
        <v>4</v>
      </c>
      <c r="B81">
        <f>100*SUM(H7:J33)/SUM(P7:P33)</f>
        <v>97.627271979603577</v>
      </c>
      <c r="D81" s="16" t="s">
        <v>4</v>
      </c>
      <c r="E81">
        <f>100*SUM(H7:J33)/SUM(P7:P33)</f>
        <v>97.627271979603577</v>
      </c>
      <c r="G81" s="17" t="s">
        <v>2</v>
      </c>
      <c r="H81">
        <f>100*SUM(H7:H33)/(SUM(P7:P33)-SUM(M7:N33))</f>
        <v>78.493297146146887</v>
      </c>
    </row>
    <row r="82" spans="1:8" x14ac:dyDescent="0.35">
      <c r="A82" s="16" t="s">
        <v>0</v>
      </c>
      <c r="B82">
        <f>100*SUM(K7:L33)/SUM(P7:P33)</f>
        <v>2.3727280203964143</v>
      </c>
      <c r="D82" s="16" t="s">
        <v>0</v>
      </c>
      <c r="E82">
        <f>100*SUM(K7:L33)/SUM(P7:P33)</f>
        <v>2.3727280203964143</v>
      </c>
      <c r="G82" s="17" t="s">
        <v>1</v>
      </c>
      <c r="H82">
        <f>100*SUM(I7:J33)/(SUM(P7:P33)-SUM(M7:N33))</f>
        <v>19.133974833456698</v>
      </c>
    </row>
    <row r="83" spans="1:8" x14ac:dyDescent="0.35">
      <c r="A83" s="16" t="s">
        <v>3</v>
      </c>
      <c r="B83">
        <f>100*SUM(O7:O33)/SUM(P7:P33)</f>
        <v>0</v>
      </c>
      <c r="D83" s="16" t="s">
        <v>37</v>
      </c>
      <c r="E83">
        <f>100*SUM(M7:N33)/SUM(P7:P33)</f>
        <v>0</v>
      </c>
      <c r="G83" s="17" t="s">
        <v>0</v>
      </c>
      <c r="H83">
        <f>100*SUM(K7:L33)/(SUM(P7:P33)-SUM(M7:N33))</f>
        <v>2.3727280203964143</v>
      </c>
    </row>
    <row r="85" spans="1:8" x14ac:dyDescent="0.35">
      <c r="A85" s="16" t="s">
        <v>36</v>
      </c>
      <c r="B85" s="2"/>
      <c r="C85" s="2"/>
      <c r="D85" s="13">
        <f>(C70+C74+C72)/3</f>
        <v>-0.89220832344184087</v>
      </c>
    </row>
    <row r="86" spans="1:8" x14ac:dyDescent="0.35">
      <c r="A86" s="14" t="s">
        <v>35</v>
      </c>
      <c r="B86" s="14"/>
      <c r="C86" s="14"/>
      <c r="D86" s="7">
        <f>C72</f>
        <v>-1.8591433278418446</v>
      </c>
    </row>
    <row r="87" spans="1:8" x14ac:dyDescent="0.35">
      <c r="A87" s="14" t="s">
        <v>34</v>
      </c>
      <c r="B87" s="14"/>
      <c r="C87" s="14"/>
      <c r="D87" s="7">
        <f>(C74-C70)/2</f>
        <v>2.8556373729659974</v>
      </c>
    </row>
    <row r="88" spans="1:8" x14ac:dyDescent="0.35">
      <c r="A88" s="15" t="s">
        <v>33</v>
      </c>
      <c r="B88" s="14"/>
      <c r="C88" s="14"/>
      <c r="D88" s="13">
        <f>(C74+C70-D86)/D87</f>
        <v>0.36477379628781376</v>
      </c>
    </row>
    <row r="89" spans="1:8" x14ac:dyDescent="0.35">
      <c r="A89" s="3" t="s">
        <v>32</v>
      </c>
      <c r="B89" s="12"/>
      <c r="C89" s="11"/>
      <c r="D89" s="7">
        <f>((C74-C70)/4)+((C75-C69)/6.6)</f>
        <v>2.6527383758631968</v>
      </c>
    </row>
    <row r="90" spans="1:8" x14ac:dyDescent="0.35">
      <c r="A90" s="3" t="s">
        <v>31</v>
      </c>
      <c r="B90" s="10"/>
      <c r="C90" s="10"/>
      <c r="D90" s="7">
        <f>((C70+C74-(2*C72))/(2*(C74-C70)))+((C69+C75-(2*C72))/(2*(C75-C69)))</f>
        <v>0.50710159681418587</v>
      </c>
    </row>
    <row r="91" spans="1:8" x14ac:dyDescent="0.35">
      <c r="A91" s="3" t="s">
        <v>30</v>
      </c>
      <c r="B91" s="9"/>
      <c r="C91" s="8"/>
      <c r="D91" s="7">
        <f>(C74-C69)/(2.44*(C73-C71))</f>
        <v>0.99180030094437466</v>
      </c>
    </row>
    <row r="92" spans="1:8" x14ac:dyDescent="0.35">
      <c r="A92" s="6" t="s">
        <v>29</v>
      </c>
      <c r="B92" s="6"/>
      <c r="C92" s="5"/>
      <c r="D92" s="7">
        <f>(C70+C72+C74)/3</f>
        <v>-0.89220832344184098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-0.40874082124183908</v>
      </c>
    </row>
    <row r="95" spans="1:8" x14ac:dyDescent="0.35">
      <c r="A95" s="2" t="s">
        <v>9</v>
      </c>
      <c r="B95" s="2"/>
      <c r="C95" s="2"/>
      <c r="D95" s="1">
        <f>100-E23</f>
        <v>19.71975794606665</v>
      </c>
    </row>
    <row r="96" spans="1:8" x14ac:dyDescent="0.35">
      <c r="A96" s="2" t="s">
        <v>8</v>
      </c>
      <c r="B96" s="2"/>
      <c r="C96" s="2"/>
      <c r="D96" s="1">
        <f>100-E30</f>
        <v>9.2474002702544169</v>
      </c>
    </row>
    <row r="98" spans="1:3" x14ac:dyDescent="0.35">
      <c r="A98" t="s">
        <v>101</v>
      </c>
      <c r="C98" t="str">
        <f>IF(SUM(M7:N33)&gt;0,"Mixed","No Mixed")</f>
        <v>No Mixed</v>
      </c>
    </row>
    <row r="99" spans="1:3" x14ac:dyDescent="0.35">
      <c r="A99" t="s">
        <v>102</v>
      </c>
      <c r="C99" t="str">
        <f>IF(SUM(J7:J33)&gt;0,"Obsidian","No obsidian")</f>
        <v>No obsidian</v>
      </c>
    </row>
  </sheetData>
  <mergeCells count="9">
    <mergeCell ref="V3:Z3"/>
    <mergeCell ref="AD3:AF3"/>
    <mergeCell ref="AG3:AK3"/>
    <mergeCell ref="A2:C2"/>
    <mergeCell ref="D2:E2"/>
    <mergeCell ref="K2:O2"/>
    <mergeCell ref="H3:J3"/>
    <mergeCell ref="K3:O3"/>
    <mergeCell ref="S3:U3"/>
  </mergeCells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L99"/>
  <sheetViews>
    <sheetView zoomScale="63" zoomScaleNormal="100" workbookViewId="0">
      <selection activeCell="K2" sqref="K2:O2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14.1796875" bestFit="1" customWidth="1"/>
    <col min="18" max="18" width="14.1796875" bestFit="1" customWidth="1"/>
    <col min="23" max="23" width="11.453125" customWidth="1"/>
  </cols>
  <sheetData>
    <row r="1" spans="1:38" ht="15" thickBot="1" x14ac:dyDescent="0.4">
      <c r="A1" s="111"/>
      <c r="F1" s="110"/>
    </row>
    <row r="2" spans="1:38" ht="15" thickBot="1" x14ac:dyDescent="0.4">
      <c r="A2" s="157" t="s">
        <v>91</v>
      </c>
      <c r="B2" s="158"/>
      <c r="C2" s="158"/>
      <c r="D2" s="159" t="str">
        <f ca="1">RIGHT(CELL("nomfichier",A1),LEN(CELL("nomfichier",A1))-FIND("]",CELL("nomfichier",A1)))</f>
        <v>MAY190407_2</v>
      </c>
      <c r="E2" s="160"/>
      <c r="G2" s="109" t="s">
        <v>90</v>
      </c>
      <c r="H2" s="108" t="str">
        <f ca="1">D2</f>
        <v>MAY190407_2</v>
      </c>
      <c r="I2" s="108"/>
      <c r="J2" s="107"/>
      <c r="K2" s="161"/>
      <c r="L2" s="162"/>
      <c r="M2" s="162"/>
      <c r="N2" s="162"/>
      <c r="O2" s="163"/>
    </row>
    <row r="3" spans="1:38" ht="15" thickBot="1" x14ac:dyDescent="0.4">
      <c r="A3" s="106"/>
      <c r="B3" s="105"/>
      <c r="C3" s="105"/>
      <c r="D3" s="105"/>
      <c r="E3" s="104"/>
      <c r="G3" s="103"/>
      <c r="H3" s="154" t="s">
        <v>88</v>
      </c>
      <c r="I3" s="155"/>
      <c r="J3" s="156"/>
      <c r="K3" s="154" t="s">
        <v>87</v>
      </c>
      <c r="L3" s="155"/>
      <c r="M3" s="155"/>
      <c r="N3" s="155"/>
      <c r="O3" s="156"/>
      <c r="S3" s="154" t="s">
        <v>88</v>
      </c>
      <c r="T3" s="155"/>
      <c r="U3" s="156"/>
      <c r="V3" s="154" t="s">
        <v>87</v>
      </c>
      <c r="W3" s="155"/>
      <c r="X3" s="155"/>
      <c r="Y3" s="155"/>
      <c r="Z3" s="156"/>
      <c r="AD3" s="154" t="s">
        <v>88</v>
      </c>
      <c r="AE3" s="155"/>
      <c r="AF3" s="156"/>
      <c r="AG3" s="154" t="s">
        <v>87</v>
      </c>
      <c r="AH3" s="155"/>
      <c r="AI3" s="155"/>
      <c r="AJ3" s="155"/>
      <c r="AK3" s="156"/>
    </row>
    <row r="4" spans="1:38" ht="15" thickBot="1" x14ac:dyDescent="0.4">
      <c r="A4" s="102" t="s">
        <v>86</v>
      </c>
      <c r="B4" s="101">
        <f>SUM(C7:C33)</f>
        <v>269.74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77</v>
      </c>
      <c r="P4" s="94" t="s">
        <v>76</v>
      </c>
      <c r="R4" s="97" t="str">
        <f t="shared" ref="R4:Z4" si="0">G4</f>
        <v>Grain size (phi)</v>
      </c>
      <c r="S4" s="95" t="str">
        <f t="shared" si="0"/>
        <v>Pumices</v>
      </c>
      <c r="T4" s="95" t="str">
        <f t="shared" si="0"/>
        <v>Dense juveniles</v>
      </c>
      <c r="U4" s="95" t="str">
        <f t="shared" si="0"/>
        <v>Obsidian</v>
      </c>
      <c r="V4" s="96" t="str">
        <f t="shared" si="0"/>
        <v>Coral fragments</v>
      </c>
      <c r="W4" s="95" t="str">
        <f t="shared" si="0"/>
        <v>Mafic clasts</v>
      </c>
      <c r="X4" s="95" t="str">
        <f t="shared" si="0"/>
        <v>Aggregate</v>
      </c>
      <c r="Y4" s="95" t="str">
        <f t="shared" si="0"/>
        <v>Accretionnary lapilli</v>
      </c>
      <c r="Z4" s="94" t="str">
        <f t="shared" si="0"/>
        <v>Crystals</v>
      </c>
      <c r="AA4" s="94" t="s">
        <v>76</v>
      </c>
      <c r="AC4" s="97" t="str">
        <f t="shared" ref="AC4:AK4" si="1">R4</f>
        <v>Grain size (phi)</v>
      </c>
      <c r="AD4" s="95" t="str">
        <f t="shared" si="1"/>
        <v>Pumices</v>
      </c>
      <c r="AE4" s="95" t="str">
        <f t="shared" si="1"/>
        <v>Dense juveniles</v>
      </c>
      <c r="AF4" s="95" t="str">
        <f t="shared" si="1"/>
        <v>Obsidian</v>
      </c>
      <c r="AG4" s="96" t="str">
        <f t="shared" si="1"/>
        <v>Coral fragments</v>
      </c>
      <c r="AH4" s="95" t="str">
        <f t="shared" si="1"/>
        <v>Mafic clasts</v>
      </c>
      <c r="AI4" s="95" t="str">
        <f t="shared" si="1"/>
        <v>Aggregate</v>
      </c>
      <c r="AJ4" s="95" t="str">
        <f t="shared" si="1"/>
        <v>Accretionnary lapilli</v>
      </c>
      <c r="AK4" s="94" t="str">
        <f t="shared" si="1"/>
        <v>Crystals</v>
      </c>
      <c r="AL4" s="94" t="s">
        <v>76</v>
      </c>
    </row>
    <row r="5" spans="1:38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R5" s="77"/>
      <c r="S5" s="85"/>
      <c r="T5" s="84"/>
      <c r="U5" s="83"/>
      <c r="V5" s="84"/>
      <c r="W5" s="84"/>
      <c r="X5" s="84"/>
      <c r="Y5" s="84"/>
      <c r="Z5" s="83"/>
      <c r="AA5" s="82"/>
      <c r="AC5" s="77"/>
      <c r="AD5" s="85"/>
      <c r="AE5" s="84"/>
      <c r="AF5" s="83"/>
      <c r="AG5" s="85"/>
      <c r="AH5" s="84"/>
      <c r="AI5" s="84"/>
      <c r="AJ5" s="84"/>
      <c r="AK5" s="83"/>
      <c r="AL5" s="82"/>
    </row>
    <row r="6" spans="1:38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R6" s="77"/>
      <c r="S6" s="77"/>
      <c r="U6" s="76"/>
      <c r="Z6" s="76"/>
      <c r="AA6" s="49"/>
      <c r="AC6" s="77"/>
      <c r="AD6" s="77"/>
      <c r="AF6" s="76"/>
      <c r="AG6" s="77"/>
      <c r="AK6" s="76"/>
      <c r="AL6" s="49"/>
    </row>
    <row r="7" spans="1:38" x14ac:dyDescent="0.35">
      <c r="A7" s="75" t="s">
        <v>70</v>
      </c>
      <c r="B7" s="74">
        <v>-7.5</v>
      </c>
      <c r="C7" s="72">
        <v>0</v>
      </c>
      <c r="D7" s="55">
        <f t="shared" ref="D7:D33" si="2">(C7/SUM($C$7:$C$33))*100</f>
        <v>0</v>
      </c>
      <c r="E7" s="73">
        <v>0</v>
      </c>
      <c r="G7" s="48">
        <f t="shared" ref="G7:G33" si="3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4">SUM(H7:O7)</f>
        <v>0</v>
      </c>
      <c r="R7" s="48">
        <f t="shared" ref="R7:R33" si="5">G7</f>
        <v>-7.5</v>
      </c>
      <c r="S7" s="47" t="e">
        <f t="shared" ref="S7:Z33" si="6">100*H7/$P7</f>
        <v>#DIV/0!</v>
      </c>
      <c r="T7" s="46" t="e">
        <f t="shared" si="6"/>
        <v>#DIV/0!</v>
      </c>
      <c r="U7" s="45" t="e">
        <f t="shared" si="6"/>
        <v>#DIV/0!</v>
      </c>
      <c r="V7" s="46" t="e">
        <f t="shared" si="6"/>
        <v>#DIV/0!</v>
      </c>
      <c r="W7" s="46" t="e">
        <f t="shared" si="6"/>
        <v>#DIV/0!</v>
      </c>
      <c r="X7" s="46" t="e">
        <f t="shared" si="6"/>
        <v>#DIV/0!</v>
      </c>
      <c r="Y7" s="46" t="e">
        <f t="shared" si="6"/>
        <v>#DIV/0!</v>
      </c>
      <c r="Z7" s="45" t="e">
        <f t="shared" si="6"/>
        <v>#DIV/0!</v>
      </c>
      <c r="AA7" s="49" t="e">
        <f t="shared" ref="AA7:AA33" si="7">SUM(S7:Z7)</f>
        <v>#DIV/0!</v>
      </c>
      <c r="AC7" s="48">
        <f t="shared" ref="AC7:AC33" si="8">R7</f>
        <v>-7.5</v>
      </c>
      <c r="AD7" s="47" t="e">
        <f t="shared" ref="AD7:AK14" si="9">S7*100/(SUM($S7:$W7)+SUM($Y7:$Z7))</f>
        <v>#DIV/0!</v>
      </c>
      <c r="AE7" s="46" t="e">
        <f t="shared" si="9"/>
        <v>#DIV/0!</v>
      </c>
      <c r="AF7" s="45" t="e">
        <f t="shared" si="9"/>
        <v>#DIV/0!</v>
      </c>
      <c r="AG7" s="47" t="e">
        <f t="shared" si="9"/>
        <v>#DIV/0!</v>
      </c>
      <c r="AH7" s="46" t="e">
        <f t="shared" si="9"/>
        <v>#DIV/0!</v>
      </c>
      <c r="AI7" s="46" t="e">
        <f t="shared" si="9"/>
        <v>#DIV/0!</v>
      </c>
      <c r="AJ7" s="46" t="e">
        <f t="shared" si="9"/>
        <v>#DIV/0!</v>
      </c>
      <c r="AK7" s="45" t="e">
        <f t="shared" si="9"/>
        <v>#DIV/0!</v>
      </c>
      <c r="AL7" s="44" t="e">
        <f t="shared" ref="AL7:AL33" si="10">SUM(AD7:AK7)</f>
        <v>#DIV/0!</v>
      </c>
    </row>
    <row r="8" spans="1:38" x14ac:dyDescent="0.35">
      <c r="A8" s="58" t="s">
        <v>69</v>
      </c>
      <c r="B8" s="57">
        <v>-7</v>
      </c>
      <c r="C8" s="72">
        <v>0</v>
      </c>
      <c r="D8" s="55">
        <f t="shared" si="2"/>
        <v>0</v>
      </c>
      <c r="E8" s="73">
        <f>SUM(D6,D8)</f>
        <v>0</v>
      </c>
      <c r="G8" s="48">
        <f t="shared" si="3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4"/>
        <v>0</v>
      </c>
      <c r="R8" s="48">
        <f t="shared" si="5"/>
        <v>-7</v>
      </c>
      <c r="S8" s="47" t="e">
        <f t="shared" si="6"/>
        <v>#DIV/0!</v>
      </c>
      <c r="T8" s="46" t="e">
        <f t="shared" si="6"/>
        <v>#DIV/0!</v>
      </c>
      <c r="U8" s="45" t="e">
        <f t="shared" si="6"/>
        <v>#DIV/0!</v>
      </c>
      <c r="V8" s="46" t="e">
        <f t="shared" si="6"/>
        <v>#DIV/0!</v>
      </c>
      <c r="W8" s="46" t="e">
        <f t="shared" si="6"/>
        <v>#DIV/0!</v>
      </c>
      <c r="X8" s="46" t="e">
        <f t="shared" si="6"/>
        <v>#DIV/0!</v>
      </c>
      <c r="Y8" s="46" t="e">
        <f t="shared" si="6"/>
        <v>#DIV/0!</v>
      </c>
      <c r="Z8" s="45" t="e">
        <f t="shared" si="6"/>
        <v>#DIV/0!</v>
      </c>
      <c r="AA8" s="49" t="e">
        <f t="shared" si="7"/>
        <v>#DIV/0!</v>
      </c>
      <c r="AC8" s="48">
        <f t="shared" si="8"/>
        <v>-7</v>
      </c>
      <c r="AD8" s="47" t="e">
        <f t="shared" si="9"/>
        <v>#DIV/0!</v>
      </c>
      <c r="AE8" s="46" t="e">
        <f t="shared" si="9"/>
        <v>#DIV/0!</v>
      </c>
      <c r="AF8" s="45" t="e">
        <f t="shared" si="9"/>
        <v>#DIV/0!</v>
      </c>
      <c r="AG8" s="47" t="e">
        <f t="shared" si="9"/>
        <v>#DIV/0!</v>
      </c>
      <c r="AH8" s="46" t="e">
        <f t="shared" si="9"/>
        <v>#DIV/0!</v>
      </c>
      <c r="AI8" s="46" t="e">
        <f t="shared" si="9"/>
        <v>#DIV/0!</v>
      </c>
      <c r="AJ8" s="46" t="e">
        <f t="shared" si="9"/>
        <v>#DIV/0!</v>
      </c>
      <c r="AK8" s="45" t="e">
        <f t="shared" si="9"/>
        <v>#DIV/0!</v>
      </c>
      <c r="AL8" s="44" t="e">
        <f t="shared" si="10"/>
        <v>#DIV/0!</v>
      </c>
    </row>
    <row r="9" spans="1:38" x14ac:dyDescent="0.35">
      <c r="A9" s="58" t="s">
        <v>68</v>
      </c>
      <c r="B9" s="57">
        <v>-6.5</v>
      </c>
      <c r="C9" s="72">
        <v>0</v>
      </c>
      <c r="D9" s="55">
        <f t="shared" si="2"/>
        <v>0</v>
      </c>
      <c r="E9" s="73">
        <f>SUM(D6:D9)</f>
        <v>0</v>
      </c>
      <c r="G9" s="48">
        <f t="shared" si="3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4"/>
        <v>0</v>
      </c>
      <c r="R9" s="48">
        <f t="shared" si="5"/>
        <v>-6.5</v>
      </c>
      <c r="S9" s="47" t="e">
        <f t="shared" si="6"/>
        <v>#DIV/0!</v>
      </c>
      <c r="T9" s="46" t="e">
        <f t="shared" si="6"/>
        <v>#DIV/0!</v>
      </c>
      <c r="U9" s="45" t="e">
        <f t="shared" si="6"/>
        <v>#DIV/0!</v>
      </c>
      <c r="V9" s="46" t="e">
        <f t="shared" si="6"/>
        <v>#DIV/0!</v>
      </c>
      <c r="W9" s="46" t="e">
        <f t="shared" si="6"/>
        <v>#DIV/0!</v>
      </c>
      <c r="X9" s="46" t="e">
        <f t="shared" si="6"/>
        <v>#DIV/0!</v>
      </c>
      <c r="Y9" s="46" t="e">
        <f t="shared" si="6"/>
        <v>#DIV/0!</v>
      </c>
      <c r="Z9" s="45" t="e">
        <f t="shared" si="6"/>
        <v>#DIV/0!</v>
      </c>
      <c r="AA9" s="49" t="e">
        <f t="shared" si="7"/>
        <v>#DIV/0!</v>
      </c>
      <c r="AC9" s="48">
        <f t="shared" si="8"/>
        <v>-6.5</v>
      </c>
      <c r="AD9" s="47" t="e">
        <f t="shared" si="9"/>
        <v>#DIV/0!</v>
      </c>
      <c r="AE9" s="46" t="e">
        <f t="shared" si="9"/>
        <v>#DIV/0!</v>
      </c>
      <c r="AF9" s="45" t="e">
        <f t="shared" si="9"/>
        <v>#DIV/0!</v>
      </c>
      <c r="AG9" s="47" t="e">
        <f t="shared" si="9"/>
        <v>#DIV/0!</v>
      </c>
      <c r="AH9" s="46" t="e">
        <f t="shared" si="9"/>
        <v>#DIV/0!</v>
      </c>
      <c r="AI9" s="46" t="e">
        <f t="shared" si="9"/>
        <v>#DIV/0!</v>
      </c>
      <c r="AJ9" s="46" t="e">
        <f t="shared" si="9"/>
        <v>#DIV/0!</v>
      </c>
      <c r="AK9" s="45" t="e">
        <f t="shared" si="9"/>
        <v>#DIV/0!</v>
      </c>
      <c r="AL9" s="44" t="e">
        <f t="shared" si="10"/>
        <v>#DIV/0!</v>
      </c>
    </row>
    <row r="10" spans="1:38" x14ac:dyDescent="0.35">
      <c r="A10" s="58" t="s">
        <v>67</v>
      </c>
      <c r="B10" s="57">
        <v>-6</v>
      </c>
      <c r="C10" s="72">
        <v>0</v>
      </c>
      <c r="D10" s="55">
        <f t="shared" si="2"/>
        <v>0</v>
      </c>
      <c r="E10" s="54">
        <f>SUM(D6:D10)</f>
        <v>0</v>
      </c>
      <c r="G10" s="48">
        <f t="shared" si="3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4"/>
        <v>0</v>
      </c>
      <c r="R10" s="48">
        <f t="shared" si="5"/>
        <v>-6</v>
      </c>
      <c r="S10" s="47" t="e">
        <f t="shared" si="6"/>
        <v>#DIV/0!</v>
      </c>
      <c r="T10" s="46" t="e">
        <f t="shared" si="6"/>
        <v>#DIV/0!</v>
      </c>
      <c r="U10" s="45" t="e">
        <f t="shared" si="6"/>
        <v>#DIV/0!</v>
      </c>
      <c r="V10" s="46" t="e">
        <f t="shared" si="6"/>
        <v>#DIV/0!</v>
      </c>
      <c r="W10" s="46" t="e">
        <f t="shared" si="6"/>
        <v>#DIV/0!</v>
      </c>
      <c r="X10" s="46" t="e">
        <f t="shared" si="6"/>
        <v>#DIV/0!</v>
      </c>
      <c r="Y10" s="46" t="e">
        <f t="shared" si="6"/>
        <v>#DIV/0!</v>
      </c>
      <c r="Z10" s="45" t="e">
        <f t="shared" si="6"/>
        <v>#DIV/0!</v>
      </c>
      <c r="AA10" s="49" t="e">
        <f t="shared" si="7"/>
        <v>#DIV/0!</v>
      </c>
      <c r="AC10" s="48">
        <f t="shared" si="8"/>
        <v>-6</v>
      </c>
      <c r="AD10" s="47" t="e">
        <f t="shared" si="9"/>
        <v>#DIV/0!</v>
      </c>
      <c r="AE10" s="46" t="e">
        <f t="shared" si="9"/>
        <v>#DIV/0!</v>
      </c>
      <c r="AF10" s="45" t="e">
        <f t="shared" si="9"/>
        <v>#DIV/0!</v>
      </c>
      <c r="AG10" s="47" t="e">
        <f t="shared" si="9"/>
        <v>#DIV/0!</v>
      </c>
      <c r="AH10" s="46" t="e">
        <f t="shared" si="9"/>
        <v>#DIV/0!</v>
      </c>
      <c r="AI10" s="46" t="e">
        <f t="shared" si="9"/>
        <v>#DIV/0!</v>
      </c>
      <c r="AJ10" s="46" t="e">
        <f t="shared" si="9"/>
        <v>#DIV/0!</v>
      </c>
      <c r="AK10" s="45" t="e">
        <f t="shared" si="9"/>
        <v>#DIV/0!</v>
      </c>
      <c r="AL10" s="44" t="e">
        <f t="shared" si="10"/>
        <v>#DIV/0!</v>
      </c>
    </row>
    <row r="11" spans="1:38" x14ac:dyDescent="0.35">
      <c r="A11" s="58" t="s">
        <v>66</v>
      </c>
      <c r="B11" s="57">
        <v>-5.5</v>
      </c>
      <c r="C11" s="62">
        <v>0</v>
      </c>
      <c r="D11" s="55">
        <f t="shared" si="2"/>
        <v>0</v>
      </c>
      <c r="E11" s="54">
        <f>SUM(D6:D11)</f>
        <v>0</v>
      </c>
      <c r="G11" s="48">
        <f t="shared" si="3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50">
        <f t="shared" si="4"/>
        <v>0</v>
      </c>
      <c r="R11" s="48">
        <f t="shared" si="5"/>
        <v>-5.5</v>
      </c>
      <c r="S11" s="47" t="e">
        <f t="shared" si="6"/>
        <v>#DIV/0!</v>
      </c>
      <c r="T11" s="46" t="e">
        <f t="shared" si="6"/>
        <v>#DIV/0!</v>
      </c>
      <c r="U11" s="45" t="e">
        <f t="shared" si="6"/>
        <v>#DIV/0!</v>
      </c>
      <c r="V11" s="46" t="e">
        <f t="shared" si="6"/>
        <v>#DIV/0!</v>
      </c>
      <c r="W11" s="46" t="e">
        <f t="shared" si="6"/>
        <v>#DIV/0!</v>
      </c>
      <c r="X11" s="46" t="e">
        <f t="shared" si="6"/>
        <v>#DIV/0!</v>
      </c>
      <c r="Y11" s="46" t="e">
        <f t="shared" si="6"/>
        <v>#DIV/0!</v>
      </c>
      <c r="Z11" s="45" t="e">
        <f t="shared" si="6"/>
        <v>#DIV/0!</v>
      </c>
      <c r="AA11" s="49" t="e">
        <f t="shared" si="7"/>
        <v>#DIV/0!</v>
      </c>
      <c r="AC11" s="48">
        <f t="shared" si="8"/>
        <v>-5.5</v>
      </c>
      <c r="AD11" s="47" t="e">
        <f t="shared" si="9"/>
        <v>#DIV/0!</v>
      </c>
      <c r="AE11" s="46" t="e">
        <f t="shared" si="9"/>
        <v>#DIV/0!</v>
      </c>
      <c r="AF11" s="45" t="e">
        <f t="shared" si="9"/>
        <v>#DIV/0!</v>
      </c>
      <c r="AG11" s="47" t="e">
        <f t="shared" si="9"/>
        <v>#DIV/0!</v>
      </c>
      <c r="AH11" s="46" t="e">
        <f t="shared" si="9"/>
        <v>#DIV/0!</v>
      </c>
      <c r="AI11" s="46" t="e">
        <f t="shared" si="9"/>
        <v>#DIV/0!</v>
      </c>
      <c r="AJ11" s="46" t="e">
        <f t="shared" si="9"/>
        <v>#DIV/0!</v>
      </c>
      <c r="AK11" s="45" t="e">
        <f t="shared" si="9"/>
        <v>#DIV/0!</v>
      </c>
      <c r="AL11" s="44" t="e">
        <f t="shared" si="10"/>
        <v>#DIV/0!</v>
      </c>
    </row>
    <row r="12" spans="1:38" x14ac:dyDescent="0.35">
      <c r="A12" s="58" t="s">
        <v>65</v>
      </c>
      <c r="B12" s="57">
        <v>-5</v>
      </c>
      <c r="C12" s="62">
        <v>0</v>
      </c>
      <c r="D12" s="55">
        <f t="shared" si="2"/>
        <v>0</v>
      </c>
      <c r="E12" s="54">
        <f>SUM(D6:D12)</f>
        <v>0</v>
      </c>
      <c r="G12" s="48">
        <f t="shared" si="3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50">
        <f t="shared" si="4"/>
        <v>0</v>
      </c>
      <c r="R12" s="48">
        <f t="shared" si="5"/>
        <v>-5</v>
      </c>
      <c r="S12" s="47" t="e">
        <f t="shared" si="6"/>
        <v>#DIV/0!</v>
      </c>
      <c r="T12" s="46" t="e">
        <f t="shared" si="6"/>
        <v>#DIV/0!</v>
      </c>
      <c r="U12" s="45" t="e">
        <f t="shared" si="6"/>
        <v>#DIV/0!</v>
      </c>
      <c r="V12" s="46" t="e">
        <f t="shared" si="6"/>
        <v>#DIV/0!</v>
      </c>
      <c r="W12" s="46" t="e">
        <f t="shared" si="6"/>
        <v>#DIV/0!</v>
      </c>
      <c r="X12" s="46" t="e">
        <f t="shared" si="6"/>
        <v>#DIV/0!</v>
      </c>
      <c r="Y12" s="46" t="e">
        <f t="shared" si="6"/>
        <v>#DIV/0!</v>
      </c>
      <c r="Z12" s="45" t="e">
        <f t="shared" si="6"/>
        <v>#DIV/0!</v>
      </c>
      <c r="AA12" s="49" t="e">
        <f t="shared" si="7"/>
        <v>#DIV/0!</v>
      </c>
      <c r="AC12" s="48">
        <f t="shared" si="8"/>
        <v>-5</v>
      </c>
      <c r="AD12" s="47" t="e">
        <f t="shared" si="9"/>
        <v>#DIV/0!</v>
      </c>
      <c r="AE12" s="46" t="e">
        <f t="shared" si="9"/>
        <v>#DIV/0!</v>
      </c>
      <c r="AF12" s="45" t="e">
        <f t="shared" si="9"/>
        <v>#DIV/0!</v>
      </c>
      <c r="AG12" s="47" t="e">
        <f t="shared" si="9"/>
        <v>#DIV/0!</v>
      </c>
      <c r="AH12" s="46" t="e">
        <f t="shared" si="9"/>
        <v>#DIV/0!</v>
      </c>
      <c r="AI12" s="46" t="e">
        <f t="shared" si="9"/>
        <v>#DIV/0!</v>
      </c>
      <c r="AJ12" s="46" t="e">
        <f t="shared" si="9"/>
        <v>#DIV/0!</v>
      </c>
      <c r="AK12" s="45" t="e">
        <f t="shared" si="9"/>
        <v>#DIV/0!</v>
      </c>
      <c r="AL12" s="44" t="e">
        <f t="shared" si="10"/>
        <v>#DIV/0!</v>
      </c>
    </row>
    <row r="13" spans="1:38" x14ac:dyDescent="0.35">
      <c r="A13" s="58" t="s">
        <v>64</v>
      </c>
      <c r="B13" s="57">
        <v>-4.5</v>
      </c>
      <c r="C13" s="62">
        <v>0</v>
      </c>
      <c r="D13" s="55">
        <f t="shared" si="2"/>
        <v>0</v>
      </c>
      <c r="E13" s="54">
        <f>SUM(D7:D13)</f>
        <v>0</v>
      </c>
      <c r="G13" s="48">
        <f t="shared" si="3"/>
        <v>-4.5</v>
      </c>
      <c r="H13" s="61">
        <v>0</v>
      </c>
      <c r="I13" s="60">
        <v>0</v>
      </c>
      <c r="J13" s="59">
        <v>0</v>
      </c>
      <c r="K13" s="60">
        <v>0</v>
      </c>
      <c r="L13" s="60">
        <v>0</v>
      </c>
      <c r="M13" s="60">
        <v>0</v>
      </c>
      <c r="N13" s="60">
        <v>0</v>
      </c>
      <c r="O13" s="60">
        <v>0</v>
      </c>
      <c r="P13" s="50">
        <f t="shared" si="4"/>
        <v>0</v>
      </c>
      <c r="R13" s="48">
        <f t="shared" si="5"/>
        <v>-4.5</v>
      </c>
      <c r="S13" s="47" t="e">
        <f t="shared" si="6"/>
        <v>#DIV/0!</v>
      </c>
      <c r="T13" s="46" t="e">
        <f t="shared" si="6"/>
        <v>#DIV/0!</v>
      </c>
      <c r="U13" s="45" t="e">
        <f t="shared" si="6"/>
        <v>#DIV/0!</v>
      </c>
      <c r="V13" s="46" t="e">
        <f t="shared" si="6"/>
        <v>#DIV/0!</v>
      </c>
      <c r="W13" s="46" t="e">
        <f t="shared" si="6"/>
        <v>#DIV/0!</v>
      </c>
      <c r="X13" s="46" t="e">
        <f t="shared" si="6"/>
        <v>#DIV/0!</v>
      </c>
      <c r="Y13" s="46" t="e">
        <f t="shared" si="6"/>
        <v>#DIV/0!</v>
      </c>
      <c r="Z13" s="45" t="e">
        <f t="shared" si="6"/>
        <v>#DIV/0!</v>
      </c>
      <c r="AA13" s="49" t="e">
        <f t="shared" si="7"/>
        <v>#DIV/0!</v>
      </c>
      <c r="AC13" s="48">
        <f t="shared" si="8"/>
        <v>-4.5</v>
      </c>
      <c r="AD13" s="47" t="e">
        <f t="shared" si="9"/>
        <v>#DIV/0!</v>
      </c>
      <c r="AE13" s="46" t="e">
        <f t="shared" si="9"/>
        <v>#DIV/0!</v>
      </c>
      <c r="AF13" s="45" t="e">
        <f t="shared" si="9"/>
        <v>#DIV/0!</v>
      </c>
      <c r="AG13" s="47" t="e">
        <f t="shared" si="9"/>
        <v>#DIV/0!</v>
      </c>
      <c r="AH13" s="46" t="e">
        <f t="shared" si="9"/>
        <v>#DIV/0!</v>
      </c>
      <c r="AI13" s="46" t="e">
        <f t="shared" si="9"/>
        <v>#DIV/0!</v>
      </c>
      <c r="AJ13" s="46" t="e">
        <f t="shared" si="9"/>
        <v>#DIV/0!</v>
      </c>
      <c r="AK13" s="45" t="e">
        <f t="shared" si="9"/>
        <v>#DIV/0!</v>
      </c>
      <c r="AL13" s="44" t="e">
        <f t="shared" si="10"/>
        <v>#DIV/0!</v>
      </c>
    </row>
    <row r="14" spans="1:38" x14ac:dyDescent="0.35">
      <c r="A14" s="58" t="s">
        <v>63</v>
      </c>
      <c r="B14" s="57">
        <v>-4</v>
      </c>
      <c r="C14" s="62">
        <v>0</v>
      </c>
      <c r="D14" s="55">
        <f t="shared" si="2"/>
        <v>0</v>
      </c>
      <c r="E14" s="54">
        <f>SUM(D8:D14)</f>
        <v>0</v>
      </c>
      <c r="G14" s="48">
        <f t="shared" si="3"/>
        <v>-4</v>
      </c>
      <c r="H14" s="61">
        <v>0</v>
      </c>
      <c r="I14" s="60">
        <v>0</v>
      </c>
      <c r="J14" s="59">
        <v>0</v>
      </c>
      <c r="K14" s="60">
        <v>0</v>
      </c>
      <c r="L14" s="60">
        <v>0</v>
      </c>
      <c r="M14" s="60">
        <v>0</v>
      </c>
      <c r="N14" s="60">
        <v>0</v>
      </c>
      <c r="O14" s="60">
        <v>0</v>
      </c>
      <c r="P14" s="50">
        <f t="shared" si="4"/>
        <v>0</v>
      </c>
      <c r="R14" s="48">
        <f t="shared" si="5"/>
        <v>-4</v>
      </c>
      <c r="S14" s="47" t="e">
        <f t="shared" si="6"/>
        <v>#DIV/0!</v>
      </c>
      <c r="T14" s="46" t="e">
        <f t="shared" si="6"/>
        <v>#DIV/0!</v>
      </c>
      <c r="U14" s="45" t="e">
        <f t="shared" si="6"/>
        <v>#DIV/0!</v>
      </c>
      <c r="V14" s="46" t="e">
        <f t="shared" si="6"/>
        <v>#DIV/0!</v>
      </c>
      <c r="W14" s="46" t="e">
        <f t="shared" si="6"/>
        <v>#DIV/0!</v>
      </c>
      <c r="X14" s="46" t="e">
        <f t="shared" si="6"/>
        <v>#DIV/0!</v>
      </c>
      <c r="Y14" s="46" t="e">
        <f t="shared" si="6"/>
        <v>#DIV/0!</v>
      </c>
      <c r="Z14" s="45" t="e">
        <f t="shared" si="6"/>
        <v>#DIV/0!</v>
      </c>
      <c r="AA14" s="49" t="e">
        <f t="shared" si="7"/>
        <v>#DIV/0!</v>
      </c>
      <c r="AC14" s="48">
        <f t="shared" si="8"/>
        <v>-4</v>
      </c>
      <c r="AD14" s="47" t="e">
        <f t="shared" si="9"/>
        <v>#DIV/0!</v>
      </c>
      <c r="AE14" s="46" t="e">
        <f t="shared" si="9"/>
        <v>#DIV/0!</v>
      </c>
      <c r="AF14" s="45" t="e">
        <f t="shared" si="9"/>
        <v>#DIV/0!</v>
      </c>
      <c r="AG14" s="47" t="e">
        <f t="shared" si="9"/>
        <v>#DIV/0!</v>
      </c>
      <c r="AH14" s="46" t="e">
        <f t="shared" si="9"/>
        <v>#DIV/0!</v>
      </c>
      <c r="AI14" s="46" t="e">
        <f t="shared" si="9"/>
        <v>#DIV/0!</v>
      </c>
      <c r="AJ14" s="46" t="e">
        <f t="shared" si="9"/>
        <v>#DIV/0!</v>
      </c>
      <c r="AK14" s="45" t="e">
        <f t="shared" si="9"/>
        <v>#DIV/0!</v>
      </c>
      <c r="AL14" s="44" t="e">
        <f t="shared" si="10"/>
        <v>#DIV/0!</v>
      </c>
    </row>
    <row r="15" spans="1:38" x14ac:dyDescent="0.35">
      <c r="A15" s="58" t="s">
        <v>62</v>
      </c>
      <c r="B15" s="57">
        <v>-3.5</v>
      </c>
      <c r="C15" s="62">
        <v>1.9</v>
      </c>
      <c r="D15" s="55">
        <f t="shared" si="2"/>
        <v>0.70438199747905383</v>
      </c>
      <c r="E15" s="54">
        <f>SUM(D6:D15)</f>
        <v>0.70438199747905383</v>
      </c>
      <c r="G15" s="48">
        <f t="shared" si="3"/>
        <v>-3.5</v>
      </c>
      <c r="H15" s="61">
        <v>0.8</v>
      </c>
      <c r="I15" s="60">
        <v>0</v>
      </c>
      <c r="J15" s="59">
        <v>0</v>
      </c>
      <c r="K15" s="60">
        <v>0</v>
      </c>
      <c r="L15" s="60">
        <v>0</v>
      </c>
      <c r="M15" s="60">
        <v>0</v>
      </c>
      <c r="N15" s="60">
        <v>1.1000000000000001</v>
      </c>
      <c r="O15" s="59">
        <v>0</v>
      </c>
      <c r="P15" s="50">
        <f t="shared" si="4"/>
        <v>1.9000000000000001</v>
      </c>
      <c r="R15" s="48">
        <f t="shared" si="5"/>
        <v>-3.5</v>
      </c>
      <c r="S15" s="67">
        <f t="shared" si="6"/>
        <v>42.105263157894733</v>
      </c>
      <c r="T15" s="66">
        <f t="shared" si="6"/>
        <v>0</v>
      </c>
      <c r="U15" s="65">
        <f t="shared" si="6"/>
        <v>0</v>
      </c>
      <c r="V15" s="66">
        <f t="shared" si="6"/>
        <v>0</v>
      </c>
      <c r="W15" s="66">
        <f t="shared" si="6"/>
        <v>0</v>
      </c>
      <c r="X15" s="66">
        <f t="shared" si="6"/>
        <v>0</v>
      </c>
      <c r="Y15" s="66">
        <f t="shared" si="6"/>
        <v>57.894736842105267</v>
      </c>
      <c r="Z15" s="65">
        <f t="shared" si="6"/>
        <v>0</v>
      </c>
      <c r="AA15" s="50">
        <f t="shared" si="7"/>
        <v>100</v>
      </c>
      <c r="AC15" s="48">
        <f t="shared" si="8"/>
        <v>-3.5</v>
      </c>
      <c r="AD15" s="67">
        <f t="shared" ref="AD15:AH33" si="11">S15*100/(SUM($S15:$W15)+SUM($Y15:$Z15))</f>
        <v>42.105263157894733</v>
      </c>
      <c r="AE15" s="66">
        <f t="shared" si="11"/>
        <v>0</v>
      </c>
      <c r="AF15" s="65">
        <f t="shared" si="11"/>
        <v>0</v>
      </c>
      <c r="AG15" s="67">
        <f t="shared" si="11"/>
        <v>0</v>
      </c>
      <c r="AH15" s="66">
        <f t="shared" si="11"/>
        <v>0</v>
      </c>
      <c r="AI15" s="66">
        <v>0</v>
      </c>
      <c r="AJ15" s="66">
        <f t="shared" ref="AJ15:AK33" si="12">Y15*100/(SUM($S15:$W15)+SUM($Y15:$Z15))</f>
        <v>57.894736842105267</v>
      </c>
      <c r="AK15" s="65">
        <f t="shared" si="12"/>
        <v>0</v>
      </c>
      <c r="AL15" s="64">
        <f t="shared" si="10"/>
        <v>100</v>
      </c>
    </row>
    <row r="16" spans="1:38" x14ac:dyDescent="0.35">
      <c r="A16" s="71" t="s">
        <v>61</v>
      </c>
      <c r="B16" s="57">
        <v>-3</v>
      </c>
      <c r="C16" s="62">
        <v>28.2</v>
      </c>
      <c r="D16" s="55">
        <f t="shared" si="2"/>
        <v>10.454511752057536</v>
      </c>
      <c r="E16" s="54">
        <f>SUM(D6:D16)</f>
        <v>11.15889374953659</v>
      </c>
      <c r="G16" s="48">
        <f t="shared" si="3"/>
        <v>-3</v>
      </c>
      <c r="H16" s="61">
        <v>1.9</v>
      </c>
      <c r="I16" s="60">
        <v>0.1</v>
      </c>
      <c r="J16" s="59">
        <v>0</v>
      </c>
      <c r="K16" s="60">
        <v>0</v>
      </c>
      <c r="L16" s="60">
        <v>1.3</v>
      </c>
      <c r="M16" s="60">
        <v>22.3</v>
      </c>
      <c r="N16" s="60">
        <v>1.5</v>
      </c>
      <c r="O16" s="59">
        <v>0</v>
      </c>
      <c r="P16" s="50">
        <f t="shared" si="4"/>
        <v>27.1</v>
      </c>
      <c r="R16" s="48">
        <f t="shared" si="5"/>
        <v>-3</v>
      </c>
      <c r="S16" s="67">
        <f t="shared" si="6"/>
        <v>7.0110701107011071</v>
      </c>
      <c r="T16" s="66">
        <f t="shared" si="6"/>
        <v>0.36900369003690037</v>
      </c>
      <c r="U16" s="65">
        <f t="shared" si="6"/>
        <v>0</v>
      </c>
      <c r="V16" s="66">
        <f t="shared" si="6"/>
        <v>0</v>
      </c>
      <c r="W16" s="66">
        <f t="shared" si="6"/>
        <v>4.7970479704797047</v>
      </c>
      <c r="X16" s="66">
        <f t="shared" si="6"/>
        <v>82.287822878228781</v>
      </c>
      <c r="Y16" s="66">
        <f t="shared" si="6"/>
        <v>5.5350553505535052</v>
      </c>
      <c r="Z16" s="65">
        <f t="shared" si="6"/>
        <v>0</v>
      </c>
      <c r="AA16" s="50">
        <f t="shared" si="7"/>
        <v>100</v>
      </c>
      <c r="AC16" s="48">
        <f t="shared" si="8"/>
        <v>-3</v>
      </c>
      <c r="AD16" s="67">
        <f t="shared" si="11"/>
        <v>39.583333333333329</v>
      </c>
      <c r="AE16" s="66">
        <f t="shared" si="11"/>
        <v>2.083333333333333</v>
      </c>
      <c r="AF16" s="65">
        <f t="shared" si="11"/>
        <v>0</v>
      </c>
      <c r="AG16" s="67">
        <f t="shared" si="11"/>
        <v>0</v>
      </c>
      <c r="AH16" s="66">
        <f t="shared" si="11"/>
        <v>27.083333333333332</v>
      </c>
      <c r="AI16" s="66">
        <v>0</v>
      </c>
      <c r="AJ16" s="66">
        <f t="shared" si="12"/>
        <v>31.249999999999993</v>
      </c>
      <c r="AK16" s="65">
        <f t="shared" si="12"/>
        <v>0</v>
      </c>
      <c r="AL16" s="64">
        <f t="shared" si="10"/>
        <v>100</v>
      </c>
    </row>
    <row r="17" spans="1:38" x14ac:dyDescent="0.35">
      <c r="A17" s="71" t="s">
        <v>60</v>
      </c>
      <c r="B17" s="57">
        <v>-2.5</v>
      </c>
      <c r="C17" s="62">
        <v>31.66</v>
      </c>
      <c r="D17" s="55">
        <f t="shared" si="2"/>
        <v>11.737228442203602</v>
      </c>
      <c r="E17" s="54">
        <f>SUM(D6:D17)</f>
        <v>22.89612219174019</v>
      </c>
      <c r="G17" s="48">
        <f t="shared" si="3"/>
        <v>-2.5</v>
      </c>
      <c r="H17" s="61">
        <v>2.5</v>
      </c>
      <c r="I17" s="60">
        <v>0.5</v>
      </c>
      <c r="J17" s="59">
        <v>0</v>
      </c>
      <c r="K17" s="60">
        <v>0</v>
      </c>
      <c r="L17" s="60">
        <v>0</v>
      </c>
      <c r="M17" s="60">
        <v>24.8</v>
      </c>
      <c r="N17" s="60">
        <v>3.3</v>
      </c>
      <c r="O17" s="59">
        <v>0</v>
      </c>
      <c r="P17" s="50">
        <f t="shared" si="4"/>
        <v>31.1</v>
      </c>
      <c r="R17" s="48">
        <f t="shared" si="5"/>
        <v>-2.5</v>
      </c>
      <c r="S17" s="67">
        <f t="shared" si="6"/>
        <v>8.0385852090032159</v>
      </c>
      <c r="T17" s="66">
        <f t="shared" si="6"/>
        <v>1.607717041800643</v>
      </c>
      <c r="U17" s="65">
        <f t="shared" si="6"/>
        <v>0</v>
      </c>
      <c r="V17" s="66">
        <f t="shared" si="6"/>
        <v>0</v>
      </c>
      <c r="W17" s="66">
        <f t="shared" si="6"/>
        <v>0</v>
      </c>
      <c r="X17" s="66">
        <f t="shared" si="6"/>
        <v>79.742765273311889</v>
      </c>
      <c r="Y17" s="66">
        <f t="shared" si="6"/>
        <v>10.610932475884244</v>
      </c>
      <c r="Z17" s="65">
        <f t="shared" si="6"/>
        <v>0</v>
      </c>
      <c r="AA17" s="50">
        <f t="shared" si="7"/>
        <v>99.999999999999986</v>
      </c>
      <c r="AC17" s="48">
        <f t="shared" si="8"/>
        <v>-2.5</v>
      </c>
      <c r="AD17" s="67">
        <f t="shared" si="11"/>
        <v>39.682539682539684</v>
      </c>
      <c r="AE17" s="66">
        <f t="shared" si="11"/>
        <v>7.936507936507935</v>
      </c>
      <c r="AF17" s="65">
        <f t="shared" si="11"/>
        <v>0</v>
      </c>
      <c r="AG17" s="67">
        <f t="shared" si="11"/>
        <v>0</v>
      </c>
      <c r="AH17" s="66">
        <f t="shared" si="11"/>
        <v>0</v>
      </c>
      <c r="AI17" s="66">
        <v>0</v>
      </c>
      <c r="AJ17" s="66">
        <f t="shared" si="12"/>
        <v>52.38095238095238</v>
      </c>
      <c r="AK17" s="65">
        <f t="shared" si="12"/>
        <v>0</v>
      </c>
      <c r="AL17" s="64">
        <f t="shared" si="10"/>
        <v>100</v>
      </c>
    </row>
    <row r="18" spans="1:38" x14ac:dyDescent="0.35">
      <c r="A18" s="58" t="s">
        <v>59</v>
      </c>
      <c r="B18" s="57">
        <v>-2</v>
      </c>
      <c r="C18" s="62">
        <v>28.17</v>
      </c>
      <c r="D18" s="55">
        <f t="shared" si="2"/>
        <v>10.44338993104471</v>
      </c>
      <c r="E18" s="54">
        <f>SUM(D6:D18)</f>
        <v>33.339512122784896</v>
      </c>
      <c r="G18" s="48">
        <f t="shared" si="3"/>
        <v>-2</v>
      </c>
      <c r="H18" s="61">
        <v>1.21</v>
      </c>
      <c r="I18" s="60">
        <v>2.09</v>
      </c>
      <c r="J18" s="59">
        <v>0</v>
      </c>
      <c r="K18" s="60">
        <v>0</v>
      </c>
      <c r="L18" s="60">
        <v>0.31</v>
      </c>
      <c r="M18" s="60">
        <v>21.85</v>
      </c>
      <c r="N18" s="60">
        <v>2.33</v>
      </c>
      <c r="O18" s="59">
        <v>0</v>
      </c>
      <c r="P18" s="50">
        <f t="shared" si="4"/>
        <v>27.79</v>
      </c>
      <c r="R18" s="48">
        <f t="shared" si="5"/>
        <v>-2</v>
      </c>
      <c r="S18" s="67">
        <f t="shared" si="6"/>
        <v>4.3540842029507019</v>
      </c>
      <c r="T18" s="66">
        <f t="shared" si="6"/>
        <v>7.5206908960057577</v>
      </c>
      <c r="U18" s="65">
        <f t="shared" si="6"/>
        <v>0</v>
      </c>
      <c r="V18" s="66">
        <f t="shared" si="6"/>
        <v>0</v>
      </c>
      <c r="W18" s="66">
        <f t="shared" si="6"/>
        <v>1.1155091759625766</v>
      </c>
      <c r="X18" s="66">
        <f t="shared" si="6"/>
        <v>78.625404821878377</v>
      </c>
      <c r="Y18" s="66">
        <f t="shared" si="6"/>
        <v>8.3843109032025911</v>
      </c>
      <c r="Z18" s="65">
        <f t="shared" si="6"/>
        <v>0</v>
      </c>
      <c r="AA18" s="50">
        <f t="shared" si="7"/>
        <v>100</v>
      </c>
      <c r="AC18" s="48">
        <f t="shared" si="8"/>
        <v>-2</v>
      </c>
      <c r="AD18" s="67">
        <f t="shared" si="11"/>
        <v>20.37037037037037</v>
      </c>
      <c r="AE18" s="66">
        <f t="shared" si="11"/>
        <v>35.18518518518519</v>
      </c>
      <c r="AF18" s="65">
        <f t="shared" si="11"/>
        <v>0</v>
      </c>
      <c r="AG18" s="67">
        <f t="shared" si="11"/>
        <v>0</v>
      </c>
      <c r="AH18" s="66">
        <f t="shared" si="11"/>
        <v>5.2188552188552197</v>
      </c>
      <c r="AI18" s="66">
        <v>0</v>
      </c>
      <c r="AJ18" s="66">
        <f t="shared" si="12"/>
        <v>39.225589225589225</v>
      </c>
      <c r="AK18" s="65">
        <f t="shared" si="12"/>
        <v>0</v>
      </c>
      <c r="AL18" s="64">
        <f t="shared" si="10"/>
        <v>100</v>
      </c>
    </row>
    <row r="19" spans="1:38" x14ac:dyDescent="0.35">
      <c r="A19" s="58" t="s">
        <v>58</v>
      </c>
      <c r="B19" s="57">
        <v>-1.5</v>
      </c>
      <c r="C19" s="62">
        <v>4.57</v>
      </c>
      <c r="D19" s="55">
        <f t="shared" si="2"/>
        <v>1.6942240676206717</v>
      </c>
      <c r="E19" s="54">
        <f>SUM(D6:D19)</f>
        <v>35.03373619040557</v>
      </c>
      <c r="G19" s="48">
        <f t="shared" si="3"/>
        <v>-1.5</v>
      </c>
      <c r="H19" s="61">
        <v>0.76</v>
      </c>
      <c r="I19" s="60">
        <v>2.5</v>
      </c>
      <c r="J19" s="59">
        <v>0</v>
      </c>
      <c r="K19" s="60">
        <v>0.25</v>
      </c>
      <c r="L19" s="60">
        <v>0.38</v>
      </c>
      <c r="M19" s="60">
        <v>0.56999999999999995</v>
      </c>
      <c r="N19" s="60">
        <v>0</v>
      </c>
      <c r="O19" s="59">
        <v>0</v>
      </c>
      <c r="P19" s="50">
        <f t="shared" si="4"/>
        <v>4.46</v>
      </c>
      <c r="R19" s="48">
        <f t="shared" si="5"/>
        <v>-1.5</v>
      </c>
      <c r="S19" s="67">
        <f t="shared" si="6"/>
        <v>17.04035874439462</v>
      </c>
      <c r="T19" s="66">
        <f t="shared" si="6"/>
        <v>56.053811659192824</v>
      </c>
      <c r="U19" s="65">
        <f t="shared" si="6"/>
        <v>0</v>
      </c>
      <c r="V19" s="66">
        <f t="shared" si="6"/>
        <v>5.6053811659192823</v>
      </c>
      <c r="W19" s="66">
        <f t="shared" si="6"/>
        <v>8.52017937219731</v>
      </c>
      <c r="X19" s="66">
        <f t="shared" si="6"/>
        <v>12.780269058295962</v>
      </c>
      <c r="Y19" s="66">
        <f t="shared" si="6"/>
        <v>0</v>
      </c>
      <c r="Z19" s="65">
        <f t="shared" si="6"/>
        <v>0</v>
      </c>
      <c r="AA19" s="50">
        <f t="shared" si="7"/>
        <v>99.999999999999986</v>
      </c>
      <c r="AC19" s="48">
        <f t="shared" si="8"/>
        <v>-1.5</v>
      </c>
      <c r="AD19" s="67">
        <f t="shared" si="11"/>
        <v>19.537275064267355</v>
      </c>
      <c r="AE19" s="66">
        <f t="shared" si="11"/>
        <v>64.267352185089976</v>
      </c>
      <c r="AF19" s="65">
        <f t="shared" si="11"/>
        <v>0</v>
      </c>
      <c r="AG19" s="67">
        <f t="shared" si="11"/>
        <v>6.4267352185089974</v>
      </c>
      <c r="AH19" s="66">
        <f t="shared" si="11"/>
        <v>9.7686375321336776</v>
      </c>
      <c r="AI19" s="66">
        <v>0</v>
      </c>
      <c r="AJ19" s="66">
        <f t="shared" si="12"/>
        <v>0</v>
      </c>
      <c r="AK19" s="65">
        <f t="shared" si="12"/>
        <v>0</v>
      </c>
      <c r="AL19" s="64">
        <f t="shared" si="10"/>
        <v>100.00000000000001</v>
      </c>
    </row>
    <row r="20" spans="1:38" x14ac:dyDescent="0.35">
      <c r="A20" s="58" t="s">
        <v>57</v>
      </c>
      <c r="B20" s="57">
        <v>-1</v>
      </c>
      <c r="C20" s="62">
        <v>8.2200000000000006</v>
      </c>
      <c r="D20" s="55">
        <f t="shared" si="2"/>
        <v>3.0473789575146437</v>
      </c>
      <c r="E20" s="54">
        <f>SUM(D6:D20)</f>
        <v>38.081115147920215</v>
      </c>
      <c r="G20" s="48">
        <f t="shared" si="3"/>
        <v>-1</v>
      </c>
      <c r="H20" s="61">
        <v>0.82</v>
      </c>
      <c r="I20" s="60">
        <v>5.19</v>
      </c>
      <c r="J20" s="59">
        <v>0.18</v>
      </c>
      <c r="K20" s="60">
        <v>0.26</v>
      </c>
      <c r="L20" s="60">
        <v>0.5</v>
      </c>
      <c r="M20" s="60">
        <v>1.04</v>
      </c>
      <c r="N20" s="60">
        <v>0.04</v>
      </c>
      <c r="O20" s="59">
        <v>0</v>
      </c>
      <c r="P20" s="50">
        <f t="shared" si="4"/>
        <v>8.0299999999999994</v>
      </c>
      <c r="R20" s="48">
        <f t="shared" si="5"/>
        <v>-1</v>
      </c>
      <c r="S20" s="67">
        <f t="shared" si="6"/>
        <v>10.211706102117061</v>
      </c>
      <c r="T20" s="66">
        <f t="shared" si="6"/>
        <v>64.632627646326284</v>
      </c>
      <c r="U20" s="65">
        <f t="shared" si="6"/>
        <v>2.2415940224159403</v>
      </c>
      <c r="V20" s="66">
        <f t="shared" si="6"/>
        <v>3.2378580323785804</v>
      </c>
      <c r="W20" s="66">
        <f t="shared" si="6"/>
        <v>6.2266500622665015</v>
      </c>
      <c r="X20" s="66">
        <f t="shared" si="6"/>
        <v>12.951432129514322</v>
      </c>
      <c r="Y20" s="66">
        <f t="shared" si="6"/>
        <v>0.4981320049813201</v>
      </c>
      <c r="Z20" s="65">
        <f t="shared" si="6"/>
        <v>0</v>
      </c>
      <c r="AA20" s="50">
        <f t="shared" si="7"/>
        <v>100</v>
      </c>
      <c r="AC20" s="48">
        <f t="shared" si="8"/>
        <v>-1</v>
      </c>
      <c r="AD20" s="67">
        <f t="shared" si="11"/>
        <v>11.731044349070098</v>
      </c>
      <c r="AE20" s="66">
        <f t="shared" si="11"/>
        <v>74.248927038626618</v>
      </c>
      <c r="AF20" s="65">
        <f t="shared" si="11"/>
        <v>2.5751072961373391</v>
      </c>
      <c r="AG20" s="67">
        <f t="shared" si="11"/>
        <v>3.7195994277539342</v>
      </c>
      <c r="AH20" s="66">
        <f t="shared" si="11"/>
        <v>7.1530758226037197</v>
      </c>
      <c r="AI20" s="66">
        <v>0</v>
      </c>
      <c r="AJ20" s="66">
        <f t="shared" si="12"/>
        <v>0.57224606580829762</v>
      </c>
      <c r="AK20" s="65">
        <f t="shared" si="12"/>
        <v>0</v>
      </c>
      <c r="AL20" s="64">
        <f t="shared" si="10"/>
        <v>100.00000000000001</v>
      </c>
    </row>
    <row r="21" spans="1:38" x14ac:dyDescent="0.35">
      <c r="A21" s="58" t="s">
        <v>56</v>
      </c>
      <c r="B21" s="57">
        <v>-0.5</v>
      </c>
      <c r="C21" s="62">
        <v>8.6999999999999993</v>
      </c>
      <c r="D21" s="55">
        <f t="shared" si="2"/>
        <v>3.2253280937198778</v>
      </c>
      <c r="E21" s="54">
        <f>SUM(D6:D21)</f>
        <v>41.306443241640096</v>
      </c>
      <c r="G21" s="70">
        <f t="shared" si="3"/>
        <v>-0.5</v>
      </c>
      <c r="H21" s="53">
        <v>0.21</v>
      </c>
      <c r="I21" s="52">
        <v>6.77</v>
      </c>
      <c r="J21" s="51">
        <v>0.12</v>
      </c>
      <c r="K21" s="52">
        <v>0.34</v>
      </c>
      <c r="L21" s="52">
        <v>0.67</v>
      </c>
      <c r="M21" s="52">
        <v>0.32</v>
      </c>
      <c r="N21" s="52">
        <v>0</v>
      </c>
      <c r="O21" s="51">
        <v>0</v>
      </c>
      <c r="P21" s="69">
        <f t="shared" si="4"/>
        <v>8.43</v>
      </c>
      <c r="Q21" s="68"/>
      <c r="R21" s="48">
        <f t="shared" si="5"/>
        <v>-0.5</v>
      </c>
      <c r="S21" s="67">
        <f t="shared" si="6"/>
        <v>2.4911032028469751</v>
      </c>
      <c r="T21" s="66">
        <f t="shared" si="6"/>
        <v>80.308422301304873</v>
      </c>
      <c r="U21" s="65">
        <f t="shared" si="6"/>
        <v>1.4234875444839858</v>
      </c>
      <c r="V21" s="66">
        <f t="shared" si="6"/>
        <v>4.0332147093712933</v>
      </c>
      <c r="W21" s="66">
        <f t="shared" si="6"/>
        <v>7.9478054567022545</v>
      </c>
      <c r="X21" s="66">
        <f t="shared" si="6"/>
        <v>3.7959667852906289</v>
      </c>
      <c r="Y21" s="66">
        <f t="shared" si="6"/>
        <v>0</v>
      </c>
      <c r="Z21" s="65">
        <f t="shared" si="6"/>
        <v>0</v>
      </c>
      <c r="AA21" s="50">
        <f t="shared" si="7"/>
        <v>100.00000000000001</v>
      </c>
      <c r="AC21" s="48">
        <f t="shared" si="8"/>
        <v>-0.5</v>
      </c>
      <c r="AD21" s="67">
        <f t="shared" si="11"/>
        <v>2.5893958076448826</v>
      </c>
      <c r="AE21" s="66">
        <f t="shared" si="11"/>
        <v>83.477188655980271</v>
      </c>
      <c r="AF21" s="65">
        <f t="shared" si="11"/>
        <v>1.4796547472256472</v>
      </c>
      <c r="AG21" s="67">
        <f t="shared" si="11"/>
        <v>4.1923551171393338</v>
      </c>
      <c r="AH21" s="66">
        <f t="shared" si="11"/>
        <v>8.2614056720098645</v>
      </c>
      <c r="AI21" s="66">
        <v>0</v>
      </c>
      <c r="AJ21" s="66">
        <f t="shared" si="12"/>
        <v>0</v>
      </c>
      <c r="AK21" s="65">
        <f t="shared" si="12"/>
        <v>0</v>
      </c>
      <c r="AL21" s="64">
        <f t="shared" si="10"/>
        <v>100</v>
      </c>
    </row>
    <row r="22" spans="1:38" x14ac:dyDescent="0.35">
      <c r="A22" s="58" t="s">
        <v>55</v>
      </c>
      <c r="B22" s="57">
        <v>0</v>
      </c>
      <c r="C22" s="62">
        <v>7.3</v>
      </c>
      <c r="D22" s="55">
        <f t="shared" si="2"/>
        <v>2.7063097797879436</v>
      </c>
      <c r="E22" s="54">
        <f>SUM(D6:D22)</f>
        <v>44.01275302142804</v>
      </c>
      <c r="G22" s="48">
        <f t="shared" si="3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4"/>
        <v>0</v>
      </c>
      <c r="R22" s="48">
        <f t="shared" si="5"/>
        <v>0</v>
      </c>
      <c r="S22" s="47" t="e">
        <f t="shared" si="6"/>
        <v>#DIV/0!</v>
      </c>
      <c r="T22" s="46" t="e">
        <f t="shared" si="6"/>
        <v>#DIV/0!</v>
      </c>
      <c r="U22" s="45" t="e">
        <f t="shared" si="6"/>
        <v>#DIV/0!</v>
      </c>
      <c r="V22" s="46" t="e">
        <f t="shared" si="6"/>
        <v>#DIV/0!</v>
      </c>
      <c r="W22" s="46" t="e">
        <f t="shared" si="6"/>
        <v>#DIV/0!</v>
      </c>
      <c r="X22" s="46" t="e">
        <f t="shared" si="6"/>
        <v>#DIV/0!</v>
      </c>
      <c r="Y22" s="46" t="e">
        <f t="shared" si="6"/>
        <v>#DIV/0!</v>
      </c>
      <c r="Z22" s="45" t="e">
        <f t="shared" si="6"/>
        <v>#DIV/0!</v>
      </c>
      <c r="AA22" s="49" t="e">
        <f t="shared" si="7"/>
        <v>#DIV/0!</v>
      </c>
      <c r="AC22" s="48">
        <f t="shared" si="8"/>
        <v>0</v>
      </c>
      <c r="AD22" s="47" t="e">
        <f t="shared" si="11"/>
        <v>#DIV/0!</v>
      </c>
      <c r="AE22" s="46" t="e">
        <f t="shared" si="11"/>
        <v>#DIV/0!</v>
      </c>
      <c r="AF22" s="45" t="e">
        <f t="shared" si="11"/>
        <v>#DIV/0!</v>
      </c>
      <c r="AG22" s="47" t="e">
        <f t="shared" si="11"/>
        <v>#DIV/0!</v>
      </c>
      <c r="AH22" s="46" t="e">
        <f t="shared" si="11"/>
        <v>#DIV/0!</v>
      </c>
      <c r="AI22" s="46" t="e">
        <f t="shared" ref="AI22:AI33" si="13">X22*100/(SUM($S22:$W22)+SUM($Y22:$Z22))</f>
        <v>#DIV/0!</v>
      </c>
      <c r="AJ22" s="46" t="e">
        <f t="shared" si="12"/>
        <v>#DIV/0!</v>
      </c>
      <c r="AK22" s="45" t="e">
        <f t="shared" si="12"/>
        <v>#DIV/0!</v>
      </c>
      <c r="AL22" s="44" t="e">
        <f t="shared" si="10"/>
        <v>#DIV/0!</v>
      </c>
    </row>
    <row r="23" spans="1:38" x14ac:dyDescent="0.35">
      <c r="A23" s="58" t="s">
        <v>54</v>
      </c>
      <c r="B23" s="57">
        <v>0.5</v>
      </c>
      <c r="C23" s="62">
        <v>6.46</v>
      </c>
      <c r="D23" s="55">
        <f t="shared" si="2"/>
        <v>2.3948987914287829</v>
      </c>
      <c r="E23" s="54">
        <f>SUM(D6:D23)</f>
        <v>46.40765181285682</v>
      </c>
      <c r="G23" s="48">
        <f t="shared" si="3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4"/>
        <v>0</v>
      </c>
      <c r="R23" s="48">
        <f t="shared" si="5"/>
        <v>0.5</v>
      </c>
      <c r="S23" s="47" t="e">
        <f t="shared" si="6"/>
        <v>#DIV/0!</v>
      </c>
      <c r="T23" s="46" t="e">
        <f t="shared" si="6"/>
        <v>#DIV/0!</v>
      </c>
      <c r="U23" s="45" t="e">
        <f t="shared" si="6"/>
        <v>#DIV/0!</v>
      </c>
      <c r="V23" s="46" t="e">
        <f t="shared" si="6"/>
        <v>#DIV/0!</v>
      </c>
      <c r="W23" s="46" t="e">
        <f t="shared" si="6"/>
        <v>#DIV/0!</v>
      </c>
      <c r="X23" s="46" t="e">
        <f t="shared" si="6"/>
        <v>#DIV/0!</v>
      </c>
      <c r="Y23" s="46" t="e">
        <f t="shared" si="6"/>
        <v>#DIV/0!</v>
      </c>
      <c r="Z23" s="45" t="e">
        <f t="shared" si="6"/>
        <v>#DIV/0!</v>
      </c>
      <c r="AA23" s="49" t="e">
        <f t="shared" si="7"/>
        <v>#DIV/0!</v>
      </c>
      <c r="AC23" s="48">
        <f t="shared" si="8"/>
        <v>0.5</v>
      </c>
      <c r="AD23" s="47" t="e">
        <f t="shared" si="11"/>
        <v>#DIV/0!</v>
      </c>
      <c r="AE23" s="46" t="e">
        <f t="shared" si="11"/>
        <v>#DIV/0!</v>
      </c>
      <c r="AF23" s="45" t="e">
        <f t="shared" si="11"/>
        <v>#DIV/0!</v>
      </c>
      <c r="AG23" s="47" t="e">
        <f t="shared" si="11"/>
        <v>#DIV/0!</v>
      </c>
      <c r="AH23" s="46" t="e">
        <f t="shared" si="11"/>
        <v>#DIV/0!</v>
      </c>
      <c r="AI23" s="46" t="e">
        <f t="shared" si="13"/>
        <v>#DIV/0!</v>
      </c>
      <c r="AJ23" s="46" t="e">
        <f t="shared" si="12"/>
        <v>#DIV/0!</v>
      </c>
      <c r="AK23" s="45" t="e">
        <f t="shared" si="12"/>
        <v>#DIV/0!</v>
      </c>
      <c r="AL23" s="44" t="e">
        <f t="shared" si="10"/>
        <v>#DIV/0!</v>
      </c>
    </row>
    <row r="24" spans="1:38" x14ac:dyDescent="0.35">
      <c r="A24" s="58" t="s">
        <v>53</v>
      </c>
      <c r="B24" s="57">
        <v>1</v>
      </c>
      <c r="C24" s="63">
        <v>4.92</v>
      </c>
      <c r="D24" s="55">
        <f t="shared" si="2"/>
        <v>1.8239786461036553</v>
      </c>
      <c r="E24" s="54">
        <f>SUM(D6:D24)</f>
        <v>48.231630458960474</v>
      </c>
      <c r="G24" s="48">
        <f t="shared" si="3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4"/>
        <v>0</v>
      </c>
      <c r="R24" s="48">
        <f t="shared" si="5"/>
        <v>1</v>
      </c>
      <c r="S24" s="47" t="e">
        <f t="shared" si="6"/>
        <v>#DIV/0!</v>
      </c>
      <c r="T24" s="46" t="e">
        <f t="shared" si="6"/>
        <v>#DIV/0!</v>
      </c>
      <c r="U24" s="45" t="e">
        <f t="shared" si="6"/>
        <v>#DIV/0!</v>
      </c>
      <c r="V24" s="46" t="e">
        <f t="shared" si="6"/>
        <v>#DIV/0!</v>
      </c>
      <c r="W24" s="46" t="e">
        <f t="shared" si="6"/>
        <v>#DIV/0!</v>
      </c>
      <c r="X24" s="46" t="e">
        <f t="shared" si="6"/>
        <v>#DIV/0!</v>
      </c>
      <c r="Y24" s="46" t="e">
        <f t="shared" si="6"/>
        <v>#DIV/0!</v>
      </c>
      <c r="Z24" s="45" t="e">
        <f t="shared" si="6"/>
        <v>#DIV/0!</v>
      </c>
      <c r="AA24" s="49" t="e">
        <f t="shared" si="7"/>
        <v>#DIV/0!</v>
      </c>
      <c r="AC24" s="48">
        <f t="shared" si="8"/>
        <v>1</v>
      </c>
      <c r="AD24" s="47" t="e">
        <f t="shared" si="11"/>
        <v>#DIV/0!</v>
      </c>
      <c r="AE24" s="46" t="e">
        <f t="shared" si="11"/>
        <v>#DIV/0!</v>
      </c>
      <c r="AF24" s="45" t="e">
        <f t="shared" si="11"/>
        <v>#DIV/0!</v>
      </c>
      <c r="AG24" s="47" t="e">
        <f t="shared" si="11"/>
        <v>#DIV/0!</v>
      </c>
      <c r="AH24" s="46" t="e">
        <f t="shared" si="11"/>
        <v>#DIV/0!</v>
      </c>
      <c r="AI24" s="46" t="e">
        <f t="shared" si="13"/>
        <v>#DIV/0!</v>
      </c>
      <c r="AJ24" s="46" t="e">
        <f t="shared" si="12"/>
        <v>#DIV/0!</v>
      </c>
      <c r="AK24" s="45" t="e">
        <f t="shared" si="12"/>
        <v>#DIV/0!</v>
      </c>
      <c r="AL24" s="44" t="e">
        <f t="shared" si="10"/>
        <v>#DIV/0!</v>
      </c>
    </row>
    <row r="25" spans="1:38" x14ac:dyDescent="0.35">
      <c r="A25" s="58" t="s">
        <v>52</v>
      </c>
      <c r="B25" s="57">
        <v>1.5</v>
      </c>
      <c r="C25" s="62">
        <v>5.01</v>
      </c>
      <c r="D25" s="55">
        <f t="shared" si="2"/>
        <v>1.8573441091421365</v>
      </c>
      <c r="E25" s="54">
        <f>SUM(D6:D25)</f>
        <v>50.088974568102614</v>
      </c>
      <c r="G25" s="48">
        <f t="shared" si="3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4"/>
        <v>0</v>
      </c>
      <c r="R25" s="48">
        <f t="shared" si="5"/>
        <v>1.5</v>
      </c>
      <c r="S25" s="47" t="e">
        <f t="shared" si="6"/>
        <v>#DIV/0!</v>
      </c>
      <c r="T25" s="46" t="e">
        <f t="shared" si="6"/>
        <v>#DIV/0!</v>
      </c>
      <c r="U25" s="45" t="e">
        <f t="shared" si="6"/>
        <v>#DIV/0!</v>
      </c>
      <c r="V25" s="46" t="e">
        <f t="shared" si="6"/>
        <v>#DIV/0!</v>
      </c>
      <c r="W25" s="46" t="e">
        <f t="shared" si="6"/>
        <v>#DIV/0!</v>
      </c>
      <c r="X25" s="46" t="e">
        <f t="shared" si="6"/>
        <v>#DIV/0!</v>
      </c>
      <c r="Y25" s="46" t="e">
        <f t="shared" si="6"/>
        <v>#DIV/0!</v>
      </c>
      <c r="Z25" s="45" t="e">
        <f t="shared" si="6"/>
        <v>#DIV/0!</v>
      </c>
      <c r="AA25" s="49" t="e">
        <f t="shared" si="7"/>
        <v>#DIV/0!</v>
      </c>
      <c r="AC25" s="48">
        <f t="shared" si="8"/>
        <v>1.5</v>
      </c>
      <c r="AD25" s="47" t="e">
        <f t="shared" si="11"/>
        <v>#DIV/0!</v>
      </c>
      <c r="AE25" s="46" t="e">
        <f t="shared" si="11"/>
        <v>#DIV/0!</v>
      </c>
      <c r="AF25" s="45" t="e">
        <f t="shared" si="11"/>
        <v>#DIV/0!</v>
      </c>
      <c r="AG25" s="47" t="e">
        <f t="shared" si="11"/>
        <v>#DIV/0!</v>
      </c>
      <c r="AH25" s="46" t="e">
        <f t="shared" si="11"/>
        <v>#DIV/0!</v>
      </c>
      <c r="AI25" s="46" t="e">
        <f t="shared" si="13"/>
        <v>#DIV/0!</v>
      </c>
      <c r="AJ25" s="46" t="e">
        <f t="shared" si="12"/>
        <v>#DIV/0!</v>
      </c>
      <c r="AK25" s="45" t="e">
        <f t="shared" si="12"/>
        <v>#DIV/0!</v>
      </c>
      <c r="AL25" s="44" t="e">
        <f t="shared" si="10"/>
        <v>#DIV/0!</v>
      </c>
    </row>
    <row r="26" spans="1:38" x14ac:dyDescent="0.35">
      <c r="A26" s="58" t="s">
        <v>51</v>
      </c>
      <c r="B26" s="57">
        <v>2</v>
      </c>
      <c r="C26" s="62">
        <v>5.74</v>
      </c>
      <c r="D26" s="55">
        <f t="shared" si="2"/>
        <v>2.1279750871209311</v>
      </c>
      <c r="E26" s="54">
        <f>SUM(D6:D26)</f>
        <v>52.216949655223544</v>
      </c>
      <c r="G26" s="48">
        <f t="shared" si="3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4"/>
        <v>0</v>
      </c>
      <c r="R26" s="48">
        <f t="shared" si="5"/>
        <v>2</v>
      </c>
      <c r="S26" s="47" t="e">
        <f t="shared" si="6"/>
        <v>#DIV/0!</v>
      </c>
      <c r="T26" s="46" t="e">
        <f t="shared" si="6"/>
        <v>#DIV/0!</v>
      </c>
      <c r="U26" s="45" t="e">
        <f t="shared" si="6"/>
        <v>#DIV/0!</v>
      </c>
      <c r="V26" s="46" t="e">
        <f t="shared" si="6"/>
        <v>#DIV/0!</v>
      </c>
      <c r="W26" s="46" t="e">
        <f t="shared" si="6"/>
        <v>#DIV/0!</v>
      </c>
      <c r="X26" s="46" t="e">
        <f t="shared" si="6"/>
        <v>#DIV/0!</v>
      </c>
      <c r="Y26" s="46" t="e">
        <f t="shared" si="6"/>
        <v>#DIV/0!</v>
      </c>
      <c r="Z26" s="45" t="e">
        <f t="shared" si="6"/>
        <v>#DIV/0!</v>
      </c>
      <c r="AA26" s="49" t="e">
        <f t="shared" si="7"/>
        <v>#DIV/0!</v>
      </c>
      <c r="AC26" s="48">
        <f t="shared" si="8"/>
        <v>2</v>
      </c>
      <c r="AD26" s="47" t="e">
        <f t="shared" si="11"/>
        <v>#DIV/0!</v>
      </c>
      <c r="AE26" s="46" t="e">
        <f t="shared" si="11"/>
        <v>#DIV/0!</v>
      </c>
      <c r="AF26" s="45" t="e">
        <f t="shared" si="11"/>
        <v>#DIV/0!</v>
      </c>
      <c r="AG26" s="47" t="e">
        <f t="shared" si="11"/>
        <v>#DIV/0!</v>
      </c>
      <c r="AH26" s="46" t="e">
        <f t="shared" si="11"/>
        <v>#DIV/0!</v>
      </c>
      <c r="AI26" s="46" t="e">
        <f t="shared" si="13"/>
        <v>#DIV/0!</v>
      </c>
      <c r="AJ26" s="46" t="e">
        <f t="shared" si="12"/>
        <v>#DIV/0!</v>
      </c>
      <c r="AK26" s="45" t="e">
        <f t="shared" si="12"/>
        <v>#DIV/0!</v>
      </c>
      <c r="AL26" s="44" t="e">
        <f t="shared" si="10"/>
        <v>#DIV/0!</v>
      </c>
    </row>
    <row r="27" spans="1:38" x14ac:dyDescent="0.35">
      <c r="A27" s="58" t="s">
        <v>50</v>
      </c>
      <c r="B27" s="57">
        <v>2.5</v>
      </c>
      <c r="C27" s="62">
        <v>5.42</v>
      </c>
      <c r="D27" s="55">
        <f t="shared" si="2"/>
        <v>2.0093423296507749</v>
      </c>
      <c r="E27" s="54">
        <f>SUM(D7:D27)</f>
        <v>54.226291984874322</v>
      </c>
      <c r="G27" s="48">
        <f t="shared" si="3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4"/>
        <v>0</v>
      </c>
      <c r="R27" s="48">
        <f t="shared" si="5"/>
        <v>2.5</v>
      </c>
      <c r="S27" s="47" t="e">
        <f t="shared" si="6"/>
        <v>#DIV/0!</v>
      </c>
      <c r="T27" s="46" t="e">
        <f t="shared" si="6"/>
        <v>#DIV/0!</v>
      </c>
      <c r="U27" s="45" t="e">
        <f t="shared" si="6"/>
        <v>#DIV/0!</v>
      </c>
      <c r="V27" s="46" t="e">
        <f t="shared" si="6"/>
        <v>#DIV/0!</v>
      </c>
      <c r="W27" s="46" t="e">
        <f t="shared" si="6"/>
        <v>#DIV/0!</v>
      </c>
      <c r="X27" s="46" t="e">
        <f t="shared" si="6"/>
        <v>#DIV/0!</v>
      </c>
      <c r="Y27" s="46" t="e">
        <f t="shared" si="6"/>
        <v>#DIV/0!</v>
      </c>
      <c r="Z27" s="45" t="e">
        <f t="shared" si="6"/>
        <v>#DIV/0!</v>
      </c>
      <c r="AA27" s="49" t="e">
        <f t="shared" si="7"/>
        <v>#DIV/0!</v>
      </c>
      <c r="AC27" s="48">
        <f t="shared" si="8"/>
        <v>2.5</v>
      </c>
      <c r="AD27" s="47" t="e">
        <f t="shared" si="11"/>
        <v>#DIV/0!</v>
      </c>
      <c r="AE27" s="46" t="e">
        <f t="shared" si="11"/>
        <v>#DIV/0!</v>
      </c>
      <c r="AF27" s="45" t="e">
        <f t="shared" si="11"/>
        <v>#DIV/0!</v>
      </c>
      <c r="AG27" s="47" t="e">
        <f t="shared" si="11"/>
        <v>#DIV/0!</v>
      </c>
      <c r="AH27" s="46" t="e">
        <f t="shared" si="11"/>
        <v>#DIV/0!</v>
      </c>
      <c r="AI27" s="46" t="e">
        <f t="shared" si="13"/>
        <v>#DIV/0!</v>
      </c>
      <c r="AJ27" s="46" t="e">
        <f t="shared" si="12"/>
        <v>#DIV/0!</v>
      </c>
      <c r="AK27" s="45" t="e">
        <f t="shared" si="12"/>
        <v>#DIV/0!</v>
      </c>
      <c r="AL27" s="44" t="e">
        <f t="shared" si="10"/>
        <v>#DIV/0!</v>
      </c>
    </row>
    <row r="28" spans="1:38" x14ac:dyDescent="0.35">
      <c r="A28" s="58" t="s">
        <v>49</v>
      </c>
      <c r="B28" s="57">
        <v>3</v>
      </c>
      <c r="C28" s="56">
        <v>7.28</v>
      </c>
      <c r="D28" s="55">
        <f t="shared" si="2"/>
        <v>2.6988952324460591</v>
      </c>
      <c r="E28" s="54">
        <f>SUM(D7:D28)</f>
        <v>56.925187217320385</v>
      </c>
      <c r="G28" s="48">
        <f t="shared" si="3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4"/>
        <v>0</v>
      </c>
      <c r="R28" s="48">
        <f t="shared" si="5"/>
        <v>3</v>
      </c>
      <c r="S28" s="47" t="e">
        <f t="shared" si="6"/>
        <v>#DIV/0!</v>
      </c>
      <c r="T28" s="46" t="e">
        <f t="shared" si="6"/>
        <v>#DIV/0!</v>
      </c>
      <c r="U28" s="45" t="e">
        <f t="shared" si="6"/>
        <v>#DIV/0!</v>
      </c>
      <c r="V28" s="46" t="e">
        <f t="shared" si="6"/>
        <v>#DIV/0!</v>
      </c>
      <c r="W28" s="46" t="e">
        <f t="shared" si="6"/>
        <v>#DIV/0!</v>
      </c>
      <c r="X28" s="46" t="e">
        <f t="shared" si="6"/>
        <v>#DIV/0!</v>
      </c>
      <c r="Y28" s="46" t="e">
        <f t="shared" si="6"/>
        <v>#DIV/0!</v>
      </c>
      <c r="Z28" s="45" t="e">
        <f t="shared" si="6"/>
        <v>#DIV/0!</v>
      </c>
      <c r="AA28" s="49" t="e">
        <f t="shared" si="7"/>
        <v>#DIV/0!</v>
      </c>
      <c r="AC28" s="48">
        <f t="shared" si="8"/>
        <v>3</v>
      </c>
      <c r="AD28" s="47" t="e">
        <f t="shared" si="11"/>
        <v>#DIV/0!</v>
      </c>
      <c r="AE28" s="46" t="e">
        <f t="shared" si="11"/>
        <v>#DIV/0!</v>
      </c>
      <c r="AF28" s="45" t="e">
        <f t="shared" si="11"/>
        <v>#DIV/0!</v>
      </c>
      <c r="AG28" s="47" t="e">
        <f t="shared" si="11"/>
        <v>#DIV/0!</v>
      </c>
      <c r="AH28" s="46" t="e">
        <f t="shared" si="11"/>
        <v>#DIV/0!</v>
      </c>
      <c r="AI28" s="46" t="e">
        <f t="shared" si="13"/>
        <v>#DIV/0!</v>
      </c>
      <c r="AJ28" s="46" t="e">
        <f t="shared" si="12"/>
        <v>#DIV/0!</v>
      </c>
      <c r="AK28" s="45" t="e">
        <f t="shared" si="12"/>
        <v>#DIV/0!</v>
      </c>
      <c r="AL28" s="44" t="e">
        <f t="shared" si="10"/>
        <v>#DIV/0!</v>
      </c>
    </row>
    <row r="29" spans="1:38" x14ac:dyDescent="0.35">
      <c r="A29" s="58" t="s">
        <v>48</v>
      </c>
      <c r="B29" s="57">
        <v>3.5</v>
      </c>
      <c r="C29" s="56">
        <v>11.69</v>
      </c>
      <c r="D29" s="55">
        <f t="shared" si="2"/>
        <v>4.3338029213316522</v>
      </c>
      <c r="E29" s="54">
        <f>SUM(D7:D29)</f>
        <v>61.258990138652038</v>
      </c>
      <c r="G29" s="48">
        <f t="shared" si="3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59">
        <v>0</v>
      </c>
      <c r="P29" s="50">
        <f t="shared" si="4"/>
        <v>0</v>
      </c>
      <c r="R29" s="48">
        <f t="shared" si="5"/>
        <v>3.5</v>
      </c>
      <c r="S29" s="47" t="e">
        <f t="shared" si="6"/>
        <v>#DIV/0!</v>
      </c>
      <c r="T29" s="46" t="e">
        <f t="shared" si="6"/>
        <v>#DIV/0!</v>
      </c>
      <c r="U29" s="45" t="e">
        <f t="shared" si="6"/>
        <v>#DIV/0!</v>
      </c>
      <c r="V29" s="46" t="e">
        <f t="shared" si="6"/>
        <v>#DIV/0!</v>
      </c>
      <c r="W29" s="46" t="e">
        <f t="shared" si="6"/>
        <v>#DIV/0!</v>
      </c>
      <c r="X29" s="46" t="e">
        <f t="shared" si="6"/>
        <v>#DIV/0!</v>
      </c>
      <c r="Y29" s="46" t="e">
        <f t="shared" si="6"/>
        <v>#DIV/0!</v>
      </c>
      <c r="Z29" s="45" t="e">
        <f t="shared" si="6"/>
        <v>#DIV/0!</v>
      </c>
      <c r="AA29" s="49" t="e">
        <f t="shared" si="7"/>
        <v>#DIV/0!</v>
      </c>
      <c r="AC29" s="48">
        <f t="shared" si="8"/>
        <v>3.5</v>
      </c>
      <c r="AD29" s="47" t="e">
        <f t="shared" si="11"/>
        <v>#DIV/0!</v>
      </c>
      <c r="AE29" s="46" t="e">
        <f t="shared" si="11"/>
        <v>#DIV/0!</v>
      </c>
      <c r="AF29" s="45" t="e">
        <f t="shared" si="11"/>
        <v>#DIV/0!</v>
      </c>
      <c r="AG29" s="47" t="e">
        <f t="shared" si="11"/>
        <v>#DIV/0!</v>
      </c>
      <c r="AH29" s="46" t="e">
        <f t="shared" si="11"/>
        <v>#DIV/0!</v>
      </c>
      <c r="AI29" s="46" t="e">
        <f t="shared" si="13"/>
        <v>#DIV/0!</v>
      </c>
      <c r="AJ29" s="46" t="e">
        <f t="shared" si="12"/>
        <v>#DIV/0!</v>
      </c>
      <c r="AK29" s="45" t="e">
        <f t="shared" si="12"/>
        <v>#DIV/0!</v>
      </c>
      <c r="AL29" s="44" t="e">
        <f t="shared" si="10"/>
        <v>#DIV/0!</v>
      </c>
    </row>
    <row r="30" spans="1:38" x14ac:dyDescent="0.35">
      <c r="A30" s="58" t="s">
        <v>47</v>
      </c>
      <c r="B30" s="57">
        <v>4</v>
      </c>
      <c r="C30" s="56">
        <v>14.58</v>
      </c>
      <c r="D30" s="55">
        <f t="shared" si="2"/>
        <v>5.4052050122340027</v>
      </c>
      <c r="E30" s="54">
        <f>SUM(D7:D30)</f>
        <v>66.664195150886044</v>
      </c>
      <c r="G30" s="48">
        <f t="shared" si="3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59">
        <v>0</v>
      </c>
      <c r="P30" s="50">
        <f t="shared" si="4"/>
        <v>0</v>
      </c>
      <c r="R30" s="48">
        <f t="shared" si="5"/>
        <v>4</v>
      </c>
      <c r="S30" s="47" t="e">
        <f t="shared" si="6"/>
        <v>#DIV/0!</v>
      </c>
      <c r="T30" s="46" t="e">
        <f t="shared" si="6"/>
        <v>#DIV/0!</v>
      </c>
      <c r="U30" s="45" t="e">
        <f t="shared" si="6"/>
        <v>#DIV/0!</v>
      </c>
      <c r="V30" s="46" t="e">
        <f t="shared" si="6"/>
        <v>#DIV/0!</v>
      </c>
      <c r="W30" s="46" t="e">
        <f t="shared" si="6"/>
        <v>#DIV/0!</v>
      </c>
      <c r="X30" s="46" t="e">
        <f t="shared" si="6"/>
        <v>#DIV/0!</v>
      </c>
      <c r="Y30" s="46" t="e">
        <f t="shared" si="6"/>
        <v>#DIV/0!</v>
      </c>
      <c r="Z30" s="45" t="e">
        <f t="shared" si="6"/>
        <v>#DIV/0!</v>
      </c>
      <c r="AA30" s="49" t="e">
        <f t="shared" si="7"/>
        <v>#DIV/0!</v>
      </c>
      <c r="AC30" s="48">
        <f t="shared" si="8"/>
        <v>4</v>
      </c>
      <c r="AD30" s="47" t="e">
        <f t="shared" si="11"/>
        <v>#DIV/0!</v>
      </c>
      <c r="AE30" s="46" t="e">
        <f t="shared" si="11"/>
        <v>#DIV/0!</v>
      </c>
      <c r="AF30" s="45" t="e">
        <f t="shared" si="11"/>
        <v>#DIV/0!</v>
      </c>
      <c r="AG30" s="47" t="e">
        <f t="shared" si="11"/>
        <v>#DIV/0!</v>
      </c>
      <c r="AH30" s="46" t="e">
        <f t="shared" si="11"/>
        <v>#DIV/0!</v>
      </c>
      <c r="AI30" s="46" t="e">
        <f t="shared" si="13"/>
        <v>#DIV/0!</v>
      </c>
      <c r="AJ30" s="46" t="e">
        <f t="shared" si="12"/>
        <v>#DIV/0!</v>
      </c>
      <c r="AK30" s="45" t="e">
        <f t="shared" si="12"/>
        <v>#DIV/0!</v>
      </c>
      <c r="AL30" s="44" t="e">
        <f t="shared" si="10"/>
        <v>#DIV/0!</v>
      </c>
    </row>
    <row r="31" spans="1:38" x14ac:dyDescent="0.35">
      <c r="A31" s="58" t="s">
        <v>46</v>
      </c>
      <c r="B31" s="57">
        <v>4.5</v>
      </c>
      <c r="C31" s="56">
        <v>89.92</v>
      </c>
      <c r="D31" s="55">
        <f t="shared" si="2"/>
        <v>33.335804849113956</v>
      </c>
      <c r="E31" s="54">
        <f>SUM(D7:D31)</f>
        <v>100</v>
      </c>
      <c r="G31" s="48">
        <f t="shared" si="3"/>
        <v>4.5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59">
        <v>0</v>
      </c>
      <c r="P31" s="50">
        <f t="shared" si="4"/>
        <v>0</v>
      </c>
      <c r="R31" s="48">
        <f t="shared" si="5"/>
        <v>4.5</v>
      </c>
      <c r="S31" s="47" t="e">
        <f t="shared" si="6"/>
        <v>#DIV/0!</v>
      </c>
      <c r="T31" s="46" t="e">
        <f t="shared" si="6"/>
        <v>#DIV/0!</v>
      </c>
      <c r="U31" s="45" t="e">
        <f t="shared" si="6"/>
        <v>#DIV/0!</v>
      </c>
      <c r="V31" s="46" t="e">
        <f t="shared" si="6"/>
        <v>#DIV/0!</v>
      </c>
      <c r="W31" s="46" t="e">
        <f t="shared" si="6"/>
        <v>#DIV/0!</v>
      </c>
      <c r="X31" s="46" t="e">
        <f t="shared" si="6"/>
        <v>#DIV/0!</v>
      </c>
      <c r="Y31" s="46" t="e">
        <f t="shared" si="6"/>
        <v>#DIV/0!</v>
      </c>
      <c r="Z31" s="45" t="e">
        <f t="shared" si="6"/>
        <v>#DIV/0!</v>
      </c>
      <c r="AA31" s="49" t="e">
        <f t="shared" si="7"/>
        <v>#DIV/0!</v>
      </c>
      <c r="AC31" s="48">
        <f t="shared" si="8"/>
        <v>4.5</v>
      </c>
      <c r="AD31" s="47" t="e">
        <f t="shared" si="11"/>
        <v>#DIV/0!</v>
      </c>
      <c r="AE31" s="46" t="e">
        <f t="shared" si="11"/>
        <v>#DIV/0!</v>
      </c>
      <c r="AF31" s="45" t="e">
        <f t="shared" si="11"/>
        <v>#DIV/0!</v>
      </c>
      <c r="AG31" s="47" t="e">
        <f t="shared" si="11"/>
        <v>#DIV/0!</v>
      </c>
      <c r="AH31" s="46" t="e">
        <f t="shared" si="11"/>
        <v>#DIV/0!</v>
      </c>
      <c r="AI31" s="46" t="e">
        <f t="shared" si="13"/>
        <v>#DIV/0!</v>
      </c>
      <c r="AJ31" s="46" t="e">
        <f t="shared" si="12"/>
        <v>#DIV/0!</v>
      </c>
      <c r="AK31" s="45" t="e">
        <f t="shared" si="12"/>
        <v>#DIV/0!</v>
      </c>
      <c r="AL31" s="44" t="e">
        <f t="shared" si="10"/>
        <v>#DIV/0!</v>
      </c>
    </row>
    <row r="32" spans="1:38" x14ac:dyDescent="0.35">
      <c r="A32" s="58" t="s">
        <v>45</v>
      </c>
      <c r="B32" s="57">
        <v>5</v>
      </c>
      <c r="C32" s="56">
        <v>0</v>
      </c>
      <c r="D32" s="55">
        <f t="shared" si="2"/>
        <v>0</v>
      </c>
      <c r="E32" s="54">
        <f>SUM(D7:D32)</f>
        <v>100</v>
      </c>
      <c r="G32" s="48">
        <f t="shared" si="3"/>
        <v>5</v>
      </c>
      <c r="H32" s="53">
        <v>0</v>
      </c>
      <c r="I32" s="52">
        <v>0</v>
      </c>
      <c r="J32" s="51">
        <v>0</v>
      </c>
      <c r="K32" s="52">
        <v>0</v>
      </c>
      <c r="L32" s="52">
        <v>0</v>
      </c>
      <c r="M32" s="52">
        <v>0</v>
      </c>
      <c r="N32" s="52">
        <v>0</v>
      </c>
      <c r="O32" s="51">
        <v>0</v>
      </c>
      <c r="P32" s="50">
        <f t="shared" si="4"/>
        <v>0</v>
      </c>
      <c r="R32" s="48">
        <f t="shared" si="5"/>
        <v>5</v>
      </c>
      <c r="S32" s="47" t="e">
        <f t="shared" si="6"/>
        <v>#DIV/0!</v>
      </c>
      <c r="T32" s="46" t="e">
        <f t="shared" si="6"/>
        <v>#DIV/0!</v>
      </c>
      <c r="U32" s="45" t="e">
        <f t="shared" si="6"/>
        <v>#DIV/0!</v>
      </c>
      <c r="V32" s="46" t="e">
        <f t="shared" si="6"/>
        <v>#DIV/0!</v>
      </c>
      <c r="W32" s="46" t="e">
        <f t="shared" si="6"/>
        <v>#DIV/0!</v>
      </c>
      <c r="X32" s="46" t="e">
        <f t="shared" si="6"/>
        <v>#DIV/0!</v>
      </c>
      <c r="Y32" s="46" t="e">
        <f t="shared" si="6"/>
        <v>#DIV/0!</v>
      </c>
      <c r="Z32" s="45" t="e">
        <f t="shared" si="6"/>
        <v>#DIV/0!</v>
      </c>
      <c r="AA32" s="49" t="e">
        <f t="shared" si="7"/>
        <v>#DIV/0!</v>
      </c>
      <c r="AC32" s="48">
        <f t="shared" si="8"/>
        <v>5</v>
      </c>
      <c r="AD32" s="47" t="e">
        <f t="shared" si="11"/>
        <v>#DIV/0!</v>
      </c>
      <c r="AE32" s="46" t="e">
        <f t="shared" si="11"/>
        <v>#DIV/0!</v>
      </c>
      <c r="AF32" s="45" t="e">
        <f t="shared" si="11"/>
        <v>#DIV/0!</v>
      </c>
      <c r="AG32" s="47" t="e">
        <f t="shared" si="11"/>
        <v>#DIV/0!</v>
      </c>
      <c r="AH32" s="46" t="e">
        <f t="shared" si="11"/>
        <v>#DIV/0!</v>
      </c>
      <c r="AI32" s="46" t="e">
        <f t="shared" si="13"/>
        <v>#DIV/0!</v>
      </c>
      <c r="AJ32" s="46" t="e">
        <f t="shared" si="12"/>
        <v>#DIV/0!</v>
      </c>
      <c r="AK32" s="45" t="e">
        <f t="shared" si="12"/>
        <v>#DIV/0!</v>
      </c>
      <c r="AL32" s="44" t="e">
        <f t="shared" si="10"/>
        <v>#DIV/0!</v>
      </c>
    </row>
    <row r="33" spans="1:38" ht="15" thickBot="1" x14ac:dyDescent="0.4">
      <c r="A33" s="43" t="s">
        <v>44</v>
      </c>
      <c r="B33" s="42" t="s">
        <v>43</v>
      </c>
      <c r="C33" s="41">
        <v>0</v>
      </c>
      <c r="D33" s="40">
        <f t="shared" si="2"/>
        <v>0</v>
      </c>
      <c r="E33" s="39">
        <f>SUM(D7:D33)</f>
        <v>100</v>
      </c>
      <c r="G33" s="33" t="str">
        <f t="shared" si="3"/>
        <v>&gt;6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4"/>
        <v>0</v>
      </c>
      <c r="R33" s="33" t="str">
        <f t="shared" si="5"/>
        <v>&gt;6</v>
      </c>
      <c r="S33" s="32" t="e">
        <f t="shared" si="6"/>
        <v>#DIV/0!</v>
      </c>
      <c r="T33" s="31" t="e">
        <f t="shared" si="6"/>
        <v>#DIV/0!</v>
      </c>
      <c r="U33" s="30" t="e">
        <f t="shared" si="6"/>
        <v>#DIV/0!</v>
      </c>
      <c r="V33" s="31" t="e">
        <f t="shared" si="6"/>
        <v>#DIV/0!</v>
      </c>
      <c r="W33" s="31" t="e">
        <f t="shared" si="6"/>
        <v>#DIV/0!</v>
      </c>
      <c r="X33" s="31" t="e">
        <f t="shared" si="6"/>
        <v>#DIV/0!</v>
      </c>
      <c r="Y33" s="31" t="e">
        <f t="shared" si="6"/>
        <v>#DIV/0!</v>
      </c>
      <c r="Z33" s="30" t="e">
        <f t="shared" si="6"/>
        <v>#DIV/0!</v>
      </c>
      <c r="AA33" s="34" t="e">
        <f t="shared" si="7"/>
        <v>#DIV/0!</v>
      </c>
      <c r="AC33" s="33" t="str">
        <f t="shared" si="8"/>
        <v>&gt;6</v>
      </c>
      <c r="AD33" s="32" t="e">
        <f t="shared" si="11"/>
        <v>#DIV/0!</v>
      </c>
      <c r="AE33" s="31" t="e">
        <f t="shared" si="11"/>
        <v>#DIV/0!</v>
      </c>
      <c r="AF33" s="30" t="e">
        <f t="shared" si="11"/>
        <v>#DIV/0!</v>
      </c>
      <c r="AG33" s="32" t="e">
        <f t="shared" si="11"/>
        <v>#DIV/0!</v>
      </c>
      <c r="AH33" s="31" t="e">
        <f t="shared" si="11"/>
        <v>#DIV/0!</v>
      </c>
      <c r="AI33" s="31" t="e">
        <f t="shared" si="13"/>
        <v>#DIV/0!</v>
      </c>
      <c r="AJ33" s="31" t="e">
        <f t="shared" si="12"/>
        <v>#DIV/0!</v>
      </c>
      <c r="AK33" s="30" t="e">
        <f t="shared" si="12"/>
        <v>#DIV/0!</v>
      </c>
      <c r="AL33" s="29" t="e">
        <f t="shared" si="10"/>
        <v>#DIV/0!</v>
      </c>
    </row>
    <row r="34" spans="1:38" x14ac:dyDescent="0.35">
      <c r="G34" t="s">
        <v>114</v>
      </c>
      <c r="H34">
        <f>SUM(H7:H33)</f>
        <v>8.2000000000000011</v>
      </c>
      <c r="I34">
        <f t="shared" ref="I34:O34" si="14">SUM(I7:I33)</f>
        <v>17.149999999999999</v>
      </c>
      <c r="J34">
        <f t="shared" si="14"/>
        <v>0.3</v>
      </c>
      <c r="K34">
        <f t="shared" si="14"/>
        <v>0.85000000000000009</v>
      </c>
      <c r="L34">
        <f t="shared" si="14"/>
        <v>3.16</v>
      </c>
      <c r="M34">
        <f t="shared" si="14"/>
        <v>70.88</v>
      </c>
      <c r="N34">
        <f t="shared" si="14"/>
        <v>8.27</v>
      </c>
      <c r="O34">
        <f t="shared" si="14"/>
        <v>0</v>
      </c>
      <c r="R34" s="28"/>
    </row>
    <row r="40" spans="1:38" x14ac:dyDescent="0.35">
      <c r="H40" s="27"/>
    </row>
    <row r="41" spans="1:38" x14ac:dyDescent="0.35">
      <c r="H41" s="27"/>
    </row>
    <row r="42" spans="1:38" x14ac:dyDescent="0.35">
      <c r="H42" s="27"/>
    </row>
    <row r="67" spans="1:5" x14ac:dyDescent="0.35">
      <c r="A67" s="5" t="s">
        <v>27</v>
      </c>
      <c r="B67" s="26"/>
      <c r="C67" s="2"/>
      <c r="D67" s="2"/>
    </row>
    <row r="68" spans="1:5" x14ac:dyDescent="0.35">
      <c r="A68" s="25" t="s">
        <v>42</v>
      </c>
      <c r="B68" s="25"/>
      <c r="C68" s="2"/>
      <c r="D68" s="2"/>
    </row>
    <row r="69" spans="1:5" x14ac:dyDescent="0.35">
      <c r="A69" s="24" t="s">
        <v>41</v>
      </c>
      <c r="B69" s="23">
        <v>5</v>
      </c>
      <c r="C69" s="18">
        <f t="shared" ref="C69:C75" si="15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-3.2945567375886524</v>
      </c>
      <c r="D69" s="2"/>
    </row>
    <row r="70" spans="1:5" x14ac:dyDescent="0.35">
      <c r="A70" s="24" t="s">
        <v>41</v>
      </c>
      <c r="B70" s="23">
        <v>16</v>
      </c>
      <c r="C70" s="18">
        <f t="shared" si="15"/>
        <v>-2.7937713202779531</v>
      </c>
      <c r="D70" s="2"/>
    </row>
    <row r="71" spans="1:5" x14ac:dyDescent="0.35">
      <c r="A71" s="24" t="s">
        <v>41</v>
      </c>
      <c r="B71" s="23">
        <v>25</v>
      </c>
      <c r="C71" s="18">
        <f t="shared" si="15"/>
        <v>-2.3992722754703584</v>
      </c>
      <c r="D71" s="2"/>
    </row>
    <row r="72" spans="1:5" x14ac:dyDescent="0.35">
      <c r="A72" s="24" t="s">
        <v>41</v>
      </c>
      <c r="B72" s="23">
        <v>50</v>
      </c>
      <c r="C72" s="18">
        <f t="shared" si="15"/>
        <v>1.4760479041916177</v>
      </c>
      <c r="D72" s="2"/>
    </row>
    <row r="73" spans="1:5" x14ac:dyDescent="0.35">
      <c r="A73" s="24" t="s">
        <v>41</v>
      </c>
      <c r="B73" s="23">
        <v>75</v>
      </c>
      <c r="C73" s="18">
        <f t="shared" si="15"/>
        <v>4.1250278024911031</v>
      </c>
      <c r="D73" s="2"/>
    </row>
    <row r="74" spans="1:5" x14ac:dyDescent="0.35">
      <c r="A74" s="24" t="s">
        <v>41</v>
      </c>
      <c r="B74" s="23">
        <v>84</v>
      </c>
      <c r="C74" s="18">
        <f t="shared" si="15"/>
        <v>4.2600177935943062</v>
      </c>
      <c r="D74" s="2"/>
    </row>
    <row r="75" spans="1:5" x14ac:dyDescent="0.35">
      <c r="A75" s="24" t="s">
        <v>41</v>
      </c>
      <c r="B75" s="23">
        <v>95</v>
      </c>
      <c r="C75" s="18">
        <f t="shared" si="15"/>
        <v>4.4250055604982208</v>
      </c>
      <c r="D75" s="2"/>
    </row>
    <row r="76" spans="1:5" x14ac:dyDescent="0.35">
      <c r="A76" s="18"/>
      <c r="B76" s="22"/>
      <c r="C76" s="2"/>
      <c r="D76" s="2"/>
    </row>
    <row r="77" spans="1:5" x14ac:dyDescent="0.35">
      <c r="A77" s="21" t="s">
        <v>40</v>
      </c>
      <c r="B77">
        <f>SUM(C7:C10)/SUM(C7:C33)</f>
        <v>0</v>
      </c>
      <c r="D77" s="19" t="s">
        <v>7</v>
      </c>
      <c r="E77" s="18">
        <f>SUM($D$7:$D$20)</f>
        <v>38.081115147920215</v>
      </c>
    </row>
    <row r="78" spans="1:5" x14ac:dyDescent="0.35">
      <c r="A78" s="20" t="s">
        <v>39</v>
      </c>
      <c r="B78">
        <f>SUM(C11:C20)/SUM(C7:C33)</f>
        <v>0.38081115147920219</v>
      </c>
      <c r="D78" s="19" t="s">
        <v>6</v>
      </c>
      <c r="E78" s="18">
        <f>SUM($D$21:$D$30)</f>
        <v>28.583080002965815</v>
      </c>
    </row>
    <row r="79" spans="1:5" x14ac:dyDescent="0.35">
      <c r="A79" s="20" t="s">
        <v>38</v>
      </c>
      <c r="B79">
        <f>SUM(C21:C33)/SUM(C7:C33)</f>
        <v>0.61918884852079781</v>
      </c>
      <c r="D79" s="19" t="s">
        <v>5</v>
      </c>
      <c r="E79" s="18">
        <f>SUM($D$31:$D$33)</f>
        <v>33.335804849113956</v>
      </c>
    </row>
    <row r="80" spans="1:5" x14ac:dyDescent="0.35">
      <c r="A80" s="11"/>
      <c r="B80" s="8"/>
      <c r="D80" s="2"/>
      <c r="E80" s="2"/>
    </row>
    <row r="81" spans="1:8" x14ac:dyDescent="0.35">
      <c r="A81" s="16" t="s">
        <v>4</v>
      </c>
      <c r="B81">
        <f>100*SUM(H7:J33)/SUM(P7:P33)</f>
        <v>23.573200992555829</v>
      </c>
      <c r="D81" s="16" t="s">
        <v>4</v>
      </c>
      <c r="E81">
        <f>100*SUM(H7:J33)/SUM(P7:P33)</f>
        <v>23.573200992555829</v>
      </c>
      <c r="G81" s="17" t="s">
        <v>2</v>
      </c>
      <c r="H81">
        <f>100*SUM(H7:H33)/(SUM(P7:P33)-SUM(M7:N33))</f>
        <v>27.646662171274439</v>
      </c>
    </row>
    <row r="82" spans="1:8" x14ac:dyDescent="0.35">
      <c r="A82" s="16" t="s">
        <v>0</v>
      </c>
      <c r="B82">
        <f>100*SUM(K7:L33)/SUM(P7:P33)</f>
        <v>3.6853230401617498</v>
      </c>
      <c r="D82" s="16" t="s">
        <v>0</v>
      </c>
      <c r="E82">
        <f>100*SUM(K7:L33)/SUM(P7:P33)</f>
        <v>3.6853230401617498</v>
      </c>
      <c r="G82" s="17" t="s">
        <v>1</v>
      </c>
      <c r="H82">
        <f>100*SUM(I7:J33)/(SUM(P7:P33)-SUM(M7:N33))</f>
        <v>58.833445718138883</v>
      </c>
    </row>
    <row r="83" spans="1:8" x14ac:dyDescent="0.35">
      <c r="A83" s="16" t="s">
        <v>3</v>
      </c>
      <c r="B83">
        <f>100*SUM(O7:O33)/SUM(P7:P33)</f>
        <v>0</v>
      </c>
      <c r="D83" s="16" t="s">
        <v>37</v>
      </c>
      <c r="E83">
        <f>100*SUM(M7:N33)/SUM(P7:P33)</f>
        <v>72.741475967282412</v>
      </c>
      <c r="G83" s="17" t="s">
        <v>0</v>
      </c>
      <c r="H83">
        <f>100*SUM(K7:L33)/(SUM(P7:P33)-SUM(M7:N33))</f>
        <v>13.519892110586644</v>
      </c>
    </row>
    <row r="85" spans="1:8" x14ac:dyDescent="0.35">
      <c r="A85" s="16" t="s">
        <v>36</v>
      </c>
      <c r="B85" s="2"/>
      <c r="C85" s="2"/>
      <c r="D85" s="13">
        <f>(C70+C74+C72)/3</f>
        <v>0.98076479250265702</v>
      </c>
    </row>
    <row r="86" spans="1:8" x14ac:dyDescent="0.35">
      <c r="A86" s="14" t="s">
        <v>35</v>
      </c>
      <c r="B86" s="14"/>
      <c r="C86" s="14"/>
      <c r="D86" s="7">
        <f>C72</f>
        <v>1.4760479041916177</v>
      </c>
    </row>
    <row r="87" spans="1:8" x14ac:dyDescent="0.35">
      <c r="A87" s="14" t="s">
        <v>34</v>
      </c>
      <c r="B87" s="14"/>
      <c r="C87" s="14"/>
      <c r="D87" s="7">
        <f>(C74-C70)/2</f>
        <v>3.5268945569361296</v>
      </c>
    </row>
    <row r="88" spans="1:8" x14ac:dyDescent="0.35">
      <c r="A88" s="15" t="s">
        <v>33</v>
      </c>
      <c r="B88" s="14"/>
      <c r="C88" s="14"/>
      <c r="D88" s="13">
        <f>(C74+C70-D86)/D87</f>
        <v>-2.7790541273735128E-3</v>
      </c>
    </row>
    <row r="89" spans="1:8" x14ac:dyDescent="0.35">
      <c r="A89" s="3" t="s">
        <v>32</v>
      </c>
      <c r="B89" s="12"/>
      <c r="C89" s="11"/>
      <c r="D89" s="7">
        <f>((C74-C70)/4)+((C75-C69)/6.6)</f>
        <v>2.9330779296933489</v>
      </c>
    </row>
    <row r="90" spans="1:8" x14ac:dyDescent="0.35">
      <c r="A90" s="3" t="s">
        <v>31</v>
      </c>
      <c r="B90" s="10"/>
      <c r="C90" s="10"/>
      <c r="D90" s="7">
        <f>((C70+C74-(2*C72))/(2*(C74-C70)))+((C69+C75-(2*C72))/(2*(C75-C69)))</f>
        <v>-0.22331178572462873</v>
      </c>
    </row>
    <row r="91" spans="1:8" x14ac:dyDescent="0.35">
      <c r="A91" s="3" t="s">
        <v>30</v>
      </c>
      <c r="B91" s="9"/>
      <c r="C91" s="8"/>
      <c r="D91" s="7">
        <f>(C74-C69)/(2.44*(C73-C71))</f>
        <v>0.47455467497614451</v>
      </c>
    </row>
    <row r="92" spans="1:8" x14ac:dyDescent="0.35">
      <c r="A92" s="6" t="s">
        <v>29</v>
      </c>
      <c r="B92" s="6"/>
      <c r="C92" s="5"/>
      <c r="D92" s="7">
        <f>(C70+C72+C74)/3</f>
        <v>0.98076479250265702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0.73312323665817658</v>
      </c>
    </row>
    <row r="95" spans="1:8" x14ac:dyDescent="0.35">
      <c r="A95" s="2" t="s">
        <v>9</v>
      </c>
      <c r="B95" s="2"/>
      <c r="C95" s="2"/>
      <c r="D95" s="1">
        <f>100-E23</f>
        <v>53.59234818714318</v>
      </c>
    </row>
    <row r="96" spans="1:8" x14ac:dyDescent="0.35">
      <c r="A96" s="2" t="s">
        <v>8</v>
      </c>
      <c r="B96" s="2"/>
      <c r="C96" s="2"/>
      <c r="D96" s="1">
        <f>100-E30</f>
        <v>33.335804849113956</v>
      </c>
    </row>
    <row r="98" spans="1:3" x14ac:dyDescent="0.35">
      <c r="A98" t="s">
        <v>101</v>
      </c>
      <c r="C98" t="str">
        <f>IF(SUM(M7:N33)&gt;0,"Mixed","No Mixed")</f>
        <v>Mixed</v>
      </c>
    </row>
    <row r="99" spans="1:3" x14ac:dyDescent="0.35">
      <c r="A99" t="s">
        <v>102</v>
      </c>
      <c r="C99" t="str">
        <f>IF(SUM(J7:J33)&gt;0,"Obsidian","No obsidian")</f>
        <v>Obsidian</v>
      </c>
    </row>
  </sheetData>
  <mergeCells count="9">
    <mergeCell ref="V3:Z3"/>
    <mergeCell ref="AD3:AF3"/>
    <mergeCell ref="AG3:AK3"/>
    <mergeCell ref="A2:C2"/>
    <mergeCell ref="D2:E2"/>
    <mergeCell ref="K2:O2"/>
    <mergeCell ref="H3:J3"/>
    <mergeCell ref="K3:O3"/>
    <mergeCell ref="S3:U3"/>
  </mergeCells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N99"/>
  <sheetViews>
    <sheetView zoomScale="63" zoomScaleNormal="100" workbookViewId="0">
      <selection activeCell="K2" sqref="K2:O2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14.1796875" bestFit="1" customWidth="1"/>
    <col min="20" max="20" width="14.1796875" bestFit="1" customWidth="1"/>
    <col min="25" max="25" width="11.453125" customWidth="1"/>
  </cols>
  <sheetData>
    <row r="1" spans="1:40" ht="15" thickBot="1" x14ac:dyDescent="0.4">
      <c r="A1" s="111"/>
      <c r="F1" s="110"/>
    </row>
    <row r="2" spans="1:40" ht="15" thickBot="1" x14ac:dyDescent="0.4">
      <c r="A2" s="157" t="s">
        <v>91</v>
      </c>
      <c r="B2" s="158"/>
      <c r="C2" s="158"/>
      <c r="D2" s="159" t="str">
        <f ca="1">RIGHT(CELL("nomfichier",A1),LEN(CELL("nomfichier",A1))-FIND("]",CELL("nomfichier",A1)))</f>
        <v>MAY190407_2 aggr</v>
      </c>
      <c r="E2" s="160"/>
      <c r="G2" s="109" t="s">
        <v>90</v>
      </c>
      <c r="H2" s="108" t="str">
        <f ca="1">D2</f>
        <v>MAY190407_2 aggr</v>
      </c>
      <c r="I2" s="108"/>
      <c r="J2" s="107"/>
      <c r="K2" s="161"/>
      <c r="L2" s="162"/>
      <c r="M2" s="162"/>
      <c r="N2" s="162"/>
      <c r="O2" s="163"/>
    </row>
    <row r="3" spans="1:40" ht="15" thickBot="1" x14ac:dyDescent="0.4">
      <c r="A3" s="106"/>
      <c r="B3" s="105"/>
      <c r="C3" s="105"/>
      <c r="D3" s="105"/>
      <c r="E3" s="104"/>
      <c r="G3" s="103"/>
      <c r="H3" s="154" t="s">
        <v>88</v>
      </c>
      <c r="I3" s="155"/>
      <c r="J3" s="156"/>
      <c r="K3" s="154" t="s">
        <v>87</v>
      </c>
      <c r="L3" s="155"/>
      <c r="M3" s="155"/>
      <c r="N3" s="155"/>
      <c r="O3" s="156"/>
      <c r="U3" s="154" t="s">
        <v>88</v>
      </c>
      <c r="V3" s="155"/>
      <c r="W3" s="156"/>
      <c r="X3" s="154" t="s">
        <v>87</v>
      </c>
      <c r="Y3" s="155"/>
      <c r="Z3" s="155"/>
      <c r="AA3" s="155"/>
      <c r="AB3" s="156"/>
      <c r="AF3" s="154" t="s">
        <v>88</v>
      </c>
      <c r="AG3" s="155"/>
      <c r="AH3" s="156"/>
      <c r="AI3" s="154" t="s">
        <v>87</v>
      </c>
      <c r="AJ3" s="155"/>
      <c r="AK3" s="155"/>
      <c r="AL3" s="155"/>
      <c r="AM3" s="156"/>
    </row>
    <row r="4" spans="1:40" ht="15" thickBot="1" x14ac:dyDescent="0.4">
      <c r="A4" s="102" t="s">
        <v>86</v>
      </c>
      <c r="B4" s="101">
        <f>SUM(C7:C33)</f>
        <v>198.85999999999999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77</v>
      </c>
      <c r="P4" s="94" t="s">
        <v>76</v>
      </c>
      <c r="R4" s="135" t="s">
        <v>104</v>
      </c>
      <c r="T4" s="97" t="str">
        <f t="shared" ref="T4:AB4" si="0">G4</f>
        <v>Grain size (phi)</v>
      </c>
      <c r="U4" s="95" t="str">
        <f t="shared" si="0"/>
        <v>Pumices</v>
      </c>
      <c r="V4" s="95" t="str">
        <f t="shared" si="0"/>
        <v>Dense juveniles</v>
      </c>
      <c r="W4" s="95" t="str">
        <f t="shared" si="0"/>
        <v>Obsidian</v>
      </c>
      <c r="X4" s="96" t="str">
        <f t="shared" si="0"/>
        <v>Coral fragments</v>
      </c>
      <c r="Y4" s="95" t="str">
        <f t="shared" si="0"/>
        <v>Mafic clasts</v>
      </c>
      <c r="Z4" s="95" t="str">
        <f t="shared" si="0"/>
        <v>Aggregate</v>
      </c>
      <c r="AA4" s="95" t="str">
        <f t="shared" si="0"/>
        <v>Accretionnary lapilli</v>
      </c>
      <c r="AB4" s="94" t="str">
        <f t="shared" si="0"/>
        <v>Crystals</v>
      </c>
      <c r="AC4" s="94" t="s">
        <v>76</v>
      </c>
      <c r="AE4" s="97" t="str">
        <f t="shared" ref="AE4:AM4" si="1">T4</f>
        <v>Grain size (phi)</v>
      </c>
      <c r="AF4" s="95" t="str">
        <f t="shared" si="1"/>
        <v>Pumices</v>
      </c>
      <c r="AG4" s="95" t="str">
        <f t="shared" si="1"/>
        <v>Dense juveniles</v>
      </c>
      <c r="AH4" s="95" t="str">
        <f t="shared" si="1"/>
        <v>Obsidian</v>
      </c>
      <c r="AI4" s="96" t="str">
        <f t="shared" si="1"/>
        <v>Coral fragments</v>
      </c>
      <c r="AJ4" s="95" t="str">
        <f t="shared" si="1"/>
        <v>Mafic clasts</v>
      </c>
      <c r="AK4" s="95" t="str">
        <f t="shared" si="1"/>
        <v>Aggregate</v>
      </c>
      <c r="AL4" s="95" t="str">
        <f t="shared" si="1"/>
        <v>Accretionnary lapilli</v>
      </c>
      <c r="AM4" s="94" t="str">
        <f t="shared" si="1"/>
        <v>Crystals</v>
      </c>
      <c r="AN4" s="94" t="s">
        <v>76</v>
      </c>
    </row>
    <row r="5" spans="1:40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T5" s="77"/>
      <c r="U5" s="85"/>
      <c r="V5" s="84"/>
      <c r="W5" s="83"/>
      <c r="X5" s="84"/>
      <c r="Y5" s="84"/>
      <c r="Z5" s="84"/>
      <c r="AA5" s="84"/>
      <c r="AB5" s="83"/>
      <c r="AC5" s="82"/>
      <c r="AE5" s="77"/>
      <c r="AF5" s="85"/>
      <c r="AG5" s="84"/>
      <c r="AH5" s="83"/>
      <c r="AI5" s="85"/>
      <c r="AJ5" s="84"/>
      <c r="AK5" s="84"/>
      <c r="AL5" s="84"/>
      <c r="AM5" s="83"/>
      <c r="AN5" s="82"/>
    </row>
    <row r="6" spans="1:40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T6" s="77"/>
      <c r="U6" s="77"/>
      <c r="W6" s="76"/>
      <c r="AB6" s="76"/>
      <c r="AC6" s="49"/>
      <c r="AE6" s="77"/>
      <c r="AF6" s="77"/>
      <c r="AH6" s="76"/>
      <c r="AI6" s="77"/>
      <c r="AM6" s="76"/>
      <c r="AN6" s="49"/>
    </row>
    <row r="7" spans="1:40" x14ac:dyDescent="0.35">
      <c r="A7" s="75" t="s">
        <v>70</v>
      </c>
      <c r="B7" s="74">
        <v>-7.5</v>
      </c>
      <c r="C7" s="72">
        <v>0</v>
      </c>
      <c r="D7" s="55">
        <f>(C7/B$4)*100</f>
        <v>0</v>
      </c>
      <c r="E7" s="73">
        <v>0</v>
      </c>
      <c r="G7" s="48">
        <f t="shared" ref="G7:G33" si="2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3">SUM(H7:O7)</f>
        <v>0</v>
      </c>
      <c r="R7" s="134">
        <f t="shared" ref="R7:R33" si="4">100*(M7/$B$4)</f>
        <v>0</v>
      </c>
      <c r="T7" s="48">
        <f t="shared" ref="T7:T33" si="5">G7</f>
        <v>-7.5</v>
      </c>
      <c r="U7" s="47" t="e">
        <f t="shared" ref="U7:U33" si="6">100*H7/$P7</f>
        <v>#DIV/0!</v>
      </c>
      <c r="V7" s="46" t="e">
        <f t="shared" ref="V7:V33" si="7">100*I7/$P7</f>
        <v>#DIV/0!</v>
      </c>
      <c r="W7" s="45" t="e">
        <f t="shared" ref="W7:W33" si="8">100*J7/$P7</f>
        <v>#DIV/0!</v>
      </c>
      <c r="X7" s="46" t="e">
        <f t="shared" ref="X7:X33" si="9">100*K7/$P7</f>
        <v>#DIV/0!</v>
      </c>
      <c r="Y7" s="46" t="e">
        <f t="shared" ref="Y7:Y33" si="10">100*L7/$P7</f>
        <v>#DIV/0!</v>
      </c>
      <c r="Z7" s="46" t="e">
        <f t="shared" ref="Z7:Z33" si="11">100*M7/$P7</f>
        <v>#DIV/0!</v>
      </c>
      <c r="AA7" s="46" t="e">
        <f t="shared" ref="AA7:AA33" si="12">100*N7/$P7</f>
        <v>#DIV/0!</v>
      </c>
      <c r="AB7" s="45" t="e">
        <f t="shared" ref="AB7:AB33" si="13">100*O7/$P7</f>
        <v>#DIV/0!</v>
      </c>
      <c r="AC7" s="49" t="e">
        <f t="shared" ref="AC7:AC33" si="14">SUM(U7:AB7)</f>
        <v>#DIV/0!</v>
      </c>
      <c r="AE7" s="48">
        <f t="shared" ref="AE7:AE33" si="15">T7</f>
        <v>-7.5</v>
      </c>
      <c r="AF7" s="47" t="e">
        <f t="shared" ref="AF7:AM14" si="16">U7*100/(SUM($U7:$Y7)+SUM($AA7:$AB7))</f>
        <v>#DIV/0!</v>
      </c>
      <c r="AG7" s="46" t="e">
        <f t="shared" si="16"/>
        <v>#DIV/0!</v>
      </c>
      <c r="AH7" s="45" t="e">
        <f t="shared" si="16"/>
        <v>#DIV/0!</v>
      </c>
      <c r="AI7" s="47" t="e">
        <f t="shared" si="16"/>
        <v>#DIV/0!</v>
      </c>
      <c r="AJ7" s="46" t="e">
        <f t="shared" si="16"/>
        <v>#DIV/0!</v>
      </c>
      <c r="AK7" s="46" t="e">
        <f t="shared" si="16"/>
        <v>#DIV/0!</v>
      </c>
      <c r="AL7" s="46" t="e">
        <f t="shared" si="16"/>
        <v>#DIV/0!</v>
      </c>
      <c r="AM7" s="45" t="e">
        <f t="shared" si="16"/>
        <v>#DIV/0!</v>
      </c>
      <c r="AN7" s="44" t="e">
        <f t="shared" ref="AN7:AN33" si="17">SUM(AF7:AM7)</f>
        <v>#DIV/0!</v>
      </c>
    </row>
    <row r="8" spans="1:40" x14ac:dyDescent="0.35">
      <c r="A8" s="58" t="s">
        <v>69</v>
      </c>
      <c r="B8" s="57">
        <v>-7</v>
      </c>
      <c r="C8" s="72">
        <v>0</v>
      </c>
      <c r="D8" s="55">
        <f t="shared" ref="D8:D33" si="18">(C8/B$4)*100</f>
        <v>0</v>
      </c>
      <c r="E8" s="73">
        <f>SUM(D6,D8)</f>
        <v>0</v>
      </c>
      <c r="G8" s="48">
        <f t="shared" si="2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3"/>
        <v>0</v>
      </c>
      <c r="R8" s="134">
        <f t="shared" si="4"/>
        <v>0</v>
      </c>
      <c r="T8" s="48">
        <f t="shared" si="5"/>
        <v>-7</v>
      </c>
      <c r="U8" s="47" t="e">
        <f t="shared" si="6"/>
        <v>#DIV/0!</v>
      </c>
      <c r="V8" s="46" t="e">
        <f t="shared" si="7"/>
        <v>#DIV/0!</v>
      </c>
      <c r="W8" s="45" t="e">
        <f t="shared" si="8"/>
        <v>#DIV/0!</v>
      </c>
      <c r="X8" s="46" t="e">
        <f t="shared" si="9"/>
        <v>#DIV/0!</v>
      </c>
      <c r="Y8" s="46" t="e">
        <f t="shared" si="10"/>
        <v>#DIV/0!</v>
      </c>
      <c r="Z8" s="46" t="e">
        <f t="shared" si="11"/>
        <v>#DIV/0!</v>
      </c>
      <c r="AA8" s="46" t="e">
        <f t="shared" si="12"/>
        <v>#DIV/0!</v>
      </c>
      <c r="AB8" s="45" t="e">
        <f t="shared" si="13"/>
        <v>#DIV/0!</v>
      </c>
      <c r="AC8" s="49" t="e">
        <f t="shared" si="14"/>
        <v>#DIV/0!</v>
      </c>
      <c r="AE8" s="48">
        <f t="shared" si="15"/>
        <v>-7</v>
      </c>
      <c r="AF8" s="47" t="e">
        <f t="shared" si="16"/>
        <v>#DIV/0!</v>
      </c>
      <c r="AG8" s="46" t="e">
        <f t="shared" si="16"/>
        <v>#DIV/0!</v>
      </c>
      <c r="AH8" s="45" t="e">
        <f t="shared" si="16"/>
        <v>#DIV/0!</v>
      </c>
      <c r="AI8" s="47" t="e">
        <f t="shared" si="16"/>
        <v>#DIV/0!</v>
      </c>
      <c r="AJ8" s="46" t="e">
        <f t="shared" si="16"/>
        <v>#DIV/0!</v>
      </c>
      <c r="AK8" s="46" t="e">
        <f t="shared" si="16"/>
        <v>#DIV/0!</v>
      </c>
      <c r="AL8" s="46" t="e">
        <f t="shared" si="16"/>
        <v>#DIV/0!</v>
      </c>
      <c r="AM8" s="45" t="e">
        <f t="shared" si="16"/>
        <v>#DIV/0!</v>
      </c>
      <c r="AN8" s="44" t="e">
        <f t="shared" si="17"/>
        <v>#DIV/0!</v>
      </c>
    </row>
    <row r="9" spans="1:40" x14ac:dyDescent="0.35">
      <c r="A9" s="58" t="s">
        <v>68</v>
      </c>
      <c r="B9" s="57">
        <v>-6.5</v>
      </c>
      <c r="C9" s="72">
        <v>0</v>
      </c>
      <c r="D9" s="55">
        <f t="shared" si="18"/>
        <v>0</v>
      </c>
      <c r="E9" s="73">
        <f>SUM(D6:D9)</f>
        <v>0</v>
      </c>
      <c r="G9" s="48">
        <f t="shared" si="2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3"/>
        <v>0</v>
      </c>
      <c r="R9" s="134">
        <f t="shared" si="4"/>
        <v>0</v>
      </c>
      <c r="T9" s="48">
        <f t="shared" si="5"/>
        <v>-6.5</v>
      </c>
      <c r="U9" s="47" t="e">
        <f t="shared" si="6"/>
        <v>#DIV/0!</v>
      </c>
      <c r="V9" s="46" t="e">
        <f t="shared" si="7"/>
        <v>#DIV/0!</v>
      </c>
      <c r="W9" s="45" t="e">
        <f t="shared" si="8"/>
        <v>#DIV/0!</v>
      </c>
      <c r="X9" s="46" t="e">
        <f t="shared" si="9"/>
        <v>#DIV/0!</v>
      </c>
      <c r="Y9" s="46" t="e">
        <f t="shared" si="10"/>
        <v>#DIV/0!</v>
      </c>
      <c r="Z9" s="46" t="e">
        <f t="shared" si="11"/>
        <v>#DIV/0!</v>
      </c>
      <c r="AA9" s="46" t="e">
        <f t="shared" si="12"/>
        <v>#DIV/0!</v>
      </c>
      <c r="AB9" s="45" t="e">
        <f t="shared" si="13"/>
        <v>#DIV/0!</v>
      </c>
      <c r="AC9" s="49" t="e">
        <f t="shared" si="14"/>
        <v>#DIV/0!</v>
      </c>
      <c r="AE9" s="48">
        <f t="shared" si="15"/>
        <v>-6.5</v>
      </c>
      <c r="AF9" s="47" t="e">
        <f t="shared" si="16"/>
        <v>#DIV/0!</v>
      </c>
      <c r="AG9" s="46" t="e">
        <f t="shared" si="16"/>
        <v>#DIV/0!</v>
      </c>
      <c r="AH9" s="45" t="e">
        <f t="shared" si="16"/>
        <v>#DIV/0!</v>
      </c>
      <c r="AI9" s="47" t="e">
        <f t="shared" si="16"/>
        <v>#DIV/0!</v>
      </c>
      <c r="AJ9" s="46" t="e">
        <f t="shared" si="16"/>
        <v>#DIV/0!</v>
      </c>
      <c r="AK9" s="46" t="e">
        <f t="shared" si="16"/>
        <v>#DIV/0!</v>
      </c>
      <c r="AL9" s="46" t="e">
        <f t="shared" si="16"/>
        <v>#DIV/0!</v>
      </c>
      <c r="AM9" s="45" t="e">
        <f t="shared" si="16"/>
        <v>#DIV/0!</v>
      </c>
      <c r="AN9" s="44" t="e">
        <f t="shared" si="17"/>
        <v>#DIV/0!</v>
      </c>
    </row>
    <row r="10" spans="1:40" x14ac:dyDescent="0.35">
      <c r="A10" s="58" t="s">
        <v>67</v>
      </c>
      <c r="B10" s="57">
        <v>-6</v>
      </c>
      <c r="C10" s="72">
        <v>0</v>
      </c>
      <c r="D10" s="55">
        <f t="shared" si="18"/>
        <v>0</v>
      </c>
      <c r="E10" s="54">
        <f>SUM(D6:D10)</f>
        <v>0</v>
      </c>
      <c r="G10" s="48">
        <f t="shared" si="2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3"/>
        <v>0</v>
      </c>
      <c r="R10" s="134">
        <f t="shared" si="4"/>
        <v>0</v>
      </c>
      <c r="T10" s="48">
        <f t="shared" si="5"/>
        <v>-6</v>
      </c>
      <c r="U10" s="47" t="e">
        <f t="shared" si="6"/>
        <v>#DIV/0!</v>
      </c>
      <c r="V10" s="46" t="e">
        <f t="shared" si="7"/>
        <v>#DIV/0!</v>
      </c>
      <c r="W10" s="45" t="e">
        <f t="shared" si="8"/>
        <v>#DIV/0!</v>
      </c>
      <c r="X10" s="46" t="e">
        <f t="shared" si="9"/>
        <v>#DIV/0!</v>
      </c>
      <c r="Y10" s="46" t="e">
        <f t="shared" si="10"/>
        <v>#DIV/0!</v>
      </c>
      <c r="Z10" s="46" t="e">
        <f t="shared" si="11"/>
        <v>#DIV/0!</v>
      </c>
      <c r="AA10" s="46" t="e">
        <f t="shared" si="12"/>
        <v>#DIV/0!</v>
      </c>
      <c r="AB10" s="45" t="e">
        <f t="shared" si="13"/>
        <v>#DIV/0!</v>
      </c>
      <c r="AC10" s="49" t="e">
        <f t="shared" si="14"/>
        <v>#DIV/0!</v>
      </c>
      <c r="AE10" s="48">
        <f t="shared" si="15"/>
        <v>-6</v>
      </c>
      <c r="AF10" s="47" t="e">
        <f t="shared" si="16"/>
        <v>#DIV/0!</v>
      </c>
      <c r="AG10" s="46" t="e">
        <f t="shared" si="16"/>
        <v>#DIV/0!</v>
      </c>
      <c r="AH10" s="45" t="e">
        <f t="shared" si="16"/>
        <v>#DIV/0!</v>
      </c>
      <c r="AI10" s="47" t="e">
        <f t="shared" si="16"/>
        <v>#DIV/0!</v>
      </c>
      <c r="AJ10" s="46" t="e">
        <f t="shared" si="16"/>
        <v>#DIV/0!</v>
      </c>
      <c r="AK10" s="46" t="e">
        <f t="shared" si="16"/>
        <v>#DIV/0!</v>
      </c>
      <c r="AL10" s="46" t="e">
        <f t="shared" si="16"/>
        <v>#DIV/0!</v>
      </c>
      <c r="AM10" s="45" t="e">
        <f t="shared" si="16"/>
        <v>#DIV/0!</v>
      </c>
      <c r="AN10" s="44" t="e">
        <f t="shared" si="17"/>
        <v>#DIV/0!</v>
      </c>
    </row>
    <row r="11" spans="1:40" x14ac:dyDescent="0.35">
      <c r="A11" s="58" t="s">
        <v>66</v>
      </c>
      <c r="B11" s="57">
        <v>-5.5</v>
      </c>
      <c r="C11" s="62">
        <v>0</v>
      </c>
      <c r="D11" s="55">
        <f t="shared" si="18"/>
        <v>0</v>
      </c>
      <c r="E11" s="54">
        <f>SUM(D6:D11)</f>
        <v>0</v>
      </c>
      <c r="G11" s="48">
        <f t="shared" si="2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50">
        <f t="shared" si="3"/>
        <v>0</v>
      </c>
      <c r="R11" s="134">
        <f t="shared" si="4"/>
        <v>0</v>
      </c>
      <c r="T11" s="48">
        <f t="shared" si="5"/>
        <v>-5.5</v>
      </c>
      <c r="U11" s="47" t="e">
        <f t="shared" si="6"/>
        <v>#DIV/0!</v>
      </c>
      <c r="V11" s="46" t="e">
        <f t="shared" si="7"/>
        <v>#DIV/0!</v>
      </c>
      <c r="W11" s="45" t="e">
        <f t="shared" si="8"/>
        <v>#DIV/0!</v>
      </c>
      <c r="X11" s="46" t="e">
        <f t="shared" si="9"/>
        <v>#DIV/0!</v>
      </c>
      <c r="Y11" s="46" t="e">
        <f t="shared" si="10"/>
        <v>#DIV/0!</v>
      </c>
      <c r="Z11" s="46" t="e">
        <f t="shared" si="11"/>
        <v>#DIV/0!</v>
      </c>
      <c r="AA11" s="46" t="e">
        <f t="shared" si="12"/>
        <v>#DIV/0!</v>
      </c>
      <c r="AB11" s="45" t="e">
        <f t="shared" si="13"/>
        <v>#DIV/0!</v>
      </c>
      <c r="AC11" s="49" t="e">
        <f t="shared" si="14"/>
        <v>#DIV/0!</v>
      </c>
      <c r="AE11" s="48">
        <f t="shared" si="15"/>
        <v>-5.5</v>
      </c>
      <c r="AF11" s="47" t="e">
        <f t="shared" si="16"/>
        <v>#DIV/0!</v>
      </c>
      <c r="AG11" s="46" t="e">
        <f t="shared" si="16"/>
        <v>#DIV/0!</v>
      </c>
      <c r="AH11" s="45" t="e">
        <f t="shared" si="16"/>
        <v>#DIV/0!</v>
      </c>
      <c r="AI11" s="47" t="e">
        <f t="shared" si="16"/>
        <v>#DIV/0!</v>
      </c>
      <c r="AJ11" s="46" t="e">
        <f t="shared" si="16"/>
        <v>#DIV/0!</v>
      </c>
      <c r="AK11" s="46" t="e">
        <f t="shared" si="16"/>
        <v>#DIV/0!</v>
      </c>
      <c r="AL11" s="46" t="e">
        <f t="shared" si="16"/>
        <v>#DIV/0!</v>
      </c>
      <c r="AM11" s="45" t="e">
        <f t="shared" si="16"/>
        <v>#DIV/0!</v>
      </c>
      <c r="AN11" s="44" t="e">
        <f t="shared" si="17"/>
        <v>#DIV/0!</v>
      </c>
    </row>
    <row r="12" spans="1:40" x14ac:dyDescent="0.35">
      <c r="A12" s="58" t="s">
        <v>65</v>
      </c>
      <c r="B12" s="57">
        <v>-5</v>
      </c>
      <c r="C12" s="62">
        <v>0</v>
      </c>
      <c r="D12" s="55">
        <f t="shared" si="18"/>
        <v>0</v>
      </c>
      <c r="E12" s="54">
        <f>SUM(D6:D12)</f>
        <v>0</v>
      </c>
      <c r="G12" s="48">
        <f t="shared" si="2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50">
        <f t="shared" si="3"/>
        <v>0</v>
      </c>
      <c r="R12" s="134">
        <f t="shared" si="4"/>
        <v>0</v>
      </c>
      <c r="T12" s="48">
        <f t="shared" si="5"/>
        <v>-5</v>
      </c>
      <c r="U12" s="47" t="e">
        <f t="shared" si="6"/>
        <v>#DIV/0!</v>
      </c>
      <c r="V12" s="46" t="e">
        <f t="shared" si="7"/>
        <v>#DIV/0!</v>
      </c>
      <c r="W12" s="45" t="e">
        <f t="shared" si="8"/>
        <v>#DIV/0!</v>
      </c>
      <c r="X12" s="46" t="e">
        <f t="shared" si="9"/>
        <v>#DIV/0!</v>
      </c>
      <c r="Y12" s="46" t="e">
        <f t="shared" si="10"/>
        <v>#DIV/0!</v>
      </c>
      <c r="Z12" s="46" t="e">
        <f t="shared" si="11"/>
        <v>#DIV/0!</v>
      </c>
      <c r="AA12" s="46" t="e">
        <f t="shared" si="12"/>
        <v>#DIV/0!</v>
      </c>
      <c r="AB12" s="45" t="e">
        <f t="shared" si="13"/>
        <v>#DIV/0!</v>
      </c>
      <c r="AC12" s="49" t="e">
        <f t="shared" si="14"/>
        <v>#DIV/0!</v>
      </c>
      <c r="AE12" s="48">
        <f t="shared" si="15"/>
        <v>-5</v>
      </c>
      <c r="AF12" s="47" t="e">
        <f t="shared" si="16"/>
        <v>#DIV/0!</v>
      </c>
      <c r="AG12" s="46" t="e">
        <f t="shared" si="16"/>
        <v>#DIV/0!</v>
      </c>
      <c r="AH12" s="45" t="e">
        <f t="shared" si="16"/>
        <v>#DIV/0!</v>
      </c>
      <c r="AI12" s="47" t="e">
        <f t="shared" si="16"/>
        <v>#DIV/0!</v>
      </c>
      <c r="AJ12" s="46" t="e">
        <f t="shared" si="16"/>
        <v>#DIV/0!</v>
      </c>
      <c r="AK12" s="46" t="e">
        <f t="shared" si="16"/>
        <v>#DIV/0!</v>
      </c>
      <c r="AL12" s="46" t="e">
        <f t="shared" si="16"/>
        <v>#DIV/0!</v>
      </c>
      <c r="AM12" s="45" t="e">
        <f t="shared" si="16"/>
        <v>#DIV/0!</v>
      </c>
      <c r="AN12" s="44" t="e">
        <f t="shared" si="17"/>
        <v>#DIV/0!</v>
      </c>
    </row>
    <row r="13" spans="1:40" x14ac:dyDescent="0.35">
      <c r="A13" s="58" t="s">
        <v>64</v>
      </c>
      <c r="B13" s="57">
        <v>-4.5</v>
      </c>
      <c r="C13" s="62">
        <v>0</v>
      </c>
      <c r="D13" s="55">
        <f t="shared" si="18"/>
        <v>0</v>
      </c>
      <c r="E13" s="54">
        <f>SUM(D7:D13)</f>
        <v>0</v>
      </c>
      <c r="G13" s="48">
        <f t="shared" si="2"/>
        <v>-4.5</v>
      </c>
      <c r="H13" s="61">
        <v>0</v>
      </c>
      <c r="I13" s="60">
        <v>0</v>
      </c>
      <c r="J13" s="59">
        <v>0</v>
      </c>
      <c r="K13" s="60">
        <v>0</v>
      </c>
      <c r="L13" s="60">
        <v>0</v>
      </c>
      <c r="M13" s="60">
        <v>0</v>
      </c>
      <c r="N13" s="60">
        <v>0</v>
      </c>
      <c r="O13" s="60">
        <v>0</v>
      </c>
      <c r="P13" s="50">
        <f t="shared" si="3"/>
        <v>0</v>
      </c>
      <c r="R13" s="134">
        <f t="shared" si="4"/>
        <v>0</v>
      </c>
      <c r="T13" s="48">
        <f t="shared" si="5"/>
        <v>-4.5</v>
      </c>
      <c r="U13" s="47" t="e">
        <f t="shared" si="6"/>
        <v>#DIV/0!</v>
      </c>
      <c r="V13" s="46" t="e">
        <f t="shared" si="7"/>
        <v>#DIV/0!</v>
      </c>
      <c r="W13" s="45" t="e">
        <f t="shared" si="8"/>
        <v>#DIV/0!</v>
      </c>
      <c r="X13" s="46" t="e">
        <f t="shared" si="9"/>
        <v>#DIV/0!</v>
      </c>
      <c r="Y13" s="46" t="e">
        <f t="shared" si="10"/>
        <v>#DIV/0!</v>
      </c>
      <c r="Z13" s="46" t="e">
        <f t="shared" si="11"/>
        <v>#DIV/0!</v>
      </c>
      <c r="AA13" s="46" t="e">
        <f t="shared" si="12"/>
        <v>#DIV/0!</v>
      </c>
      <c r="AB13" s="45" t="e">
        <f t="shared" si="13"/>
        <v>#DIV/0!</v>
      </c>
      <c r="AC13" s="49" t="e">
        <f t="shared" si="14"/>
        <v>#DIV/0!</v>
      </c>
      <c r="AE13" s="48">
        <f t="shared" si="15"/>
        <v>-4.5</v>
      </c>
      <c r="AF13" s="47" t="e">
        <f t="shared" si="16"/>
        <v>#DIV/0!</v>
      </c>
      <c r="AG13" s="46" t="e">
        <f t="shared" si="16"/>
        <v>#DIV/0!</v>
      </c>
      <c r="AH13" s="45" t="e">
        <f t="shared" si="16"/>
        <v>#DIV/0!</v>
      </c>
      <c r="AI13" s="47" t="e">
        <f t="shared" si="16"/>
        <v>#DIV/0!</v>
      </c>
      <c r="AJ13" s="46" t="e">
        <f t="shared" si="16"/>
        <v>#DIV/0!</v>
      </c>
      <c r="AK13" s="46" t="e">
        <f t="shared" si="16"/>
        <v>#DIV/0!</v>
      </c>
      <c r="AL13" s="46" t="e">
        <f t="shared" si="16"/>
        <v>#DIV/0!</v>
      </c>
      <c r="AM13" s="45" t="e">
        <f t="shared" si="16"/>
        <v>#DIV/0!</v>
      </c>
      <c r="AN13" s="44" t="e">
        <f t="shared" si="17"/>
        <v>#DIV/0!</v>
      </c>
    </row>
    <row r="14" spans="1:40" x14ac:dyDescent="0.35">
      <c r="A14" s="58" t="s">
        <v>63</v>
      </c>
      <c r="B14" s="57">
        <v>-4</v>
      </c>
      <c r="C14" s="62">
        <v>0</v>
      </c>
      <c r="D14" s="55">
        <f t="shared" si="18"/>
        <v>0</v>
      </c>
      <c r="E14" s="54">
        <f>SUM(D8:D14)</f>
        <v>0</v>
      </c>
      <c r="G14" s="48">
        <f t="shared" si="2"/>
        <v>-4</v>
      </c>
      <c r="H14" s="61">
        <v>0</v>
      </c>
      <c r="I14" s="60">
        <v>0</v>
      </c>
      <c r="J14" s="59">
        <v>0</v>
      </c>
      <c r="K14" s="60">
        <v>0</v>
      </c>
      <c r="L14" s="60">
        <v>0</v>
      </c>
      <c r="M14" s="60">
        <v>0</v>
      </c>
      <c r="N14" s="60">
        <v>0</v>
      </c>
      <c r="O14" s="60">
        <v>0</v>
      </c>
      <c r="P14" s="50">
        <f t="shared" si="3"/>
        <v>0</v>
      </c>
      <c r="R14" s="134">
        <f t="shared" si="4"/>
        <v>0</v>
      </c>
      <c r="T14" s="48">
        <f t="shared" si="5"/>
        <v>-4</v>
      </c>
      <c r="U14" s="47" t="e">
        <f t="shared" si="6"/>
        <v>#DIV/0!</v>
      </c>
      <c r="V14" s="46" t="e">
        <f t="shared" si="7"/>
        <v>#DIV/0!</v>
      </c>
      <c r="W14" s="45" t="e">
        <f t="shared" si="8"/>
        <v>#DIV/0!</v>
      </c>
      <c r="X14" s="46" t="e">
        <f t="shared" si="9"/>
        <v>#DIV/0!</v>
      </c>
      <c r="Y14" s="46" t="e">
        <f t="shared" si="10"/>
        <v>#DIV/0!</v>
      </c>
      <c r="Z14" s="46" t="e">
        <f t="shared" si="11"/>
        <v>#DIV/0!</v>
      </c>
      <c r="AA14" s="46" t="e">
        <f t="shared" si="12"/>
        <v>#DIV/0!</v>
      </c>
      <c r="AB14" s="45" t="e">
        <f t="shared" si="13"/>
        <v>#DIV/0!</v>
      </c>
      <c r="AC14" s="49" t="e">
        <f t="shared" si="14"/>
        <v>#DIV/0!</v>
      </c>
      <c r="AE14" s="48">
        <f t="shared" si="15"/>
        <v>-4</v>
      </c>
      <c r="AF14" s="47" t="e">
        <f t="shared" si="16"/>
        <v>#DIV/0!</v>
      </c>
      <c r="AG14" s="46" t="e">
        <f t="shared" si="16"/>
        <v>#DIV/0!</v>
      </c>
      <c r="AH14" s="45" t="e">
        <f t="shared" si="16"/>
        <v>#DIV/0!</v>
      </c>
      <c r="AI14" s="47" t="e">
        <f t="shared" si="16"/>
        <v>#DIV/0!</v>
      </c>
      <c r="AJ14" s="46" t="e">
        <f t="shared" si="16"/>
        <v>#DIV/0!</v>
      </c>
      <c r="AK14" s="46" t="e">
        <f t="shared" si="16"/>
        <v>#DIV/0!</v>
      </c>
      <c r="AL14" s="46" t="e">
        <f t="shared" si="16"/>
        <v>#DIV/0!</v>
      </c>
      <c r="AM14" s="45" t="e">
        <f t="shared" si="16"/>
        <v>#DIV/0!</v>
      </c>
      <c r="AN14" s="44" t="e">
        <f t="shared" si="17"/>
        <v>#DIV/0!</v>
      </c>
    </row>
    <row r="15" spans="1:40" x14ac:dyDescent="0.35">
      <c r="A15" s="58" t="s">
        <v>62</v>
      </c>
      <c r="B15" s="57">
        <v>-3.5</v>
      </c>
      <c r="C15" s="62">
        <v>1.9</v>
      </c>
      <c r="D15" s="55">
        <f>(C15/B$4)*100</f>
        <v>0.955446042441919</v>
      </c>
      <c r="E15" s="54">
        <f>SUM(D6:D15)</f>
        <v>0.955446042441919</v>
      </c>
      <c r="F15" s="134"/>
      <c r="G15" s="48">
        <f t="shared" si="2"/>
        <v>-3.5</v>
      </c>
      <c r="H15" s="61">
        <v>0.8</v>
      </c>
      <c r="I15" s="60">
        <v>0</v>
      </c>
      <c r="J15" s="59">
        <v>0</v>
      </c>
      <c r="K15" s="60">
        <v>0</v>
      </c>
      <c r="L15" s="60">
        <v>0</v>
      </c>
      <c r="M15" s="60">
        <v>0</v>
      </c>
      <c r="N15" s="60">
        <v>1.1000000000000001</v>
      </c>
      <c r="O15" s="59">
        <v>0</v>
      </c>
      <c r="P15" s="50">
        <f t="shared" si="3"/>
        <v>1.9000000000000001</v>
      </c>
      <c r="R15" s="134">
        <f t="shared" si="4"/>
        <v>0</v>
      </c>
      <c r="T15" s="48">
        <f t="shared" si="5"/>
        <v>-3.5</v>
      </c>
      <c r="U15" s="67">
        <f t="shared" si="6"/>
        <v>42.105263157894733</v>
      </c>
      <c r="V15" s="66">
        <f t="shared" si="7"/>
        <v>0</v>
      </c>
      <c r="W15" s="65">
        <f t="shared" si="8"/>
        <v>0</v>
      </c>
      <c r="X15" s="66">
        <f t="shared" si="9"/>
        <v>0</v>
      </c>
      <c r="Y15" s="66">
        <f t="shared" si="10"/>
        <v>0</v>
      </c>
      <c r="Z15" s="66">
        <f t="shared" si="11"/>
        <v>0</v>
      </c>
      <c r="AA15" s="66">
        <f t="shared" si="12"/>
        <v>57.894736842105267</v>
      </c>
      <c r="AB15" s="65">
        <f t="shared" si="13"/>
        <v>0</v>
      </c>
      <c r="AC15" s="50">
        <f t="shared" si="14"/>
        <v>100</v>
      </c>
      <c r="AE15" s="48">
        <f t="shared" si="15"/>
        <v>-3.5</v>
      </c>
      <c r="AF15" s="67">
        <f t="shared" ref="AF15:AJ33" si="19">U15*100/(SUM($U15:$Y15)+SUM($AA15:$AB15))</f>
        <v>42.105263157894733</v>
      </c>
      <c r="AG15" s="66">
        <f t="shared" si="19"/>
        <v>0</v>
      </c>
      <c r="AH15" s="65">
        <f t="shared" si="19"/>
        <v>0</v>
      </c>
      <c r="AI15" s="67">
        <f t="shared" si="19"/>
        <v>0</v>
      </c>
      <c r="AJ15" s="66">
        <f t="shared" si="19"/>
        <v>0</v>
      </c>
      <c r="AK15" s="66">
        <v>0</v>
      </c>
      <c r="AL15" s="66">
        <f t="shared" ref="AL15:AM33" si="20">AA15*100/(SUM($U15:$Y15)+SUM($AA15:$AB15))</f>
        <v>57.894736842105267</v>
      </c>
      <c r="AM15" s="65">
        <f t="shared" si="20"/>
        <v>0</v>
      </c>
      <c r="AN15" s="64">
        <f t="shared" si="17"/>
        <v>100</v>
      </c>
    </row>
    <row r="16" spans="1:40" x14ac:dyDescent="0.35">
      <c r="A16" s="71" t="s">
        <v>61</v>
      </c>
      <c r="B16" s="57">
        <v>-3</v>
      </c>
      <c r="C16" s="62">
        <v>5.8999999999999986</v>
      </c>
      <c r="D16" s="55">
        <f t="shared" si="18"/>
        <v>2.9669113949512216</v>
      </c>
      <c r="E16" s="54">
        <f>SUM(D6:D16)</f>
        <v>3.9223574373931407</v>
      </c>
      <c r="F16" s="134"/>
      <c r="G16" s="48">
        <f t="shared" si="2"/>
        <v>-3</v>
      </c>
      <c r="H16" s="61">
        <v>1.9</v>
      </c>
      <c r="I16" s="60">
        <v>0.1</v>
      </c>
      <c r="J16" s="59">
        <v>0</v>
      </c>
      <c r="K16" s="60">
        <v>0</v>
      </c>
      <c r="L16" s="60">
        <v>1.3</v>
      </c>
      <c r="M16" s="60">
        <v>22.3</v>
      </c>
      <c r="N16" s="60">
        <v>1.5</v>
      </c>
      <c r="O16" s="59">
        <v>0</v>
      </c>
      <c r="P16" s="50">
        <f t="shared" si="3"/>
        <v>27.1</v>
      </c>
      <c r="R16" s="134">
        <f t="shared" ref="R16" si="21">100*(M16/$B$4)</f>
        <v>11.213919340239366</v>
      </c>
      <c r="T16" s="48">
        <f t="shared" si="5"/>
        <v>-3</v>
      </c>
      <c r="U16" s="67">
        <f t="shared" si="6"/>
        <v>7.0110701107011071</v>
      </c>
      <c r="V16" s="66">
        <f t="shared" si="7"/>
        <v>0.36900369003690037</v>
      </c>
      <c r="W16" s="65">
        <f t="shared" si="8"/>
        <v>0</v>
      </c>
      <c r="X16" s="66">
        <f t="shared" si="9"/>
        <v>0</v>
      </c>
      <c r="Y16" s="66">
        <f t="shared" si="10"/>
        <v>4.7970479704797047</v>
      </c>
      <c r="Z16" s="66">
        <f t="shared" si="11"/>
        <v>82.287822878228781</v>
      </c>
      <c r="AA16" s="66">
        <f t="shared" si="12"/>
        <v>5.5350553505535052</v>
      </c>
      <c r="AB16" s="65">
        <f t="shared" si="13"/>
        <v>0</v>
      </c>
      <c r="AC16" s="50">
        <f t="shared" si="14"/>
        <v>100</v>
      </c>
      <c r="AE16" s="48">
        <f t="shared" si="15"/>
        <v>-3</v>
      </c>
      <c r="AF16" s="67">
        <f t="shared" si="19"/>
        <v>39.583333333333329</v>
      </c>
      <c r="AG16" s="66">
        <f t="shared" si="19"/>
        <v>2.083333333333333</v>
      </c>
      <c r="AH16" s="65">
        <f t="shared" si="19"/>
        <v>0</v>
      </c>
      <c r="AI16" s="67">
        <f t="shared" si="19"/>
        <v>0</v>
      </c>
      <c r="AJ16" s="66">
        <f t="shared" si="19"/>
        <v>27.083333333333332</v>
      </c>
      <c r="AK16" s="66">
        <v>0</v>
      </c>
      <c r="AL16" s="66">
        <f t="shared" si="20"/>
        <v>31.249999999999993</v>
      </c>
      <c r="AM16" s="65">
        <f t="shared" si="20"/>
        <v>0</v>
      </c>
      <c r="AN16" s="64">
        <f t="shared" si="17"/>
        <v>100</v>
      </c>
    </row>
    <row r="17" spans="1:40" x14ac:dyDescent="0.35">
      <c r="A17" s="71" t="s">
        <v>60</v>
      </c>
      <c r="B17" s="57">
        <v>-2.5</v>
      </c>
      <c r="C17" s="62">
        <v>6.8599999999999994</v>
      </c>
      <c r="D17" s="55">
        <f t="shared" si="18"/>
        <v>3.4496630795534546</v>
      </c>
      <c r="E17" s="54">
        <f>SUM(D6:D17)</f>
        <v>7.3720205169465949</v>
      </c>
      <c r="F17" s="134"/>
      <c r="G17" s="48">
        <f t="shared" si="2"/>
        <v>-2.5</v>
      </c>
      <c r="H17" s="61">
        <v>2.5</v>
      </c>
      <c r="I17" s="60">
        <v>0.5</v>
      </c>
      <c r="J17" s="59">
        <v>0</v>
      </c>
      <c r="K17" s="60">
        <v>0</v>
      </c>
      <c r="L17" s="60">
        <v>0</v>
      </c>
      <c r="M17" s="60">
        <v>24.8</v>
      </c>
      <c r="N17" s="60">
        <v>3.3</v>
      </c>
      <c r="O17" s="59">
        <v>0</v>
      </c>
      <c r="P17" s="50">
        <f t="shared" si="3"/>
        <v>31.1</v>
      </c>
      <c r="R17" s="134">
        <f t="shared" si="4"/>
        <v>12.47108518555768</v>
      </c>
      <c r="T17" s="48">
        <f t="shared" si="5"/>
        <v>-2.5</v>
      </c>
      <c r="U17" s="67">
        <f t="shared" si="6"/>
        <v>8.0385852090032159</v>
      </c>
      <c r="V17" s="66">
        <f t="shared" si="7"/>
        <v>1.607717041800643</v>
      </c>
      <c r="W17" s="65">
        <f t="shared" si="8"/>
        <v>0</v>
      </c>
      <c r="X17" s="66">
        <f t="shared" si="9"/>
        <v>0</v>
      </c>
      <c r="Y17" s="66">
        <f t="shared" si="10"/>
        <v>0</v>
      </c>
      <c r="Z17" s="66">
        <f t="shared" si="11"/>
        <v>79.742765273311889</v>
      </c>
      <c r="AA17" s="66">
        <f t="shared" si="12"/>
        <v>10.610932475884244</v>
      </c>
      <c r="AB17" s="65">
        <f t="shared" si="13"/>
        <v>0</v>
      </c>
      <c r="AC17" s="50">
        <f t="shared" si="14"/>
        <v>99.999999999999986</v>
      </c>
      <c r="AE17" s="48">
        <f t="shared" si="15"/>
        <v>-2.5</v>
      </c>
      <c r="AF17" s="67">
        <f t="shared" si="19"/>
        <v>39.682539682539684</v>
      </c>
      <c r="AG17" s="66">
        <f t="shared" si="19"/>
        <v>7.936507936507935</v>
      </c>
      <c r="AH17" s="65">
        <f t="shared" si="19"/>
        <v>0</v>
      </c>
      <c r="AI17" s="67">
        <f t="shared" si="19"/>
        <v>0</v>
      </c>
      <c r="AJ17" s="66">
        <f t="shared" si="19"/>
        <v>0</v>
      </c>
      <c r="AK17" s="66">
        <v>0</v>
      </c>
      <c r="AL17" s="66">
        <f t="shared" si="20"/>
        <v>52.38095238095238</v>
      </c>
      <c r="AM17" s="65">
        <f t="shared" si="20"/>
        <v>0</v>
      </c>
      <c r="AN17" s="64">
        <f t="shared" si="17"/>
        <v>100</v>
      </c>
    </row>
    <row r="18" spans="1:40" x14ac:dyDescent="0.35">
      <c r="A18" s="58" t="s">
        <v>59</v>
      </c>
      <c r="B18" s="57">
        <v>-2</v>
      </c>
      <c r="C18" s="62">
        <v>6.32</v>
      </c>
      <c r="D18" s="55">
        <f t="shared" si="18"/>
        <v>3.1781152569646989</v>
      </c>
      <c r="E18" s="54">
        <f>SUM(D6:D18)</f>
        <v>10.550135773911293</v>
      </c>
      <c r="F18" s="134"/>
      <c r="G18" s="48">
        <f t="shared" si="2"/>
        <v>-2</v>
      </c>
      <c r="H18" s="61">
        <v>1.21</v>
      </c>
      <c r="I18" s="60">
        <v>2.09</v>
      </c>
      <c r="J18" s="59">
        <v>0</v>
      </c>
      <c r="K18" s="60">
        <v>0</v>
      </c>
      <c r="L18" s="60">
        <v>0.31</v>
      </c>
      <c r="M18" s="60">
        <v>21.85</v>
      </c>
      <c r="N18" s="60">
        <v>2.33</v>
      </c>
      <c r="O18" s="59">
        <v>0</v>
      </c>
      <c r="P18" s="50">
        <f t="shared" si="3"/>
        <v>27.79</v>
      </c>
      <c r="R18" s="134">
        <f t="shared" si="4"/>
        <v>10.987629488082069</v>
      </c>
      <c r="T18" s="48">
        <f t="shared" si="5"/>
        <v>-2</v>
      </c>
      <c r="U18" s="67">
        <f t="shared" si="6"/>
        <v>4.3540842029507019</v>
      </c>
      <c r="V18" s="66">
        <f t="shared" si="7"/>
        <v>7.5206908960057577</v>
      </c>
      <c r="W18" s="65">
        <f t="shared" si="8"/>
        <v>0</v>
      </c>
      <c r="X18" s="66">
        <f t="shared" si="9"/>
        <v>0</v>
      </c>
      <c r="Y18" s="66">
        <f t="shared" si="10"/>
        <v>1.1155091759625766</v>
      </c>
      <c r="Z18" s="66">
        <f t="shared" si="11"/>
        <v>78.625404821878377</v>
      </c>
      <c r="AA18" s="66">
        <f t="shared" si="12"/>
        <v>8.3843109032025911</v>
      </c>
      <c r="AB18" s="65">
        <f t="shared" si="13"/>
        <v>0</v>
      </c>
      <c r="AC18" s="50">
        <f t="shared" si="14"/>
        <v>100</v>
      </c>
      <c r="AE18" s="48">
        <f t="shared" si="15"/>
        <v>-2</v>
      </c>
      <c r="AF18" s="67">
        <f t="shared" si="19"/>
        <v>20.37037037037037</v>
      </c>
      <c r="AG18" s="66">
        <f t="shared" si="19"/>
        <v>35.18518518518519</v>
      </c>
      <c r="AH18" s="65">
        <f t="shared" si="19"/>
        <v>0</v>
      </c>
      <c r="AI18" s="67">
        <f t="shared" si="19"/>
        <v>0</v>
      </c>
      <c r="AJ18" s="66">
        <f t="shared" si="19"/>
        <v>5.2188552188552197</v>
      </c>
      <c r="AK18" s="66">
        <v>0</v>
      </c>
      <c r="AL18" s="66">
        <f t="shared" si="20"/>
        <v>39.225589225589225</v>
      </c>
      <c r="AM18" s="65">
        <f t="shared" si="20"/>
        <v>0</v>
      </c>
      <c r="AN18" s="64">
        <f t="shared" si="17"/>
        <v>100</v>
      </c>
    </row>
    <row r="19" spans="1:40" x14ac:dyDescent="0.35">
      <c r="A19" s="58" t="s">
        <v>58</v>
      </c>
      <c r="B19" s="57">
        <v>-1.5</v>
      </c>
      <c r="C19" s="62">
        <v>4</v>
      </c>
      <c r="D19" s="55">
        <f t="shared" si="18"/>
        <v>2.0114653525093029</v>
      </c>
      <c r="E19" s="54">
        <f>SUM(D6:D19)</f>
        <v>12.561601126420596</v>
      </c>
      <c r="F19" s="134"/>
      <c r="G19" s="48">
        <f t="shared" si="2"/>
        <v>-1.5</v>
      </c>
      <c r="H19" s="61">
        <v>0.76</v>
      </c>
      <c r="I19" s="60">
        <v>2.5</v>
      </c>
      <c r="J19" s="59">
        <v>0</v>
      </c>
      <c r="K19" s="60">
        <v>0.25</v>
      </c>
      <c r="L19" s="60">
        <v>0.38</v>
      </c>
      <c r="M19" s="60">
        <v>0.56999999999999995</v>
      </c>
      <c r="N19" s="60">
        <v>0</v>
      </c>
      <c r="O19" s="59">
        <v>0</v>
      </c>
      <c r="P19" s="50">
        <f t="shared" si="3"/>
        <v>4.46</v>
      </c>
      <c r="R19" s="134">
        <f t="shared" si="4"/>
        <v>0.28663381273257565</v>
      </c>
      <c r="T19" s="48">
        <f t="shared" si="5"/>
        <v>-1.5</v>
      </c>
      <c r="U19" s="67">
        <f t="shared" si="6"/>
        <v>17.04035874439462</v>
      </c>
      <c r="V19" s="66">
        <f t="shared" si="7"/>
        <v>56.053811659192824</v>
      </c>
      <c r="W19" s="65">
        <f t="shared" si="8"/>
        <v>0</v>
      </c>
      <c r="X19" s="66">
        <f t="shared" si="9"/>
        <v>5.6053811659192823</v>
      </c>
      <c r="Y19" s="66">
        <f t="shared" si="10"/>
        <v>8.52017937219731</v>
      </c>
      <c r="Z19" s="66">
        <f t="shared" si="11"/>
        <v>12.780269058295962</v>
      </c>
      <c r="AA19" s="66">
        <f t="shared" si="12"/>
        <v>0</v>
      </c>
      <c r="AB19" s="65">
        <f t="shared" si="13"/>
        <v>0</v>
      </c>
      <c r="AC19" s="50">
        <f t="shared" si="14"/>
        <v>99.999999999999986</v>
      </c>
      <c r="AE19" s="48">
        <f t="shared" si="15"/>
        <v>-1.5</v>
      </c>
      <c r="AF19" s="67">
        <f t="shared" si="19"/>
        <v>19.537275064267355</v>
      </c>
      <c r="AG19" s="66">
        <f t="shared" si="19"/>
        <v>64.267352185089976</v>
      </c>
      <c r="AH19" s="65">
        <f t="shared" si="19"/>
        <v>0</v>
      </c>
      <c r="AI19" s="67">
        <f t="shared" si="19"/>
        <v>6.4267352185089974</v>
      </c>
      <c r="AJ19" s="66">
        <f t="shared" si="19"/>
        <v>9.7686375321336776</v>
      </c>
      <c r="AK19" s="66">
        <v>0</v>
      </c>
      <c r="AL19" s="66">
        <f t="shared" si="20"/>
        <v>0</v>
      </c>
      <c r="AM19" s="65">
        <f t="shared" si="20"/>
        <v>0</v>
      </c>
      <c r="AN19" s="64">
        <f t="shared" si="17"/>
        <v>100.00000000000001</v>
      </c>
    </row>
    <row r="20" spans="1:40" x14ac:dyDescent="0.35">
      <c r="A20" s="58" t="s">
        <v>57</v>
      </c>
      <c r="B20" s="57">
        <v>-1</v>
      </c>
      <c r="C20" s="62">
        <v>7.1800000000000006</v>
      </c>
      <c r="D20" s="55">
        <f t="shared" si="18"/>
        <v>3.6105803077541991</v>
      </c>
      <c r="E20" s="54">
        <f>SUM(D6:D20)</f>
        <v>16.172181434174796</v>
      </c>
      <c r="F20" s="134"/>
      <c r="G20" s="48">
        <f t="shared" si="2"/>
        <v>-1</v>
      </c>
      <c r="H20" s="61">
        <v>0.82</v>
      </c>
      <c r="I20" s="60">
        <v>5.19</v>
      </c>
      <c r="J20" s="59">
        <v>0.18</v>
      </c>
      <c r="K20" s="60">
        <v>0.26</v>
      </c>
      <c r="L20" s="60">
        <v>0.5</v>
      </c>
      <c r="M20" s="60">
        <v>1.04</v>
      </c>
      <c r="N20" s="60">
        <v>0.04</v>
      </c>
      <c r="O20" s="59">
        <v>0</v>
      </c>
      <c r="P20" s="50">
        <f t="shared" si="3"/>
        <v>8.0299999999999994</v>
      </c>
      <c r="R20" s="134">
        <f t="shared" si="4"/>
        <v>0.52298099165241885</v>
      </c>
      <c r="T20" s="48">
        <f t="shared" si="5"/>
        <v>-1</v>
      </c>
      <c r="U20" s="67">
        <f t="shared" si="6"/>
        <v>10.211706102117061</v>
      </c>
      <c r="V20" s="66">
        <f t="shared" si="7"/>
        <v>64.632627646326284</v>
      </c>
      <c r="W20" s="65">
        <f t="shared" si="8"/>
        <v>2.2415940224159403</v>
      </c>
      <c r="X20" s="66">
        <f t="shared" si="9"/>
        <v>3.2378580323785804</v>
      </c>
      <c r="Y20" s="66">
        <f t="shared" si="10"/>
        <v>6.2266500622665015</v>
      </c>
      <c r="Z20" s="66">
        <f t="shared" si="11"/>
        <v>12.951432129514322</v>
      </c>
      <c r="AA20" s="66">
        <f t="shared" si="12"/>
        <v>0.4981320049813201</v>
      </c>
      <c r="AB20" s="65">
        <f t="shared" si="13"/>
        <v>0</v>
      </c>
      <c r="AC20" s="50">
        <f t="shared" si="14"/>
        <v>100</v>
      </c>
      <c r="AE20" s="48">
        <f t="shared" si="15"/>
        <v>-1</v>
      </c>
      <c r="AF20" s="67">
        <f t="shared" si="19"/>
        <v>11.731044349070098</v>
      </c>
      <c r="AG20" s="66">
        <f t="shared" si="19"/>
        <v>74.248927038626618</v>
      </c>
      <c r="AH20" s="65">
        <f t="shared" si="19"/>
        <v>2.5751072961373391</v>
      </c>
      <c r="AI20" s="67">
        <f t="shared" si="19"/>
        <v>3.7195994277539342</v>
      </c>
      <c r="AJ20" s="66">
        <f t="shared" si="19"/>
        <v>7.1530758226037197</v>
      </c>
      <c r="AK20" s="66">
        <v>0</v>
      </c>
      <c r="AL20" s="66">
        <f t="shared" si="20"/>
        <v>0.57224606580829762</v>
      </c>
      <c r="AM20" s="65">
        <f t="shared" si="20"/>
        <v>0</v>
      </c>
      <c r="AN20" s="64">
        <f t="shared" si="17"/>
        <v>100.00000000000001</v>
      </c>
    </row>
    <row r="21" spans="1:40" x14ac:dyDescent="0.35">
      <c r="A21" s="58" t="s">
        <v>56</v>
      </c>
      <c r="B21" s="57">
        <v>-0.5</v>
      </c>
      <c r="C21" s="62">
        <v>8.379999999999999</v>
      </c>
      <c r="D21" s="55">
        <f t="shared" si="18"/>
        <v>4.2140199135069896</v>
      </c>
      <c r="E21" s="54">
        <f>SUM(D6:D21)</f>
        <v>20.386201347681784</v>
      </c>
      <c r="F21" s="134"/>
      <c r="G21" s="70">
        <f t="shared" si="2"/>
        <v>-0.5</v>
      </c>
      <c r="H21" s="53">
        <v>0.21</v>
      </c>
      <c r="I21" s="52">
        <v>6.77</v>
      </c>
      <c r="J21" s="51">
        <v>0.12</v>
      </c>
      <c r="K21" s="52">
        <v>0.34</v>
      </c>
      <c r="L21" s="52">
        <v>0.67</v>
      </c>
      <c r="M21" s="52">
        <v>0.32</v>
      </c>
      <c r="N21" s="52">
        <v>0</v>
      </c>
      <c r="O21" s="51">
        <v>0</v>
      </c>
      <c r="P21" s="69">
        <f t="shared" si="3"/>
        <v>8.43</v>
      </c>
      <c r="R21" s="134">
        <f t="shared" si="4"/>
        <v>0.16091722820074428</v>
      </c>
      <c r="T21" s="48">
        <f t="shared" si="5"/>
        <v>-0.5</v>
      </c>
      <c r="U21" s="67">
        <f t="shared" si="6"/>
        <v>2.4911032028469751</v>
      </c>
      <c r="V21" s="66">
        <f t="shared" si="7"/>
        <v>80.308422301304873</v>
      </c>
      <c r="W21" s="65">
        <f t="shared" si="8"/>
        <v>1.4234875444839858</v>
      </c>
      <c r="X21" s="66">
        <f t="shared" si="9"/>
        <v>4.0332147093712933</v>
      </c>
      <c r="Y21" s="66">
        <f t="shared" si="10"/>
        <v>7.9478054567022545</v>
      </c>
      <c r="Z21" s="66">
        <f t="shared" si="11"/>
        <v>3.7959667852906289</v>
      </c>
      <c r="AA21" s="66">
        <f t="shared" si="12"/>
        <v>0</v>
      </c>
      <c r="AB21" s="65">
        <f t="shared" si="13"/>
        <v>0</v>
      </c>
      <c r="AC21" s="50">
        <f t="shared" si="14"/>
        <v>100.00000000000001</v>
      </c>
      <c r="AE21" s="48">
        <f t="shared" si="15"/>
        <v>-0.5</v>
      </c>
      <c r="AF21" s="67">
        <f t="shared" si="19"/>
        <v>2.5893958076448826</v>
      </c>
      <c r="AG21" s="66">
        <f t="shared" si="19"/>
        <v>83.477188655980271</v>
      </c>
      <c r="AH21" s="65">
        <f t="shared" si="19"/>
        <v>1.4796547472256472</v>
      </c>
      <c r="AI21" s="67">
        <f t="shared" si="19"/>
        <v>4.1923551171393338</v>
      </c>
      <c r="AJ21" s="66">
        <f t="shared" si="19"/>
        <v>8.2614056720098645</v>
      </c>
      <c r="AK21" s="66">
        <v>0</v>
      </c>
      <c r="AL21" s="66">
        <f t="shared" si="20"/>
        <v>0</v>
      </c>
      <c r="AM21" s="65">
        <f t="shared" si="20"/>
        <v>0</v>
      </c>
      <c r="AN21" s="64">
        <f t="shared" si="17"/>
        <v>100</v>
      </c>
    </row>
    <row r="22" spans="1:40" x14ac:dyDescent="0.35">
      <c r="A22" s="58" t="s">
        <v>55</v>
      </c>
      <c r="B22" s="57">
        <v>0</v>
      </c>
      <c r="C22" s="62">
        <v>7.3</v>
      </c>
      <c r="D22" s="55">
        <f t="shared" si="18"/>
        <v>3.6709242683294785</v>
      </c>
      <c r="E22" s="54">
        <f>SUM(D6:D22)</f>
        <v>24.057125616011263</v>
      </c>
      <c r="F22" s="134"/>
      <c r="G22" s="48">
        <f t="shared" si="2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3"/>
        <v>0</v>
      </c>
      <c r="R22" s="134">
        <f t="shared" si="4"/>
        <v>0</v>
      </c>
      <c r="T22" s="48">
        <f t="shared" si="5"/>
        <v>0</v>
      </c>
      <c r="U22" s="47" t="e">
        <f t="shared" si="6"/>
        <v>#DIV/0!</v>
      </c>
      <c r="V22" s="46" t="e">
        <f t="shared" si="7"/>
        <v>#DIV/0!</v>
      </c>
      <c r="W22" s="45" t="e">
        <f t="shared" si="8"/>
        <v>#DIV/0!</v>
      </c>
      <c r="X22" s="46" t="e">
        <f t="shared" si="9"/>
        <v>#DIV/0!</v>
      </c>
      <c r="Y22" s="46" t="e">
        <f t="shared" si="10"/>
        <v>#DIV/0!</v>
      </c>
      <c r="Z22" s="46" t="e">
        <f t="shared" si="11"/>
        <v>#DIV/0!</v>
      </c>
      <c r="AA22" s="46" t="e">
        <f t="shared" si="12"/>
        <v>#DIV/0!</v>
      </c>
      <c r="AB22" s="45" t="e">
        <f t="shared" si="13"/>
        <v>#DIV/0!</v>
      </c>
      <c r="AC22" s="49" t="e">
        <f t="shared" si="14"/>
        <v>#DIV/0!</v>
      </c>
      <c r="AE22" s="48">
        <f t="shared" si="15"/>
        <v>0</v>
      </c>
      <c r="AF22" s="47" t="e">
        <f t="shared" si="19"/>
        <v>#DIV/0!</v>
      </c>
      <c r="AG22" s="46" t="e">
        <f t="shared" si="19"/>
        <v>#DIV/0!</v>
      </c>
      <c r="AH22" s="45" t="e">
        <f t="shared" si="19"/>
        <v>#DIV/0!</v>
      </c>
      <c r="AI22" s="47" t="e">
        <f t="shared" si="19"/>
        <v>#DIV/0!</v>
      </c>
      <c r="AJ22" s="46" t="e">
        <f t="shared" si="19"/>
        <v>#DIV/0!</v>
      </c>
      <c r="AK22" s="46" t="e">
        <f t="shared" ref="AK22:AK33" si="22">Z22*100/(SUM($U22:$Y22)+SUM($AA22:$AB22))</f>
        <v>#DIV/0!</v>
      </c>
      <c r="AL22" s="46" t="e">
        <f t="shared" si="20"/>
        <v>#DIV/0!</v>
      </c>
      <c r="AM22" s="45" t="e">
        <f t="shared" si="20"/>
        <v>#DIV/0!</v>
      </c>
      <c r="AN22" s="44" t="e">
        <f t="shared" si="17"/>
        <v>#DIV/0!</v>
      </c>
    </row>
    <row r="23" spans="1:40" x14ac:dyDescent="0.35">
      <c r="A23" s="58" t="s">
        <v>54</v>
      </c>
      <c r="B23" s="57">
        <v>0.5</v>
      </c>
      <c r="C23" s="62">
        <v>6.46</v>
      </c>
      <c r="D23" s="55">
        <f t="shared" si="18"/>
        <v>3.2485165443025243</v>
      </c>
      <c r="E23" s="54">
        <f>SUM(D6:D23)</f>
        <v>27.305642160313788</v>
      </c>
      <c r="F23" s="134"/>
      <c r="G23" s="48">
        <f t="shared" si="2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3"/>
        <v>0</v>
      </c>
      <c r="R23" s="134">
        <f t="shared" si="4"/>
        <v>0</v>
      </c>
      <c r="T23" s="48">
        <f t="shared" si="5"/>
        <v>0.5</v>
      </c>
      <c r="U23" s="47" t="e">
        <f t="shared" si="6"/>
        <v>#DIV/0!</v>
      </c>
      <c r="V23" s="46" t="e">
        <f t="shared" si="7"/>
        <v>#DIV/0!</v>
      </c>
      <c r="W23" s="45" t="e">
        <f t="shared" si="8"/>
        <v>#DIV/0!</v>
      </c>
      <c r="X23" s="46" t="e">
        <f t="shared" si="9"/>
        <v>#DIV/0!</v>
      </c>
      <c r="Y23" s="46" t="e">
        <f t="shared" si="10"/>
        <v>#DIV/0!</v>
      </c>
      <c r="Z23" s="46" t="e">
        <f t="shared" si="11"/>
        <v>#DIV/0!</v>
      </c>
      <c r="AA23" s="46" t="e">
        <f t="shared" si="12"/>
        <v>#DIV/0!</v>
      </c>
      <c r="AB23" s="45" t="e">
        <f t="shared" si="13"/>
        <v>#DIV/0!</v>
      </c>
      <c r="AC23" s="49" t="e">
        <f t="shared" si="14"/>
        <v>#DIV/0!</v>
      </c>
      <c r="AE23" s="48">
        <f t="shared" si="15"/>
        <v>0.5</v>
      </c>
      <c r="AF23" s="47" t="e">
        <f t="shared" si="19"/>
        <v>#DIV/0!</v>
      </c>
      <c r="AG23" s="46" t="e">
        <f t="shared" si="19"/>
        <v>#DIV/0!</v>
      </c>
      <c r="AH23" s="45" t="e">
        <f t="shared" si="19"/>
        <v>#DIV/0!</v>
      </c>
      <c r="AI23" s="47" t="e">
        <f t="shared" si="19"/>
        <v>#DIV/0!</v>
      </c>
      <c r="AJ23" s="46" t="e">
        <f t="shared" si="19"/>
        <v>#DIV/0!</v>
      </c>
      <c r="AK23" s="46" t="e">
        <f t="shared" si="22"/>
        <v>#DIV/0!</v>
      </c>
      <c r="AL23" s="46" t="e">
        <f t="shared" si="20"/>
        <v>#DIV/0!</v>
      </c>
      <c r="AM23" s="45" t="e">
        <f t="shared" si="20"/>
        <v>#DIV/0!</v>
      </c>
      <c r="AN23" s="44" t="e">
        <f t="shared" si="17"/>
        <v>#DIV/0!</v>
      </c>
    </row>
    <row r="24" spans="1:40" x14ac:dyDescent="0.35">
      <c r="A24" s="58" t="s">
        <v>53</v>
      </c>
      <c r="B24" s="57">
        <v>1</v>
      </c>
      <c r="C24" s="63">
        <v>4.92</v>
      </c>
      <c r="D24" s="55">
        <f t="shared" si="18"/>
        <v>2.4741023835864429</v>
      </c>
      <c r="E24" s="54">
        <f>SUM(D6:D24)</f>
        <v>29.779744543900229</v>
      </c>
      <c r="F24" s="134"/>
      <c r="G24" s="48">
        <f t="shared" si="2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3"/>
        <v>0</v>
      </c>
      <c r="R24" s="134">
        <f t="shared" si="4"/>
        <v>0</v>
      </c>
      <c r="T24" s="48">
        <f t="shared" si="5"/>
        <v>1</v>
      </c>
      <c r="U24" s="47" t="e">
        <f t="shared" si="6"/>
        <v>#DIV/0!</v>
      </c>
      <c r="V24" s="46" t="e">
        <f t="shared" si="7"/>
        <v>#DIV/0!</v>
      </c>
      <c r="W24" s="45" t="e">
        <f t="shared" si="8"/>
        <v>#DIV/0!</v>
      </c>
      <c r="X24" s="46" t="e">
        <f t="shared" si="9"/>
        <v>#DIV/0!</v>
      </c>
      <c r="Y24" s="46" t="e">
        <f t="shared" si="10"/>
        <v>#DIV/0!</v>
      </c>
      <c r="Z24" s="46" t="e">
        <f t="shared" si="11"/>
        <v>#DIV/0!</v>
      </c>
      <c r="AA24" s="46" t="e">
        <f t="shared" si="12"/>
        <v>#DIV/0!</v>
      </c>
      <c r="AB24" s="45" t="e">
        <f t="shared" si="13"/>
        <v>#DIV/0!</v>
      </c>
      <c r="AC24" s="49" t="e">
        <f t="shared" si="14"/>
        <v>#DIV/0!</v>
      </c>
      <c r="AE24" s="48">
        <f t="shared" si="15"/>
        <v>1</v>
      </c>
      <c r="AF24" s="47" t="e">
        <f t="shared" si="19"/>
        <v>#DIV/0!</v>
      </c>
      <c r="AG24" s="46" t="e">
        <f t="shared" si="19"/>
        <v>#DIV/0!</v>
      </c>
      <c r="AH24" s="45" t="e">
        <f t="shared" si="19"/>
        <v>#DIV/0!</v>
      </c>
      <c r="AI24" s="47" t="e">
        <f t="shared" si="19"/>
        <v>#DIV/0!</v>
      </c>
      <c r="AJ24" s="46" t="e">
        <f t="shared" si="19"/>
        <v>#DIV/0!</v>
      </c>
      <c r="AK24" s="46" t="e">
        <f t="shared" si="22"/>
        <v>#DIV/0!</v>
      </c>
      <c r="AL24" s="46" t="e">
        <f t="shared" si="20"/>
        <v>#DIV/0!</v>
      </c>
      <c r="AM24" s="45" t="e">
        <f t="shared" si="20"/>
        <v>#DIV/0!</v>
      </c>
      <c r="AN24" s="44" t="e">
        <f t="shared" si="17"/>
        <v>#DIV/0!</v>
      </c>
    </row>
    <row r="25" spans="1:40" x14ac:dyDescent="0.35">
      <c r="A25" s="58" t="s">
        <v>52</v>
      </c>
      <c r="B25" s="57">
        <v>1.5</v>
      </c>
      <c r="C25" s="62">
        <v>5.01</v>
      </c>
      <c r="D25" s="55">
        <f t="shared" si="18"/>
        <v>2.5193603540179019</v>
      </c>
      <c r="E25" s="54">
        <f>SUM(D6:D25)</f>
        <v>32.299104897918127</v>
      </c>
      <c r="F25" s="134"/>
      <c r="G25" s="48">
        <f t="shared" si="2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3"/>
        <v>0</v>
      </c>
      <c r="R25" s="134">
        <f t="shared" si="4"/>
        <v>0</v>
      </c>
      <c r="T25" s="48">
        <f t="shared" si="5"/>
        <v>1.5</v>
      </c>
      <c r="U25" s="47" t="e">
        <f t="shared" si="6"/>
        <v>#DIV/0!</v>
      </c>
      <c r="V25" s="46" t="e">
        <f t="shared" si="7"/>
        <v>#DIV/0!</v>
      </c>
      <c r="W25" s="45" t="e">
        <f t="shared" si="8"/>
        <v>#DIV/0!</v>
      </c>
      <c r="X25" s="46" t="e">
        <f t="shared" si="9"/>
        <v>#DIV/0!</v>
      </c>
      <c r="Y25" s="46" t="e">
        <f t="shared" si="10"/>
        <v>#DIV/0!</v>
      </c>
      <c r="Z25" s="46" t="e">
        <f t="shared" si="11"/>
        <v>#DIV/0!</v>
      </c>
      <c r="AA25" s="46" t="e">
        <f t="shared" si="12"/>
        <v>#DIV/0!</v>
      </c>
      <c r="AB25" s="45" t="e">
        <f t="shared" si="13"/>
        <v>#DIV/0!</v>
      </c>
      <c r="AC25" s="49" t="e">
        <f t="shared" si="14"/>
        <v>#DIV/0!</v>
      </c>
      <c r="AE25" s="48">
        <f t="shared" si="15"/>
        <v>1.5</v>
      </c>
      <c r="AF25" s="47" t="e">
        <f t="shared" si="19"/>
        <v>#DIV/0!</v>
      </c>
      <c r="AG25" s="46" t="e">
        <f t="shared" si="19"/>
        <v>#DIV/0!</v>
      </c>
      <c r="AH25" s="45" t="e">
        <f t="shared" si="19"/>
        <v>#DIV/0!</v>
      </c>
      <c r="AI25" s="47" t="e">
        <f t="shared" si="19"/>
        <v>#DIV/0!</v>
      </c>
      <c r="AJ25" s="46" t="e">
        <f t="shared" si="19"/>
        <v>#DIV/0!</v>
      </c>
      <c r="AK25" s="46" t="e">
        <f t="shared" si="22"/>
        <v>#DIV/0!</v>
      </c>
      <c r="AL25" s="46" t="e">
        <f t="shared" si="20"/>
        <v>#DIV/0!</v>
      </c>
      <c r="AM25" s="45" t="e">
        <f t="shared" si="20"/>
        <v>#DIV/0!</v>
      </c>
      <c r="AN25" s="44" t="e">
        <f t="shared" si="17"/>
        <v>#DIV/0!</v>
      </c>
    </row>
    <row r="26" spans="1:40" x14ac:dyDescent="0.35">
      <c r="A26" s="58" t="s">
        <v>51</v>
      </c>
      <c r="B26" s="57">
        <v>2</v>
      </c>
      <c r="C26" s="62">
        <v>5.74</v>
      </c>
      <c r="D26" s="55">
        <f t="shared" si="18"/>
        <v>2.88645278085085</v>
      </c>
      <c r="E26" s="54">
        <f>SUM(D6:D26)</f>
        <v>35.18555767876898</v>
      </c>
      <c r="F26" s="134"/>
      <c r="G26" s="48">
        <f t="shared" si="2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3"/>
        <v>0</v>
      </c>
      <c r="R26" s="134">
        <f t="shared" si="4"/>
        <v>0</v>
      </c>
      <c r="T26" s="48">
        <f t="shared" si="5"/>
        <v>2</v>
      </c>
      <c r="U26" s="47" t="e">
        <f t="shared" si="6"/>
        <v>#DIV/0!</v>
      </c>
      <c r="V26" s="46" t="e">
        <f t="shared" si="7"/>
        <v>#DIV/0!</v>
      </c>
      <c r="W26" s="45" t="e">
        <f t="shared" si="8"/>
        <v>#DIV/0!</v>
      </c>
      <c r="X26" s="46" t="e">
        <f t="shared" si="9"/>
        <v>#DIV/0!</v>
      </c>
      <c r="Y26" s="46" t="e">
        <f t="shared" si="10"/>
        <v>#DIV/0!</v>
      </c>
      <c r="Z26" s="46" t="e">
        <f t="shared" si="11"/>
        <v>#DIV/0!</v>
      </c>
      <c r="AA26" s="46" t="e">
        <f t="shared" si="12"/>
        <v>#DIV/0!</v>
      </c>
      <c r="AB26" s="45" t="e">
        <f t="shared" si="13"/>
        <v>#DIV/0!</v>
      </c>
      <c r="AC26" s="49" t="e">
        <f t="shared" si="14"/>
        <v>#DIV/0!</v>
      </c>
      <c r="AE26" s="48">
        <f t="shared" si="15"/>
        <v>2</v>
      </c>
      <c r="AF26" s="47" t="e">
        <f t="shared" si="19"/>
        <v>#DIV/0!</v>
      </c>
      <c r="AG26" s="46" t="e">
        <f t="shared" si="19"/>
        <v>#DIV/0!</v>
      </c>
      <c r="AH26" s="45" t="e">
        <f t="shared" si="19"/>
        <v>#DIV/0!</v>
      </c>
      <c r="AI26" s="47" t="e">
        <f t="shared" si="19"/>
        <v>#DIV/0!</v>
      </c>
      <c r="AJ26" s="46" t="e">
        <f t="shared" si="19"/>
        <v>#DIV/0!</v>
      </c>
      <c r="AK26" s="46" t="e">
        <f t="shared" si="22"/>
        <v>#DIV/0!</v>
      </c>
      <c r="AL26" s="46" t="e">
        <f t="shared" si="20"/>
        <v>#DIV/0!</v>
      </c>
      <c r="AM26" s="45" t="e">
        <f t="shared" si="20"/>
        <v>#DIV/0!</v>
      </c>
      <c r="AN26" s="44" t="e">
        <f t="shared" si="17"/>
        <v>#DIV/0!</v>
      </c>
    </row>
    <row r="27" spans="1:40" x14ac:dyDescent="0.35">
      <c r="A27" s="58" t="s">
        <v>50</v>
      </c>
      <c r="B27" s="57">
        <v>2.5</v>
      </c>
      <c r="C27" s="62">
        <v>5.42</v>
      </c>
      <c r="D27" s="55">
        <f t="shared" si="18"/>
        <v>2.7255355526501055</v>
      </c>
      <c r="E27" s="54">
        <f>SUM(D7:D27)</f>
        <v>37.911093231419088</v>
      </c>
      <c r="F27" s="134"/>
      <c r="G27" s="48">
        <f t="shared" si="2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3"/>
        <v>0</v>
      </c>
      <c r="R27" s="134">
        <f t="shared" si="4"/>
        <v>0</v>
      </c>
      <c r="T27" s="48">
        <f t="shared" si="5"/>
        <v>2.5</v>
      </c>
      <c r="U27" s="47" t="e">
        <f t="shared" si="6"/>
        <v>#DIV/0!</v>
      </c>
      <c r="V27" s="46" t="e">
        <f t="shared" si="7"/>
        <v>#DIV/0!</v>
      </c>
      <c r="W27" s="45" t="e">
        <f t="shared" si="8"/>
        <v>#DIV/0!</v>
      </c>
      <c r="X27" s="46" t="e">
        <f t="shared" si="9"/>
        <v>#DIV/0!</v>
      </c>
      <c r="Y27" s="46" t="e">
        <f t="shared" si="10"/>
        <v>#DIV/0!</v>
      </c>
      <c r="Z27" s="46" t="e">
        <f t="shared" si="11"/>
        <v>#DIV/0!</v>
      </c>
      <c r="AA27" s="46" t="e">
        <f t="shared" si="12"/>
        <v>#DIV/0!</v>
      </c>
      <c r="AB27" s="45" t="e">
        <f t="shared" si="13"/>
        <v>#DIV/0!</v>
      </c>
      <c r="AC27" s="49" t="e">
        <f t="shared" si="14"/>
        <v>#DIV/0!</v>
      </c>
      <c r="AE27" s="48">
        <f t="shared" si="15"/>
        <v>2.5</v>
      </c>
      <c r="AF27" s="47" t="e">
        <f t="shared" si="19"/>
        <v>#DIV/0!</v>
      </c>
      <c r="AG27" s="46" t="e">
        <f t="shared" si="19"/>
        <v>#DIV/0!</v>
      </c>
      <c r="AH27" s="45" t="e">
        <f t="shared" si="19"/>
        <v>#DIV/0!</v>
      </c>
      <c r="AI27" s="47" t="e">
        <f t="shared" si="19"/>
        <v>#DIV/0!</v>
      </c>
      <c r="AJ27" s="46" t="e">
        <f t="shared" si="19"/>
        <v>#DIV/0!</v>
      </c>
      <c r="AK27" s="46" t="e">
        <f t="shared" si="22"/>
        <v>#DIV/0!</v>
      </c>
      <c r="AL27" s="46" t="e">
        <f t="shared" si="20"/>
        <v>#DIV/0!</v>
      </c>
      <c r="AM27" s="45" t="e">
        <f t="shared" si="20"/>
        <v>#DIV/0!</v>
      </c>
      <c r="AN27" s="44" t="e">
        <f t="shared" si="17"/>
        <v>#DIV/0!</v>
      </c>
    </row>
    <row r="28" spans="1:40" x14ac:dyDescent="0.35">
      <c r="A28" s="58" t="s">
        <v>49</v>
      </c>
      <c r="B28" s="57">
        <v>3</v>
      </c>
      <c r="C28" s="56">
        <v>7.28</v>
      </c>
      <c r="D28" s="55">
        <f t="shared" si="18"/>
        <v>3.6608669415669324</v>
      </c>
      <c r="E28" s="54">
        <f>SUM(D7:D28)</f>
        <v>41.571960172986017</v>
      </c>
      <c r="F28" s="134"/>
      <c r="G28" s="48">
        <f t="shared" si="2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3"/>
        <v>0</v>
      </c>
      <c r="R28" s="134">
        <f t="shared" si="4"/>
        <v>0</v>
      </c>
      <c r="T28" s="48">
        <f t="shared" si="5"/>
        <v>3</v>
      </c>
      <c r="U28" s="47" t="e">
        <f t="shared" si="6"/>
        <v>#DIV/0!</v>
      </c>
      <c r="V28" s="46" t="e">
        <f t="shared" si="7"/>
        <v>#DIV/0!</v>
      </c>
      <c r="W28" s="45" t="e">
        <f t="shared" si="8"/>
        <v>#DIV/0!</v>
      </c>
      <c r="X28" s="46" t="e">
        <f t="shared" si="9"/>
        <v>#DIV/0!</v>
      </c>
      <c r="Y28" s="46" t="e">
        <f t="shared" si="10"/>
        <v>#DIV/0!</v>
      </c>
      <c r="Z28" s="46" t="e">
        <f t="shared" si="11"/>
        <v>#DIV/0!</v>
      </c>
      <c r="AA28" s="46" t="e">
        <f t="shared" si="12"/>
        <v>#DIV/0!</v>
      </c>
      <c r="AB28" s="45" t="e">
        <f t="shared" si="13"/>
        <v>#DIV/0!</v>
      </c>
      <c r="AC28" s="49" t="e">
        <f t="shared" si="14"/>
        <v>#DIV/0!</v>
      </c>
      <c r="AE28" s="48">
        <f t="shared" si="15"/>
        <v>3</v>
      </c>
      <c r="AF28" s="47" t="e">
        <f t="shared" si="19"/>
        <v>#DIV/0!</v>
      </c>
      <c r="AG28" s="46" t="e">
        <f t="shared" si="19"/>
        <v>#DIV/0!</v>
      </c>
      <c r="AH28" s="45" t="e">
        <f t="shared" si="19"/>
        <v>#DIV/0!</v>
      </c>
      <c r="AI28" s="47" t="e">
        <f t="shared" si="19"/>
        <v>#DIV/0!</v>
      </c>
      <c r="AJ28" s="46" t="e">
        <f t="shared" si="19"/>
        <v>#DIV/0!</v>
      </c>
      <c r="AK28" s="46" t="e">
        <f t="shared" si="22"/>
        <v>#DIV/0!</v>
      </c>
      <c r="AL28" s="46" t="e">
        <f t="shared" si="20"/>
        <v>#DIV/0!</v>
      </c>
      <c r="AM28" s="45" t="e">
        <f t="shared" si="20"/>
        <v>#DIV/0!</v>
      </c>
      <c r="AN28" s="44" t="e">
        <f t="shared" si="17"/>
        <v>#DIV/0!</v>
      </c>
    </row>
    <row r="29" spans="1:40" x14ac:dyDescent="0.35">
      <c r="A29" s="58" t="s">
        <v>48</v>
      </c>
      <c r="B29" s="57">
        <v>3.5</v>
      </c>
      <c r="C29" s="56">
        <v>11.69</v>
      </c>
      <c r="D29" s="55">
        <f t="shared" si="18"/>
        <v>5.8785074927084384</v>
      </c>
      <c r="E29" s="54">
        <f>SUM(D7:D29)</f>
        <v>47.450467665694454</v>
      </c>
      <c r="F29" s="134"/>
      <c r="G29" s="48">
        <f t="shared" si="2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59">
        <v>0</v>
      </c>
      <c r="P29" s="50">
        <f t="shared" si="3"/>
        <v>0</v>
      </c>
      <c r="R29" s="134">
        <f t="shared" si="4"/>
        <v>0</v>
      </c>
      <c r="T29" s="48">
        <f t="shared" si="5"/>
        <v>3.5</v>
      </c>
      <c r="U29" s="47" t="e">
        <f t="shared" si="6"/>
        <v>#DIV/0!</v>
      </c>
      <c r="V29" s="46" t="e">
        <f t="shared" si="7"/>
        <v>#DIV/0!</v>
      </c>
      <c r="W29" s="45" t="e">
        <f t="shared" si="8"/>
        <v>#DIV/0!</v>
      </c>
      <c r="X29" s="46" t="e">
        <f t="shared" si="9"/>
        <v>#DIV/0!</v>
      </c>
      <c r="Y29" s="46" t="e">
        <f t="shared" si="10"/>
        <v>#DIV/0!</v>
      </c>
      <c r="Z29" s="46" t="e">
        <f t="shared" si="11"/>
        <v>#DIV/0!</v>
      </c>
      <c r="AA29" s="46" t="e">
        <f t="shared" si="12"/>
        <v>#DIV/0!</v>
      </c>
      <c r="AB29" s="45" t="e">
        <f t="shared" si="13"/>
        <v>#DIV/0!</v>
      </c>
      <c r="AC29" s="49" t="e">
        <f t="shared" si="14"/>
        <v>#DIV/0!</v>
      </c>
      <c r="AE29" s="48">
        <f t="shared" si="15"/>
        <v>3.5</v>
      </c>
      <c r="AF29" s="47" t="e">
        <f t="shared" si="19"/>
        <v>#DIV/0!</v>
      </c>
      <c r="AG29" s="46" t="e">
        <f t="shared" si="19"/>
        <v>#DIV/0!</v>
      </c>
      <c r="AH29" s="45" t="e">
        <f t="shared" si="19"/>
        <v>#DIV/0!</v>
      </c>
      <c r="AI29" s="47" t="e">
        <f t="shared" si="19"/>
        <v>#DIV/0!</v>
      </c>
      <c r="AJ29" s="46" t="e">
        <f t="shared" si="19"/>
        <v>#DIV/0!</v>
      </c>
      <c r="AK29" s="46" t="e">
        <f t="shared" si="22"/>
        <v>#DIV/0!</v>
      </c>
      <c r="AL29" s="46" t="e">
        <f t="shared" si="20"/>
        <v>#DIV/0!</v>
      </c>
      <c r="AM29" s="45" t="e">
        <f t="shared" si="20"/>
        <v>#DIV/0!</v>
      </c>
      <c r="AN29" s="44" t="e">
        <f t="shared" si="17"/>
        <v>#DIV/0!</v>
      </c>
    </row>
    <row r="30" spans="1:40" x14ac:dyDescent="0.35">
      <c r="A30" s="58" t="s">
        <v>47</v>
      </c>
      <c r="B30" s="57">
        <v>4</v>
      </c>
      <c r="C30" s="56">
        <v>14.58</v>
      </c>
      <c r="D30" s="55">
        <f t="shared" si="18"/>
        <v>7.3317912098964104</v>
      </c>
      <c r="E30" s="54">
        <f>SUM(D7:D30)</f>
        <v>54.782258875590863</v>
      </c>
      <c r="F30" s="134"/>
      <c r="G30" s="48">
        <f t="shared" si="2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59">
        <v>0</v>
      </c>
      <c r="P30" s="50">
        <f t="shared" si="3"/>
        <v>0</v>
      </c>
      <c r="R30" s="134">
        <f t="shared" si="4"/>
        <v>0</v>
      </c>
      <c r="T30" s="48">
        <f t="shared" si="5"/>
        <v>4</v>
      </c>
      <c r="U30" s="47" t="e">
        <f t="shared" si="6"/>
        <v>#DIV/0!</v>
      </c>
      <c r="V30" s="46" t="e">
        <f t="shared" si="7"/>
        <v>#DIV/0!</v>
      </c>
      <c r="W30" s="45" t="e">
        <f t="shared" si="8"/>
        <v>#DIV/0!</v>
      </c>
      <c r="X30" s="46" t="e">
        <f t="shared" si="9"/>
        <v>#DIV/0!</v>
      </c>
      <c r="Y30" s="46" t="e">
        <f t="shared" si="10"/>
        <v>#DIV/0!</v>
      </c>
      <c r="Z30" s="46" t="e">
        <f t="shared" si="11"/>
        <v>#DIV/0!</v>
      </c>
      <c r="AA30" s="46" t="e">
        <f t="shared" si="12"/>
        <v>#DIV/0!</v>
      </c>
      <c r="AB30" s="45" t="e">
        <f t="shared" si="13"/>
        <v>#DIV/0!</v>
      </c>
      <c r="AC30" s="49" t="e">
        <f t="shared" si="14"/>
        <v>#DIV/0!</v>
      </c>
      <c r="AE30" s="48">
        <f t="shared" si="15"/>
        <v>4</v>
      </c>
      <c r="AF30" s="47" t="e">
        <f t="shared" si="19"/>
        <v>#DIV/0!</v>
      </c>
      <c r="AG30" s="46" t="e">
        <f t="shared" si="19"/>
        <v>#DIV/0!</v>
      </c>
      <c r="AH30" s="45" t="e">
        <f t="shared" si="19"/>
        <v>#DIV/0!</v>
      </c>
      <c r="AI30" s="47" t="e">
        <f t="shared" si="19"/>
        <v>#DIV/0!</v>
      </c>
      <c r="AJ30" s="46" t="e">
        <f t="shared" si="19"/>
        <v>#DIV/0!</v>
      </c>
      <c r="AK30" s="46" t="e">
        <f t="shared" si="22"/>
        <v>#DIV/0!</v>
      </c>
      <c r="AL30" s="46" t="e">
        <f t="shared" si="20"/>
        <v>#DIV/0!</v>
      </c>
      <c r="AM30" s="45" t="e">
        <f t="shared" si="20"/>
        <v>#DIV/0!</v>
      </c>
      <c r="AN30" s="44" t="e">
        <f t="shared" si="17"/>
        <v>#DIV/0!</v>
      </c>
    </row>
    <row r="31" spans="1:40" x14ac:dyDescent="0.35">
      <c r="A31" s="58" t="s">
        <v>46</v>
      </c>
      <c r="B31" s="57">
        <v>4.5</v>
      </c>
      <c r="C31" s="56">
        <v>89.92</v>
      </c>
      <c r="D31" s="55">
        <f t="shared" si="18"/>
        <v>45.217741124409137</v>
      </c>
      <c r="E31" s="54">
        <f>SUM(D7:D31)</f>
        <v>100</v>
      </c>
      <c r="F31" s="134"/>
      <c r="G31" s="48">
        <f t="shared" si="2"/>
        <v>4.5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59">
        <v>0</v>
      </c>
      <c r="P31" s="50">
        <f t="shared" si="3"/>
        <v>0</v>
      </c>
      <c r="R31" s="134">
        <f t="shared" si="4"/>
        <v>0</v>
      </c>
      <c r="T31" s="48">
        <f t="shared" si="5"/>
        <v>4.5</v>
      </c>
      <c r="U31" s="47" t="e">
        <f t="shared" si="6"/>
        <v>#DIV/0!</v>
      </c>
      <c r="V31" s="46" t="e">
        <f t="shared" si="7"/>
        <v>#DIV/0!</v>
      </c>
      <c r="W31" s="45" t="e">
        <f t="shared" si="8"/>
        <v>#DIV/0!</v>
      </c>
      <c r="X31" s="46" t="e">
        <f t="shared" si="9"/>
        <v>#DIV/0!</v>
      </c>
      <c r="Y31" s="46" t="e">
        <f t="shared" si="10"/>
        <v>#DIV/0!</v>
      </c>
      <c r="Z31" s="46" t="e">
        <f t="shared" si="11"/>
        <v>#DIV/0!</v>
      </c>
      <c r="AA31" s="46" t="e">
        <f t="shared" si="12"/>
        <v>#DIV/0!</v>
      </c>
      <c r="AB31" s="45" t="e">
        <f t="shared" si="13"/>
        <v>#DIV/0!</v>
      </c>
      <c r="AC31" s="49" t="e">
        <f t="shared" si="14"/>
        <v>#DIV/0!</v>
      </c>
      <c r="AE31" s="48">
        <f t="shared" si="15"/>
        <v>4.5</v>
      </c>
      <c r="AF31" s="47" t="e">
        <f t="shared" si="19"/>
        <v>#DIV/0!</v>
      </c>
      <c r="AG31" s="46" t="e">
        <f t="shared" si="19"/>
        <v>#DIV/0!</v>
      </c>
      <c r="AH31" s="45" t="e">
        <f t="shared" si="19"/>
        <v>#DIV/0!</v>
      </c>
      <c r="AI31" s="47" t="e">
        <f t="shared" si="19"/>
        <v>#DIV/0!</v>
      </c>
      <c r="AJ31" s="46" t="e">
        <f t="shared" si="19"/>
        <v>#DIV/0!</v>
      </c>
      <c r="AK31" s="46" t="e">
        <f t="shared" si="22"/>
        <v>#DIV/0!</v>
      </c>
      <c r="AL31" s="46" t="e">
        <f t="shared" si="20"/>
        <v>#DIV/0!</v>
      </c>
      <c r="AM31" s="45" t="e">
        <f t="shared" si="20"/>
        <v>#DIV/0!</v>
      </c>
      <c r="AN31" s="44" t="e">
        <f t="shared" si="17"/>
        <v>#DIV/0!</v>
      </c>
    </row>
    <row r="32" spans="1:40" x14ac:dyDescent="0.35">
      <c r="A32" s="58" t="s">
        <v>45</v>
      </c>
      <c r="B32" s="57">
        <v>5</v>
      </c>
      <c r="C32" s="56">
        <v>0</v>
      </c>
      <c r="D32" s="55">
        <f t="shared" si="18"/>
        <v>0</v>
      </c>
      <c r="E32" s="54">
        <f>SUM(D7:D32)</f>
        <v>100</v>
      </c>
      <c r="F32" s="134"/>
      <c r="G32" s="48">
        <f t="shared" si="2"/>
        <v>5</v>
      </c>
      <c r="H32" s="53">
        <v>0</v>
      </c>
      <c r="I32" s="52">
        <v>0</v>
      </c>
      <c r="J32" s="51">
        <v>0</v>
      </c>
      <c r="K32" s="52">
        <v>0</v>
      </c>
      <c r="L32" s="52">
        <v>0</v>
      </c>
      <c r="M32" s="52">
        <v>0</v>
      </c>
      <c r="N32" s="52">
        <v>0</v>
      </c>
      <c r="O32" s="51">
        <v>0</v>
      </c>
      <c r="P32" s="50">
        <f t="shared" si="3"/>
        <v>0</v>
      </c>
      <c r="R32" s="134">
        <f t="shared" si="4"/>
        <v>0</v>
      </c>
      <c r="T32" s="48">
        <f t="shared" si="5"/>
        <v>5</v>
      </c>
      <c r="U32" s="47" t="e">
        <f t="shared" si="6"/>
        <v>#DIV/0!</v>
      </c>
      <c r="V32" s="46" t="e">
        <f t="shared" si="7"/>
        <v>#DIV/0!</v>
      </c>
      <c r="W32" s="45" t="e">
        <f t="shared" si="8"/>
        <v>#DIV/0!</v>
      </c>
      <c r="X32" s="46" t="e">
        <f t="shared" si="9"/>
        <v>#DIV/0!</v>
      </c>
      <c r="Y32" s="46" t="e">
        <f t="shared" si="10"/>
        <v>#DIV/0!</v>
      </c>
      <c r="Z32" s="46" t="e">
        <f t="shared" si="11"/>
        <v>#DIV/0!</v>
      </c>
      <c r="AA32" s="46" t="e">
        <f t="shared" si="12"/>
        <v>#DIV/0!</v>
      </c>
      <c r="AB32" s="45" t="e">
        <f t="shared" si="13"/>
        <v>#DIV/0!</v>
      </c>
      <c r="AC32" s="49" t="e">
        <f t="shared" si="14"/>
        <v>#DIV/0!</v>
      </c>
      <c r="AE32" s="48">
        <f t="shared" si="15"/>
        <v>5</v>
      </c>
      <c r="AF32" s="47" t="e">
        <f t="shared" si="19"/>
        <v>#DIV/0!</v>
      </c>
      <c r="AG32" s="46" t="e">
        <f t="shared" si="19"/>
        <v>#DIV/0!</v>
      </c>
      <c r="AH32" s="45" t="e">
        <f t="shared" si="19"/>
        <v>#DIV/0!</v>
      </c>
      <c r="AI32" s="47" t="e">
        <f t="shared" si="19"/>
        <v>#DIV/0!</v>
      </c>
      <c r="AJ32" s="46" t="e">
        <f t="shared" si="19"/>
        <v>#DIV/0!</v>
      </c>
      <c r="AK32" s="46" t="e">
        <f t="shared" si="22"/>
        <v>#DIV/0!</v>
      </c>
      <c r="AL32" s="46" t="e">
        <f t="shared" si="20"/>
        <v>#DIV/0!</v>
      </c>
      <c r="AM32" s="45" t="e">
        <f t="shared" si="20"/>
        <v>#DIV/0!</v>
      </c>
      <c r="AN32" s="44" t="e">
        <f t="shared" si="17"/>
        <v>#DIV/0!</v>
      </c>
    </row>
    <row r="33" spans="1:40" ht="15" thickBot="1" x14ac:dyDescent="0.4">
      <c r="A33" s="43" t="s">
        <v>44</v>
      </c>
      <c r="B33" s="42" t="s">
        <v>43</v>
      </c>
      <c r="C33" s="41">
        <v>0</v>
      </c>
      <c r="D33" s="55">
        <f t="shared" si="18"/>
        <v>0</v>
      </c>
      <c r="E33" s="39">
        <f>SUM(D7:D33)</f>
        <v>100</v>
      </c>
      <c r="F33" s="134"/>
      <c r="G33" s="33" t="str">
        <f t="shared" si="2"/>
        <v>&gt;6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3"/>
        <v>0</v>
      </c>
      <c r="R33" s="134">
        <f t="shared" si="4"/>
        <v>0</v>
      </c>
      <c r="T33" s="33" t="str">
        <f t="shared" si="5"/>
        <v>&gt;6</v>
      </c>
      <c r="U33" s="32" t="e">
        <f t="shared" si="6"/>
        <v>#DIV/0!</v>
      </c>
      <c r="V33" s="31" t="e">
        <f t="shared" si="7"/>
        <v>#DIV/0!</v>
      </c>
      <c r="W33" s="30" t="e">
        <f t="shared" si="8"/>
        <v>#DIV/0!</v>
      </c>
      <c r="X33" s="31" t="e">
        <f t="shared" si="9"/>
        <v>#DIV/0!</v>
      </c>
      <c r="Y33" s="31" t="e">
        <f t="shared" si="10"/>
        <v>#DIV/0!</v>
      </c>
      <c r="Z33" s="31" t="e">
        <f t="shared" si="11"/>
        <v>#DIV/0!</v>
      </c>
      <c r="AA33" s="31" t="e">
        <f t="shared" si="12"/>
        <v>#DIV/0!</v>
      </c>
      <c r="AB33" s="30" t="e">
        <f t="shared" si="13"/>
        <v>#DIV/0!</v>
      </c>
      <c r="AC33" s="34" t="e">
        <f t="shared" si="14"/>
        <v>#DIV/0!</v>
      </c>
      <c r="AE33" s="33" t="str">
        <f t="shared" si="15"/>
        <v>&gt;6</v>
      </c>
      <c r="AF33" s="32" t="e">
        <f t="shared" si="19"/>
        <v>#DIV/0!</v>
      </c>
      <c r="AG33" s="31" t="e">
        <f t="shared" si="19"/>
        <v>#DIV/0!</v>
      </c>
      <c r="AH33" s="30" t="e">
        <f t="shared" si="19"/>
        <v>#DIV/0!</v>
      </c>
      <c r="AI33" s="32" t="e">
        <f t="shared" si="19"/>
        <v>#DIV/0!</v>
      </c>
      <c r="AJ33" s="31" t="e">
        <f t="shared" si="19"/>
        <v>#DIV/0!</v>
      </c>
      <c r="AK33" s="31" t="e">
        <f t="shared" si="22"/>
        <v>#DIV/0!</v>
      </c>
      <c r="AL33" s="31" t="e">
        <f t="shared" si="20"/>
        <v>#DIV/0!</v>
      </c>
      <c r="AM33" s="30" t="e">
        <f t="shared" si="20"/>
        <v>#DIV/0!</v>
      </c>
      <c r="AN33" s="29" t="e">
        <f t="shared" si="17"/>
        <v>#DIV/0!</v>
      </c>
    </row>
    <row r="34" spans="1:40" x14ac:dyDescent="0.35">
      <c r="G34" t="s">
        <v>114</v>
      </c>
      <c r="H34">
        <f>SUM(H7:H33)</f>
        <v>8.2000000000000011</v>
      </c>
      <c r="I34">
        <f t="shared" ref="I34:O34" si="23">SUM(I7:I33)</f>
        <v>17.149999999999999</v>
      </c>
      <c r="J34">
        <f t="shared" si="23"/>
        <v>0.3</v>
      </c>
      <c r="K34">
        <f t="shared" si="23"/>
        <v>0.85000000000000009</v>
      </c>
      <c r="L34">
        <f t="shared" si="23"/>
        <v>3.16</v>
      </c>
      <c r="M34">
        <f t="shared" si="23"/>
        <v>70.88</v>
      </c>
      <c r="N34">
        <f t="shared" si="23"/>
        <v>8.27</v>
      </c>
      <c r="O34">
        <f t="shared" si="23"/>
        <v>0</v>
      </c>
      <c r="T34" s="28"/>
    </row>
    <row r="40" spans="1:40" x14ac:dyDescent="0.35">
      <c r="H40" s="27"/>
    </row>
    <row r="41" spans="1:40" x14ac:dyDescent="0.35">
      <c r="H41" s="27"/>
    </row>
    <row r="42" spans="1:40" x14ac:dyDescent="0.35">
      <c r="H42" s="27"/>
    </row>
    <row r="67" spans="1:5" x14ac:dyDescent="0.35">
      <c r="A67" s="5" t="s">
        <v>27</v>
      </c>
      <c r="B67" s="26"/>
      <c r="C67" s="2"/>
      <c r="D67" s="2"/>
    </row>
    <row r="68" spans="1:5" x14ac:dyDescent="0.35">
      <c r="A68" s="25" t="s">
        <v>42</v>
      </c>
      <c r="B68" s="25"/>
      <c r="C68" s="2"/>
      <c r="D68" s="2"/>
    </row>
    <row r="69" spans="1:5" x14ac:dyDescent="0.35">
      <c r="A69" s="24" t="s">
        <v>41</v>
      </c>
      <c r="B69" s="23">
        <v>5</v>
      </c>
      <c r="C69" s="18">
        <f t="shared" ref="C69:C75" si="24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-2.8438046647230322</v>
      </c>
      <c r="D69" s="2"/>
    </row>
    <row r="70" spans="1:5" x14ac:dyDescent="0.35">
      <c r="A70" s="24" t="s">
        <v>41</v>
      </c>
      <c r="B70" s="23">
        <v>16</v>
      </c>
      <c r="C70" s="18">
        <f t="shared" si="24"/>
        <v>-1.0238440111420612</v>
      </c>
      <c r="D70" s="2"/>
    </row>
    <row r="71" spans="1:5" x14ac:dyDescent="0.35">
      <c r="A71" s="24" t="s">
        <v>41</v>
      </c>
      <c r="B71" s="23">
        <v>25</v>
      </c>
      <c r="C71" s="18">
        <f t="shared" si="24"/>
        <v>0.14512383900928813</v>
      </c>
      <c r="D71" s="2"/>
    </row>
    <row r="72" spans="1:5" x14ac:dyDescent="0.35">
      <c r="A72" s="24" t="s">
        <v>41</v>
      </c>
      <c r="B72" s="23">
        <v>50</v>
      </c>
      <c r="C72" s="18">
        <f t="shared" si="24"/>
        <v>3.673868312757202</v>
      </c>
      <c r="D72" s="2"/>
    </row>
    <row r="73" spans="1:5" x14ac:dyDescent="0.35">
      <c r="A73" s="24" t="s">
        <v>41</v>
      </c>
      <c r="B73" s="23">
        <v>75</v>
      </c>
      <c r="C73" s="18">
        <f t="shared" si="24"/>
        <v>4.2235598309608537</v>
      </c>
      <c r="D73" s="2"/>
    </row>
    <row r="74" spans="1:5" x14ac:dyDescent="0.35">
      <c r="A74" s="24" t="s">
        <v>41</v>
      </c>
      <c r="B74" s="23">
        <v>84</v>
      </c>
      <c r="C74" s="18">
        <f t="shared" si="24"/>
        <v>4.3230782918149471</v>
      </c>
      <c r="D74" s="2"/>
    </row>
    <row r="75" spans="1:5" x14ac:dyDescent="0.35">
      <c r="A75" s="24" t="s">
        <v>41</v>
      </c>
      <c r="B75" s="23">
        <v>95</v>
      </c>
      <c r="C75" s="18">
        <f t="shared" si="24"/>
        <v>4.4447119661921706</v>
      </c>
      <c r="D75" s="2"/>
    </row>
    <row r="76" spans="1:5" x14ac:dyDescent="0.35">
      <c r="A76" s="18"/>
      <c r="B76" s="22"/>
      <c r="C76" s="2"/>
      <c r="D76" s="2"/>
    </row>
    <row r="77" spans="1:5" x14ac:dyDescent="0.35">
      <c r="A77" s="21" t="s">
        <v>40</v>
      </c>
      <c r="B77">
        <f>SUM(C7:C10)/SUM(C7:C33)</f>
        <v>0</v>
      </c>
      <c r="D77" s="19" t="s">
        <v>7</v>
      </c>
      <c r="E77" s="18">
        <f>SUM($D$7:$D$20)</f>
        <v>16.172181434174796</v>
      </c>
    </row>
    <row r="78" spans="1:5" x14ac:dyDescent="0.35">
      <c r="A78" s="20" t="s">
        <v>39</v>
      </c>
      <c r="B78">
        <f>SUM(C11:C20)/SUM(C7:C33)</f>
        <v>0.16172181434174795</v>
      </c>
      <c r="D78" s="19" t="s">
        <v>6</v>
      </c>
      <c r="E78" s="18">
        <f>SUM($D$21:$D$30)</f>
        <v>38.610077441416074</v>
      </c>
    </row>
    <row r="79" spans="1:5" x14ac:dyDescent="0.35">
      <c r="A79" s="20" t="s">
        <v>38</v>
      </c>
      <c r="B79">
        <f>SUM(C21:C33)/SUM(C7:C33)</f>
        <v>0.83827818565825207</v>
      </c>
      <c r="D79" s="19" t="s">
        <v>5</v>
      </c>
      <c r="E79" s="18">
        <f>SUM($D$31:$D$33)</f>
        <v>45.217741124409137</v>
      </c>
    </row>
    <row r="80" spans="1:5" x14ac:dyDescent="0.35">
      <c r="A80" s="11"/>
      <c r="B80" s="8"/>
      <c r="D80" s="2"/>
      <c r="E80" s="2"/>
    </row>
    <row r="81" spans="1:8" x14ac:dyDescent="0.35">
      <c r="A81" s="16" t="s">
        <v>4</v>
      </c>
      <c r="B81">
        <f>100*SUM(H7:J33)/SUM(P7:P33)</f>
        <v>23.573200992555829</v>
      </c>
      <c r="D81" s="16" t="s">
        <v>4</v>
      </c>
      <c r="E81">
        <f>100*SUM(H7:J33)/SUM(P7:P33)</f>
        <v>23.573200992555829</v>
      </c>
      <c r="G81" s="17" t="s">
        <v>2</v>
      </c>
      <c r="H81">
        <f>100*SUM(H7:H33)/(SUM(P7:P33)-SUM(M7:N33))</f>
        <v>27.646662171274439</v>
      </c>
    </row>
    <row r="82" spans="1:8" x14ac:dyDescent="0.35">
      <c r="A82" s="16" t="s">
        <v>0</v>
      </c>
      <c r="B82">
        <f>100*SUM(K7:L33)/SUM(P7:P33)</f>
        <v>3.6853230401617498</v>
      </c>
      <c r="D82" s="16" t="s">
        <v>0</v>
      </c>
      <c r="E82">
        <f>100*SUM(K7:L33)/SUM(P7:P33)</f>
        <v>3.6853230401617498</v>
      </c>
      <c r="G82" s="17" t="s">
        <v>1</v>
      </c>
      <c r="H82">
        <f>100*SUM(I7:J33)/(SUM(P7:P33)-SUM(M7:N33))</f>
        <v>58.833445718138883</v>
      </c>
    </row>
    <row r="83" spans="1:8" x14ac:dyDescent="0.35">
      <c r="A83" s="16" t="s">
        <v>3</v>
      </c>
      <c r="B83">
        <f>100*SUM(O7:O33)/SUM(P7:P33)</f>
        <v>0</v>
      </c>
      <c r="D83" s="16" t="s">
        <v>37</v>
      </c>
      <c r="E83">
        <f>100*SUM(M7:N33)/SUM(P7:P33)</f>
        <v>72.741475967282412</v>
      </c>
      <c r="G83" s="17" t="s">
        <v>0</v>
      </c>
      <c r="H83">
        <f>100*SUM(K7:L33)/(SUM(P7:P33)-SUM(M7:N33))</f>
        <v>13.519892110586644</v>
      </c>
    </row>
    <row r="85" spans="1:8" x14ac:dyDescent="0.35">
      <c r="A85" s="16" t="s">
        <v>36</v>
      </c>
      <c r="B85" s="2"/>
      <c r="C85" s="2"/>
      <c r="D85" s="13">
        <f>(C70+C74+C72)/3</f>
        <v>2.3243675311433627</v>
      </c>
    </row>
    <row r="86" spans="1:8" x14ac:dyDescent="0.35">
      <c r="A86" s="14" t="s">
        <v>35</v>
      </c>
      <c r="B86" s="14"/>
      <c r="C86" s="14"/>
      <c r="D86" s="7">
        <f>C72</f>
        <v>3.673868312757202</v>
      </c>
    </row>
    <row r="87" spans="1:8" x14ac:dyDescent="0.35">
      <c r="A87" s="14" t="s">
        <v>34</v>
      </c>
      <c r="B87" s="14"/>
      <c r="C87" s="14"/>
      <c r="D87" s="7">
        <f>(C74-C70)/2</f>
        <v>2.673461151478504</v>
      </c>
    </row>
    <row r="88" spans="1:8" x14ac:dyDescent="0.35">
      <c r="A88" s="15" t="s">
        <v>33</v>
      </c>
      <c r="B88" s="14"/>
      <c r="C88" s="14"/>
      <c r="D88" s="13">
        <f>(C74+C70-D86)/D87</f>
        <v>-0.14013071851712983</v>
      </c>
    </row>
    <row r="89" spans="1:8" x14ac:dyDescent="0.35">
      <c r="A89" s="3" t="s">
        <v>32</v>
      </c>
      <c r="B89" s="12"/>
      <c r="C89" s="11"/>
      <c r="D89" s="7">
        <f>((C74-C70)/4)+((C75-C69)/6.6)</f>
        <v>2.4410512773930706</v>
      </c>
    </row>
    <row r="90" spans="1:8" x14ac:dyDescent="0.35">
      <c r="A90" s="3" t="s">
        <v>31</v>
      </c>
      <c r="B90" s="10"/>
      <c r="C90" s="10"/>
      <c r="D90" s="7">
        <f>((C70+C74-(2*C72))/(2*(C74-C70)))+((C69+C75-(2*C72))/(2*(C75-C69)))</f>
        <v>-0.77282110197400811</v>
      </c>
    </row>
    <row r="91" spans="1:8" x14ac:dyDescent="0.35">
      <c r="A91" s="3" t="s">
        <v>30</v>
      </c>
      <c r="B91" s="9"/>
      <c r="C91" s="8"/>
      <c r="D91" s="7">
        <f>(C74-C69)/(2.44*(C73-C71))</f>
        <v>0.72018958226428842</v>
      </c>
    </row>
    <row r="92" spans="1:8" x14ac:dyDescent="0.35">
      <c r="A92" s="6" t="s">
        <v>29</v>
      </c>
      <c r="B92" s="6"/>
      <c r="C92" s="5"/>
      <c r="D92" s="7">
        <f>(C70+C72+C74)/3</f>
        <v>2.3243675311433627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1.649617140336443</v>
      </c>
    </row>
    <row r="95" spans="1:8" x14ac:dyDescent="0.35">
      <c r="A95" s="2" t="s">
        <v>9</v>
      </c>
      <c r="B95" s="2"/>
      <c r="C95" s="2"/>
      <c r="D95" s="1">
        <f>100-E23</f>
        <v>72.694357839686205</v>
      </c>
    </row>
    <row r="96" spans="1:8" x14ac:dyDescent="0.35">
      <c r="A96" s="2" t="s">
        <v>8</v>
      </c>
      <c r="B96" s="2"/>
      <c r="C96" s="2"/>
      <c r="D96" s="1">
        <f>100-E30</f>
        <v>45.217741124409137</v>
      </c>
    </row>
    <row r="98" spans="1:3" x14ac:dyDescent="0.35">
      <c r="A98" t="s">
        <v>101</v>
      </c>
      <c r="C98" t="str">
        <f>IF(SUM(M7:N33)&gt;0,"Mixed","No Mixed")</f>
        <v>Mixed</v>
      </c>
    </row>
    <row r="99" spans="1:3" x14ac:dyDescent="0.35">
      <c r="A99" t="s">
        <v>102</v>
      </c>
      <c r="C99" t="str">
        <f>IF(SUM(J7:J33)&gt;0,"Obsidian","No obsidian")</f>
        <v>Obsidian</v>
      </c>
    </row>
  </sheetData>
  <mergeCells count="9">
    <mergeCell ref="X3:AB3"/>
    <mergeCell ref="AF3:AH3"/>
    <mergeCell ref="AI3:AM3"/>
    <mergeCell ref="A2:C2"/>
    <mergeCell ref="D2:E2"/>
    <mergeCell ref="K2:O2"/>
    <mergeCell ref="H3:J3"/>
    <mergeCell ref="K3:O3"/>
    <mergeCell ref="U3:W3"/>
  </mergeCells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N99"/>
  <sheetViews>
    <sheetView zoomScale="63" zoomScaleNormal="100" workbookViewId="0">
      <selection activeCell="K2" sqref="K2:O2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14.1796875" bestFit="1" customWidth="1"/>
    <col min="20" max="20" width="14.1796875" bestFit="1" customWidth="1"/>
    <col min="25" max="25" width="11.453125" customWidth="1"/>
  </cols>
  <sheetData>
    <row r="1" spans="1:40" ht="15" thickBot="1" x14ac:dyDescent="0.4">
      <c r="A1" s="111"/>
      <c r="F1" s="110"/>
    </row>
    <row r="2" spans="1:40" ht="15" thickBot="1" x14ac:dyDescent="0.4">
      <c r="A2" s="157" t="s">
        <v>91</v>
      </c>
      <c r="B2" s="158"/>
      <c r="C2" s="158"/>
      <c r="D2" s="159" t="str">
        <f ca="1">RIGHT(CELL("nomfichier",A1),LEN(CELL("nomfichier",A1))-FIND("]",CELL("nomfichier",A1)))</f>
        <v>MAY190407_2_no_aggr</v>
      </c>
      <c r="E2" s="160"/>
      <c r="G2" s="109" t="s">
        <v>90</v>
      </c>
      <c r="H2" s="108" t="str">
        <f ca="1">D2</f>
        <v>MAY190407_2_no_aggr</v>
      </c>
      <c r="I2" s="108"/>
      <c r="J2" s="107"/>
      <c r="K2" s="161"/>
      <c r="L2" s="162"/>
      <c r="M2" s="162"/>
      <c r="N2" s="162"/>
      <c r="O2" s="163"/>
    </row>
    <row r="3" spans="1:40" ht="15" thickBot="1" x14ac:dyDescent="0.4">
      <c r="A3" s="106"/>
      <c r="B3" s="105"/>
      <c r="C3" s="105"/>
      <c r="D3" s="105"/>
      <c r="E3" s="104"/>
      <c r="G3" s="103"/>
      <c r="H3" s="154" t="s">
        <v>88</v>
      </c>
      <c r="I3" s="155"/>
      <c r="J3" s="156"/>
      <c r="K3" s="154" t="s">
        <v>87</v>
      </c>
      <c r="L3" s="155"/>
      <c r="M3" s="155"/>
      <c r="N3" s="155"/>
      <c r="O3" s="156"/>
      <c r="U3" s="154" t="s">
        <v>88</v>
      </c>
      <c r="V3" s="155"/>
      <c r="W3" s="156"/>
      <c r="X3" s="154" t="s">
        <v>87</v>
      </c>
      <c r="Y3" s="155"/>
      <c r="Z3" s="155"/>
      <c r="AA3" s="155"/>
      <c r="AB3" s="156"/>
      <c r="AF3" s="154" t="s">
        <v>88</v>
      </c>
      <c r="AG3" s="155"/>
      <c r="AH3" s="156"/>
      <c r="AI3" s="154" t="s">
        <v>87</v>
      </c>
      <c r="AJ3" s="155"/>
      <c r="AK3" s="155"/>
      <c r="AL3" s="155"/>
      <c r="AM3" s="156"/>
    </row>
    <row r="4" spans="1:40" ht="15" thickBot="1" x14ac:dyDescent="0.4">
      <c r="A4" s="102" t="s">
        <v>86</v>
      </c>
      <c r="B4" s="101">
        <f>SUM(C7:C33)</f>
        <v>198.85999999999999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77</v>
      </c>
      <c r="P4" s="94" t="s">
        <v>76</v>
      </c>
      <c r="R4" s="135" t="s">
        <v>104</v>
      </c>
      <c r="T4" s="97" t="str">
        <f t="shared" ref="T4:AB4" si="0">G4</f>
        <v>Grain size (phi)</v>
      </c>
      <c r="U4" s="95" t="str">
        <f t="shared" si="0"/>
        <v>Pumices</v>
      </c>
      <c r="V4" s="95" t="str">
        <f t="shared" si="0"/>
        <v>Dense juveniles</v>
      </c>
      <c r="W4" s="95" t="str">
        <f t="shared" si="0"/>
        <v>Obsidian</v>
      </c>
      <c r="X4" s="96" t="str">
        <f t="shared" si="0"/>
        <v>Coral fragments</v>
      </c>
      <c r="Y4" s="95" t="str">
        <f t="shared" si="0"/>
        <v>Mafic clasts</v>
      </c>
      <c r="Z4" s="95" t="str">
        <f t="shared" si="0"/>
        <v>Aggregate</v>
      </c>
      <c r="AA4" s="95" t="str">
        <f t="shared" si="0"/>
        <v>Accretionnary lapilli</v>
      </c>
      <c r="AB4" s="94" t="str">
        <f t="shared" si="0"/>
        <v>Crystals</v>
      </c>
      <c r="AC4" s="94" t="s">
        <v>76</v>
      </c>
      <c r="AE4" s="97" t="str">
        <f t="shared" ref="AE4:AM4" si="1">T4</f>
        <v>Grain size (phi)</v>
      </c>
      <c r="AF4" s="95" t="str">
        <f t="shared" si="1"/>
        <v>Pumices</v>
      </c>
      <c r="AG4" s="95" t="str">
        <f t="shared" si="1"/>
        <v>Dense juveniles</v>
      </c>
      <c r="AH4" s="95" t="str">
        <f t="shared" si="1"/>
        <v>Obsidian</v>
      </c>
      <c r="AI4" s="96" t="str">
        <f t="shared" si="1"/>
        <v>Coral fragments</v>
      </c>
      <c r="AJ4" s="95" t="str">
        <f t="shared" si="1"/>
        <v>Mafic clasts</v>
      </c>
      <c r="AK4" s="95" t="str">
        <f t="shared" si="1"/>
        <v>Aggregate</v>
      </c>
      <c r="AL4" s="95" t="str">
        <f t="shared" si="1"/>
        <v>Accretionnary lapilli</v>
      </c>
      <c r="AM4" s="94" t="str">
        <f t="shared" si="1"/>
        <v>Crystals</v>
      </c>
      <c r="AN4" s="94" t="s">
        <v>76</v>
      </c>
    </row>
    <row r="5" spans="1:40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T5" s="77"/>
      <c r="U5" s="85"/>
      <c r="V5" s="84"/>
      <c r="W5" s="83"/>
      <c r="X5" s="84"/>
      <c r="Y5" s="84"/>
      <c r="Z5" s="84"/>
      <c r="AA5" s="84"/>
      <c r="AB5" s="83"/>
      <c r="AC5" s="82"/>
      <c r="AE5" s="77"/>
      <c r="AF5" s="85"/>
      <c r="AG5" s="84"/>
      <c r="AH5" s="83"/>
      <c r="AI5" s="85"/>
      <c r="AJ5" s="84"/>
      <c r="AK5" s="84"/>
      <c r="AL5" s="84"/>
      <c r="AM5" s="83"/>
      <c r="AN5" s="82"/>
    </row>
    <row r="6" spans="1:40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T6" s="77"/>
      <c r="U6" s="77"/>
      <c r="W6" s="76"/>
      <c r="AB6" s="76"/>
      <c r="AC6" s="49"/>
      <c r="AE6" s="77"/>
      <c r="AF6" s="77"/>
      <c r="AH6" s="76"/>
      <c r="AI6" s="77"/>
      <c r="AM6" s="76"/>
      <c r="AN6" s="49"/>
    </row>
    <row r="7" spans="1:40" x14ac:dyDescent="0.35">
      <c r="A7" s="75" t="s">
        <v>70</v>
      </c>
      <c r="B7" s="74">
        <v>-7.5</v>
      </c>
      <c r="C7" s="72">
        <v>0</v>
      </c>
      <c r="D7" s="55">
        <f>(C7/B$4)*100</f>
        <v>0</v>
      </c>
      <c r="E7" s="73">
        <v>0</v>
      </c>
      <c r="G7" s="48">
        <f t="shared" ref="G7:G33" si="2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3">SUM(H7:O7)</f>
        <v>0</v>
      </c>
      <c r="R7" s="134">
        <f t="shared" ref="R7:R33" si="4">100*(M7/$B$4)</f>
        <v>0</v>
      </c>
      <c r="T7" s="48">
        <f t="shared" ref="T7:T33" si="5">G7</f>
        <v>-7.5</v>
      </c>
      <c r="U7" s="47" t="e">
        <f t="shared" ref="U7:AB33" si="6">100*H7/$P7</f>
        <v>#DIV/0!</v>
      </c>
      <c r="V7" s="46" t="e">
        <f t="shared" si="6"/>
        <v>#DIV/0!</v>
      </c>
      <c r="W7" s="45" t="e">
        <f t="shared" si="6"/>
        <v>#DIV/0!</v>
      </c>
      <c r="X7" s="46" t="e">
        <f t="shared" si="6"/>
        <v>#DIV/0!</v>
      </c>
      <c r="Y7" s="46" t="e">
        <f t="shared" si="6"/>
        <v>#DIV/0!</v>
      </c>
      <c r="Z7" s="46" t="e">
        <f t="shared" si="6"/>
        <v>#DIV/0!</v>
      </c>
      <c r="AA7" s="46" t="e">
        <f t="shared" si="6"/>
        <v>#DIV/0!</v>
      </c>
      <c r="AB7" s="45" t="e">
        <f t="shared" si="6"/>
        <v>#DIV/0!</v>
      </c>
      <c r="AC7" s="49" t="e">
        <f t="shared" ref="AC7:AC33" si="7">SUM(U7:AB7)</f>
        <v>#DIV/0!</v>
      </c>
      <c r="AE7" s="48">
        <f t="shared" ref="AE7:AE33" si="8">T7</f>
        <v>-7.5</v>
      </c>
      <c r="AF7" s="47" t="e">
        <f t="shared" ref="AF7:AM14" si="9">U7*100/(SUM($U7:$Y7)+SUM($AA7:$AB7))</f>
        <v>#DIV/0!</v>
      </c>
      <c r="AG7" s="46" t="e">
        <f t="shared" si="9"/>
        <v>#DIV/0!</v>
      </c>
      <c r="AH7" s="45" t="e">
        <f t="shared" si="9"/>
        <v>#DIV/0!</v>
      </c>
      <c r="AI7" s="47" t="e">
        <f t="shared" si="9"/>
        <v>#DIV/0!</v>
      </c>
      <c r="AJ7" s="46" t="e">
        <f t="shared" si="9"/>
        <v>#DIV/0!</v>
      </c>
      <c r="AK7" s="46" t="e">
        <f t="shared" si="9"/>
        <v>#DIV/0!</v>
      </c>
      <c r="AL7" s="46" t="e">
        <f t="shared" si="9"/>
        <v>#DIV/0!</v>
      </c>
      <c r="AM7" s="45" t="e">
        <f t="shared" si="9"/>
        <v>#DIV/0!</v>
      </c>
      <c r="AN7" s="44" t="e">
        <f t="shared" ref="AN7:AN33" si="10">SUM(AF7:AM7)</f>
        <v>#DIV/0!</v>
      </c>
    </row>
    <row r="8" spans="1:40" x14ac:dyDescent="0.35">
      <c r="A8" s="58" t="s">
        <v>69</v>
      </c>
      <c r="B8" s="57">
        <v>-7</v>
      </c>
      <c r="C8" s="72">
        <v>0</v>
      </c>
      <c r="D8" s="55">
        <f t="shared" ref="D8:D33" si="11">(C8/B$4)*100</f>
        <v>0</v>
      </c>
      <c r="E8" s="73">
        <f>SUM(D6,D8)</f>
        <v>0</v>
      </c>
      <c r="G8" s="48">
        <f t="shared" si="2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3"/>
        <v>0</v>
      </c>
      <c r="R8" s="134">
        <f t="shared" si="4"/>
        <v>0</v>
      </c>
      <c r="T8" s="48">
        <f t="shared" si="5"/>
        <v>-7</v>
      </c>
      <c r="U8" s="47" t="e">
        <f t="shared" si="6"/>
        <v>#DIV/0!</v>
      </c>
      <c r="V8" s="46" t="e">
        <f t="shared" si="6"/>
        <v>#DIV/0!</v>
      </c>
      <c r="W8" s="45" t="e">
        <f t="shared" si="6"/>
        <v>#DIV/0!</v>
      </c>
      <c r="X8" s="46" t="e">
        <f t="shared" si="6"/>
        <v>#DIV/0!</v>
      </c>
      <c r="Y8" s="46" t="e">
        <f t="shared" si="6"/>
        <v>#DIV/0!</v>
      </c>
      <c r="Z8" s="46" t="e">
        <f t="shared" si="6"/>
        <v>#DIV/0!</v>
      </c>
      <c r="AA8" s="46" t="e">
        <f t="shared" si="6"/>
        <v>#DIV/0!</v>
      </c>
      <c r="AB8" s="45" t="e">
        <f t="shared" si="6"/>
        <v>#DIV/0!</v>
      </c>
      <c r="AC8" s="49" t="e">
        <f t="shared" si="7"/>
        <v>#DIV/0!</v>
      </c>
      <c r="AE8" s="48">
        <f t="shared" si="8"/>
        <v>-7</v>
      </c>
      <c r="AF8" s="47" t="e">
        <f t="shared" si="9"/>
        <v>#DIV/0!</v>
      </c>
      <c r="AG8" s="46" t="e">
        <f t="shared" si="9"/>
        <v>#DIV/0!</v>
      </c>
      <c r="AH8" s="45" t="e">
        <f t="shared" si="9"/>
        <v>#DIV/0!</v>
      </c>
      <c r="AI8" s="47" t="e">
        <f t="shared" si="9"/>
        <v>#DIV/0!</v>
      </c>
      <c r="AJ8" s="46" t="e">
        <f t="shared" si="9"/>
        <v>#DIV/0!</v>
      </c>
      <c r="AK8" s="46" t="e">
        <f t="shared" si="9"/>
        <v>#DIV/0!</v>
      </c>
      <c r="AL8" s="46" t="e">
        <f t="shared" si="9"/>
        <v>#DIV/0!</v>
      </c>
      <c r="AM8" s="45" t="e">
        <f t="shared" si="9"/>
        <v>#DIV/0!</v>
      </c>
      <c r="AN8" s="44" t="e">
        <f t="shared" si="10"/>
        <v>#DIV/0!</v>
      </c>
    </row>
    <row r="9" spans="1:40" x14ac:dyDescent="0.35">
      <c r="A9" s="58" t="s">
        <v>68</v>
      </c>
      <c r="B9" s="57">
        <v>-6.5</v>
      </c>
      <c r="C9" s="72">
        <v>0</v>
      </c>
      <c r="D9" s="55">
        <f t="shared" si="11"/>
        <v>0</v>
      </c>
      <c r="E9" s="73">
        <f>SUM(D6:D9)</f>
        <v>0</v>
      </c>
      <c r="G9" s="48">
        <f t="shared" si="2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3"/>
        <v>0</v>
      </c>
      <c r="R9" s="134">
        <f t="shared" si="4"/>
        <v>0</v>
      </c>
      <c r="T9" s="48">
        <f t="shared" si="5"/>
        <v>-6.5</v>
      </c>
      <c r="U9" s="47" t="e">
        <f t="shared" si="6"/>
        <v>#DIV/0!</v>
      </c>
      <c r="V9" s="46" t="e">
        <f t="shared" si="6"/>
        <v>#DIV/0!</v>
      </c>
      <c r="W9" s="45" t="e">
        <f t="shared" si="6"/>
        <v>#DIV/0!</v>
      </c>
      <c r="X9" s="46" t="e">
        <f t="shared" si="6"/>
        <v>#DIV/0!</v>
      </c>
      <c r="Y9" s="46" t="e">
        <f t="shared" si="6"/>
        <v>#DIV/0!</v>
      </c>
      <c r="Z9" s="46" t="e">
        <f t="shared" si="6"/>
        <v>#DIV/0!</v>
      </c>
      <c r="AA9" s="46" t="e">
        <f t="shared" si="6"/>
        <v>#DIV/0!</v>
      </c>
      <c r="AB9" s="45" t="e">
        <f t="shared" si="6"/>
        <v>#DIV/0!</v>
      </c>
      <c r="AC9" s="49" t="e">
        <f t="shared" si="7"/>
        <v>#DIV/0!</v>
      </c>
      <c r="AE9" s="48">
        <f t="shared" si="8"/>
        <v>-6.5</v>
      </c>
      <c r="AF9" s="47" t="e">
        <f t="shared" si="9"/>
        <v>#DIV/0!</v>
      </c>
      <c r="AG9" s="46" t="e">
        <f t="shared" si="9"/>
        <v>#DIV/0!</v>
      </c>
      <c r="AH9" s="45" t="e">
        <f t="shared" si="9"/>
        <v>#DIV/0!</v>
      </c>
      <c r="AI9" s="47" t="e">
        <f t="shared" si="9"/>
        <v>#DIV/0!</v>
      </c>
      <c r="AJ9" s="46" t="e">
        <f t="shared" si="9"/>
        <v>#DIV/0!</v>
      </c>
      <c r="AK9" s="46" t="e">
        <f t="shared" si="9"/>
        <v>#DIV/0!</v>
      </c>
      <c r="AL9" s="46" t="e">
        <f t="shared" si="9"/>
        <v>#DIV/0!</v>
      </c>
      <c r="AM9" s="45" t="e">
        <f t="shared" si="9"/>
        <v>#DIV/0!</v>
      </c>
      <c r="AN9" s="44" t="e">
        <f t="shared" si="10"/>
        <v>#DIV/0!</v>
      </c>
    </row>
    <row r="10" spans="1:40" x14ac:dyDescent="0.35">
      <c r="A10" s="58" t="s">
        <v>67</v>
      </c>
      <c r="B10" s="57">
        <v>-6</v>
      </c>
      <c r="C10" s="72">
        <v>0</v>
      </c>
      <c r="D10" s="55">
        <f t="shared" si="11"/>
        <v>0</v>
      </c>
      <c r="E10" s="54">
        <f>SUM(D6:D10)</f>
        <v>0</v>
      </c>
      <c r="G10" s="48">
        <f t="shared" si="2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3"/>
        <v>0</v>
      </c>
      <c r="R10" s="134">
        <f t="shared" si="4"/>
        <v>0</v>
      </c>
      <c r="T10" s="48">
        <f t="shared" si="5"/>
        <v>-6</v>
      </c>
      <c r="U10" s="47" t="e">
        <f t="shared" si="6"/>
        <v>#DIV/0!</v>
      </c>
      <c r="V10" s="46" t="e">
        <f t="shared" si="6"/>
        <v>#DIV/0!</v>
      </c>
      <c r="W10" s="45" t="e">
        <f t="shared" si="6"/>
        <v>#DIV/0!</v>
      </c>
      <c r="X10" s="46" t="e">
        <f t="shared" si="6"/>
        <v>#DIV/0!</v>
      </c>
      <c r="Y10" s="46" t="e">
        <f t="shared" si="6"/>
        <v>#DIV/0!</v>
      </c>
      <c r="Z10" s="46" t="e">
        <f t="shared" si="6"/>
        <v>#DIV/0!</v>
      </c>
      <c r="AA10" s="46" t="e">
        <f t="shared" si="6"/>
        <v>#DIV/0!</v>
      </c>
      <c r="AB10" s="45" t="e">
        <f t="shared" si="6"/>
        <v>#DIV/0!</v>
      </c>
      <c r="AC10" s="49" t="e">
        <f t="shared" si="7"/>
        <v>#DIV/0!</v>
      </c>
      <c r="AE10" s="48">
        <f t="shared" si="8"/>
        <v>-6</v>
      </c>
      <c r="AF10" s="47" t="e">
        <f t="shared" si="9"/>
        <v>#DIV/0!</v>
      </c>
      <c r="AG10" s="46" t="e">
        <f t="shared" si="9"/>
        <v>#DIV/0!</v>
      </c>
      <c r="AH10" s="45" t="e">
        <f t="shared" si="9"/>
        <v>#DIV/0!</v>
      </c>
      <c r="AI10" s="47" t="e">
        <f t="shared" si="9"/>
        <v>#DIV/0!</v>
      </c>
      <c r="AJ10" s="46" t="e">
        <f t="shared" si="9"/>
        <v>#DIV/0!</v>
      </c>
      <c r="AK10" s="46" t="e">
        <f t="shared" si="9"/>
        <v>#DIV/0!</v>
      </c>
      <c r="AL10" s="46" t="e">
        <f t="shared" si="9"/>
        <v>#DIV/0!</v>
      </c>
      <c r="AM10" s="45" t="e">
        <f t="shared" si="9"/>
        <v>#DIV/0!</v>
      </c>
      <c r="AN10" s="44" t="e">
        <f t="shared" si="10"/>
        <v>#DIV/0!</v>
      </c>
    </row>
    <row r="11" spans="1:40" x14ac:dyDescent="0.35">
      <c r="A11" s="58" t="s">
        <v>66</v>
      </c>
      <c r="B11" s="57">
        <v>-5.5</v>
      </c>
      <c r="C11" s="62">
        <v>0</v>
      </c>
      <c r="D11" s="55">
        <f t="shared" si="11"/>
        <v>0</v>
      </c>
      <c r="E11" s="54">
        <f>SUM(D6:D11)</f>
        <v>0</v>
      </c>
      <c r="G11" s="48">
        <f t="shared" si="2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50">
        <f t="shared" si="3"/>
        <v>0</v>
      </c>
      <c r="R11" s="134">
        <f t="shared" si="4"/>
        <v>0</v>
      </c>
      <c r="T11" s="48">
        <f t="shared" si="5"/>
        <v>-5.5</v>
      </c>
      <c r="U11" s="47" t="e">
        <f t="shared" si="6"/>
        <v>#DIV/0!</v>
      </c>
      <c r="V11" s="46" t="e">
        <f t="shared" si="6"/>
        <v>#DIV/0!</v>
      </c>
      <c r="W11" s="45" t="e">
        <f t="shared" si="6"/>
        <v>#DIV/0!</v>
      </c>
      <c r="X11" s="46" t="e">
        <f t="shared" si="6"/>
        <v>#DIV/0!</v>
      </c>
      <c r="Y11" s="46" t="e">
        <f t="shared" si="6"/>
        <v>#DIV/0!</v>
      </c>
      <c r="Z11" s="46" t="e">
        <f t="shared" si="6"/>
        <v>#DIV/0!</v>
      </c>
      <c r="AA11" s="46" t="e">
        <f t="shared" si="6"/>
        <v>#DIV/0!</v>
      </c>
      <c r="AB11" s="45" t="e">
        <f t="shared" si="6"/>
        <v>#DIV/0!</v>
      </c>
      <c r="AC11" s="49" t="e">
        <f t="shared" si="7"/>
        <v>#DIV/0!</v>
      </c>
      <c r="AE11" s="48">
        <f t="shared" si="8"/>
        <v>-5.5</v>
      </c>
      <c r="AF11" s="47" t="e">
        <f t="shared" si="9"/>
        <v>#DIV/0!</v>
      </c>
      <c r="AG11" s="46" t="e">
        <f t="shared" si="9"/>
        <v>#DIV/0!</v>
      </c>
      <c r="AH11" s="45" t="e">
        <f t="shared" si="9"/>
        <v>#DIV/0!</v>
      </c>
      <c r="AI11" s="47" t="e">
        <f t="shared" si="9"/>
        <v>#DIV/0!</v>
      </c>
      <c r="AJ11" s="46" t="e">
        <f t="shared" si="9"/>
        <v>#DIV/0!</v>
      </c>
      <c r="AK11" s="46" t="e">
        <f t="shared" si="9"/>
        <v>#DIV/0!</v>
      </c>
      <c r="AL11" s="46" t="e">
        <f t="shared" si="9"/>
        <v>#DIV/0!</v>
      </c>
      <c r="AM11" s="45" t="e">
        <f t="shared" si="9"/>
        <v>#DIV/0!</v>
      </c>
      <c r="AN11" s="44" t="e">
        <f t="shared" si="10"/>
        <v>#DIV/0!</v>
      </c>
    </row>
    <row r="12" spans="1:40" x14ac:dyDescent="0.35">
      <c r="A12" s="58" t="s">
        <v>65</v>
      </c>
      <c r="B12" s="57">
        <v>-5</v>
      </c>
      <c r="C12" s="62">
        <v>0</v>
      </c>
      <c r="D12" s="55">
        <f t="shared" si="11"/>
        <v>0</v>
      </c>
      <c r="E12" s="54">
        <f>SUM(D6:D12)</f>
        <v>0</v>
      </c>
      <c r="G12" s="48">
        <f t="shared" si="2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50">
        <f t="shared" si="3"/>
        <v>0</v>
      </c>
      <c r="R12" s="134">
        <f t="shared" si="4"/>
        <v>0</v>
      </c>
      <c r="T12" s="48">
        <f t="shared" si="5"/>
        <v>-5</v>
      </c>
      <c r="U12" s="47" t="e">
        <f t="shared" si="6"/>
        <v>#DIV/0!</v>
      </c>
      <c r="V12" s="46" t="e">
        <f t="shared" si="6"/>
        <v>#DIV/0!</v>
      </c>
      <c r="W12" s="45" t="e">
        <f t="shared" si="6"/>
        <v>#DIV/0!</v>
      </c>
      <c r="X12" s="46" t="e">
        <f t="shared" si="6"/>
        <v>#DIV/0!</v>
      </c>
      <c r="Y12" s="46" t="e">
        <f t="shared" si="6"/>
        <v>#DIV/0!</v>
      </c>
      <c r="Z12" s="46" t="e">
        <f t="shared" si="6"/>
        <v>#DIV/0!</v>
      </c>
      <c r="AA12" s="46" t="e">
        <f t="shared" si="6"/>
        <v>#DIV/0!</v>
      </c>
      <c r="AB12" s="45" t="e">
        <f t="shared" si="6"/>
        <v>#DIV/0!</v>
      </c>
      <c r="AC12" s="49" t="e">
        <f t="shared" si="7"/>
        <v>#DIV/0!</v>
      </c>
      <c r="AE12" s="48">
        <f t="shared" si="8"/>
        <v>-5</v>
      </c>
      <c r="AF12" s="47" t="e">
        <f t="shared" si="9"/>
        <v>#DIV/0!</v>
      </c>
      <c r="AG12" s="46" t="e">
        <f t="shared" si="9"/>
        <v>#DIV/0!</v>
      </c>
      <c r="AH12" s="45" t="e">
        <f t="shared" si="9"/>
        <v>#DIV/0!</v>
      </c>
      <c r="AI12" s="47" t="e">
        <f t="shared" si="9"/>
        <v>#DIV/0!</v>
      </c>
      <c r="AJ12" s="46" t="e">
        <f t="shared" si="9"/>
        <v>#DIV/0!</v>
      </c>
      <c r="AK12" s="46" t="e">
        <f t="shared" si="9"/>
        <v>#DIV/0!</v>
      </c>
      <c r="AL12" s="46" t="e">
        <f t="shared" si="9"/>
        <v>#DIV/0!</v>
      </c>
      <c r="AM12" s="45" t="e">
        <f t="shared" si="9"/>
        <v>#DIV/0!</v>
      </c>
      <c r="AN12" s="44" t="e">
        <f t="shared" si="10"/>
        <v>#DIV/0!</v>
      </c>
    </row>
    <row r="13" spans="1:40" x14ac:dyDescent="0.35">
      <c r="A13" s="58" t="s">
        <v>64</v>
      </c>
      <c r="B13" s="57">
        <v>-4.5</v>
      </c>
      <c r="C13" s="62">
        <v>0</v>
      </c>
      <c r="D13" s="55">
        <f t="shared" si="11"/>
        <v>0</v>
      </c>
      <c r="E13" s="54">
        <f>SUM(D7:D13)</f>
        <v>0</v>
      </c>
      <c r="G13" s="48">
        <f t="shared" si="2"/>
        <v>-4.5</v>
      </c>
      <c r="H13" s="61">
        <v>0</v>
      </c>
      <c r="I13" s="60">
        <v>0</v>
      </c>
      <c r="J13" s="59">
        <v>0</v>
      </c>
      <c r="K13" s="60">
        <v>0</v>
      </c>
      <c r="L13" s="60">
        <v>0</v>
      </c>
      <c r="M13" s="60">
        <v>0</v>
      </c>
      <c r="N13" s="60">
        <v>0</v>
      </c>
      <c r="O13" s="60">
        <v>0</v>
      </c>
      <c r="P13" s="50">
        <f t="shared" si="3"/>
        <v>0</v>
      </c>
      <c r="R13" s="134">
        <f t="shared" si="4"/>
        <v>0</v>
      </c>
      <c r="T13" s="48">
        <f t="shared" si="5"/>
        <v>-4.5</v>
      </c>
      <c r="U13" s="47" t="e">
        <f t="shared" si="6"/>
        <v>#DIV/0!</v>
      </c>
      <c r="V13" s="46" t="e">
        <f t="shared" si="6"/>
        <v>#DIV/0!</v>
      </c>
      <c r="W13" s="45" t="e">
        <f t="shared" si="6"/>
        <v>#DIV/0!</v>
      </c>
      <c r="X13" s="46" t="e">
        <f t="shared" si="6"/>
        <v>#DIV/0!</v>
      </c>
      <c r="Y13" s="46" t="e">
        <f t="shared" si="6"/>
        <v>#DIV/0!</v>
      </c>
      <c r="Z13" s="46" t="e">
        <f t="shared" si="6"/>
        <v>#DIV/0!</v>
      </c>
      <c r="AA13" s="46" t="e">
        <f t="shared" si="6"/>
        <v>#DIV/0!</v>
      </c>
      <c r="AB13" s="45" t="e">
        <f t="shared" si="6"/>
        <v>#DIV/0!</v>
      </c>
      <c r="AC13" s="49" t="e">
        <f t="shared" si="7"/>
        <v>#DIV/0!</v>
      </c>
      <c r="AE13" s="48">
        <f t="shared" si="8"/>
        <v>-4.5</v>
      </c>
      <c r="AF13" s="47" t="e">
        <f t="shared" si="9"/>
        <v>#DIV/0!</v>
      </c>
      <c r="AG13" s="46" t="e">
        <f t="shared" si="9"/>
        <v>#DIV/0!</v>
      </c>
      <c r="AH13" s="45" t="e">
        <f t="shared" si="9"/>
        <v>#DIV/0!</v>
      </c>
      <c r="AI13" s="47" t="e">
        <f t="shared" si="9"/>
        <v>#DIV/0!</v>
      </c>
      <c r="AJ13" s="46" t="e">
        <f t="shared" si="9"/>
        <v>#DIV/0!</v>
      </c>
      <c r="AK13" s="46" t="e">
        <f t="shared" si="9"/>
        <v>#DIV/0!</v>
      </c>
      <c r="AL13" s="46" t="e">
        <f t="shared" si="9"/>
        <v>#DIV/0!</v>
      </c>
      <c r="AM13" s="45" t="e">
        <f t="shared" si="9"/>
        <v>#DIV/0!</v>
      </c>
      <c r="AN13" s="44" t="e">
        <f t="shared" si="10"/>
        <v>#DIV/0!</v>
      </c>
    </row>
    <row r="14" spans="1:40" x14ac:dyDescent="0.35">
      <c r="A14" s="58" t="s">
        <v>63</v>
      </c>
      <c r="B14" s="57">
        <v>-4</v>
      </c>
      <c r="C14" s="62">
        <v>0</v>
      </c>
      <c r="D14" s="55">
        <f t="shared" si="11"/>
        <v>0</v>
      </c>
      <c r="E14" s="54">
        <f>SUM(D8:D14)</f>
        <v>0</v>
      </c>
      <c r="G14" s="48">
        <f t="shared" si="2"/>
        <v>-4</v>
      </c>
      <c r="H14" s="61">
        <v>0</v>
      </c>
      <c r="I14" s="60">
        <v>0</v>
      </c>
      <c r="J14" s="59">
        <v>0</v>
      </c>
      <c r="K14" s="60">
        <v>0</v>
      </c>
      <c r="L14" s="60">
        <v>0</v>
      </c>
      <c r="M14" s="60">
        <v>0</v>
      </c>
      <c r="N14" s="60">
        <v>0</v>
      </c>
      <c r="O14" s="60">
        <v>0</v>
      </c>
      <c r="P14" s="50">
        <f t="shared" si="3"/>
        <v>0</v>
      </c>
      <c r="R14" s="134">
        <f t="shared" si="4"/>
        <v>0</v>
      </c>
      <c r="T14" s="48">
        <f t="shared" si="5"/>
        <v>-4</v>
      </c>
      <c r="U14" s="47" t="e">
        <f t="shared" si="6"/>
        <v>#DIV/0!</v>
      </c>
      <c r="V14" s="46" t="e">
        <f t="shared" si="6"/>
        <v>#DIV/0!</v>
      </c>
      <c r="W14" s="45" t="e">
        <f t="shared" si="6"/>
        <v>#DIV/0!</v>
      </c>
      <c r="X14" s="46" t="e">
        <f t="shared" si="6"/>
        <v>#DIV/0!</v>
      </c>
      <c r="Y14" s="46" t="e">
        <f t="shared" si="6"/>
        <v>#DIV/0!</v>
      </c>
      <c r="Z14" s="46" t="e">
        <f t="shared" si="6"/>
        <v>#DIV/0!</v>
      </c>
      <c r="AA14" s="46" t="e">
        <f t="shared" si="6"/>
        <v>#DIV/0!</v>
      </c>
      <c r="AB14" s="45" t="e">
        <f t="shared" si="6"/>
        <v>#DIV/0!</v>
      </c>
      <c r="AC14" s="49" t="e">
        <f t="shared" si="7"/>
        <v>#DIV/0!</v>
      </c>
      <c r="AE14" s="48">
        <f t="shared" si="8"/>
        <v>-4</v>
      </c>
      <c r="AF14" s="47" t="e">
        <f t="shared" si="9"/>
        <v>#DIV/0!</v>
      </c>
      <c r="AG14" s="46" t="e">
        <f t="shared" si="9"/>
        <v>#DIV/0!</v>
      </c>
      <c r="AH14" s="45" t="e">
        <f t="shared" si="9"/>
        <v>#DIV/0!</v>
      </c>
      <c r="AI14" s="47" t="e">
        <f t="shared" si="9"/>
        <v>#DIV/0!</v>
      </c>
      <c r="AJ14" s="46" t="e">
        <f t="shared" si="9"/>
        <v>#DIV/0!</v>
      </c>
      <c r="AK14" s="46" t="e">
        <f t="shared" si="9"/>
        <v>#DIV/0!</v>
      </c>
      <c r="AL14" s="46" t="e">
        <f t="shared" si="9"/>
        <v>#DIV/0!</v>
      </c>
      <c r="AM14" s="45" t="e">
        <f t="shared" si="9"/>
        <v>#DIV/0!</v>
      </c>
      <c r="AN14" s="44" t="e">
        <f t="shared" si="10"/>
        <v>#DIV/0!</v>
      </c>
    </row>
    <row r="15" spans="1:40" x14ac:dyDescent="0.35">
      <c r="A15" s="58" t="s">
        <v>62</v>
      </c>
      <c r="B15" s="57">
        <v>-3.5</v>
      </c>
      <c r="C15" s="62">
        <v>1.9</v>
      </c>
      <c r="D15" s="55">
        <f t="shared" si="11"/>
        <v>0.955446042441919</v>
      </c>
      <c r="E15" s="54">
        <f>SUM(D6:D15)</f>
        <v>0.955446042441919</v>
      </c>
      <c r="G15" s="48">
        <f t="shared" si="2"/>
        <v>-3.5</v>
      </c>
      <c r="H15" s="61">
        <v>0.8</v>
      </c>
      <c r="I15" s="60">
        <v>0</v>
      </c>
      <c r="J15" s="59">
        <v>0</v>
      </c>
      <c r="K15" s="60">
        <v>0</v>
      </c>
      <c r="L15" s="60">
        <v>0</v>
      </c>
      <c r="M15" s="60">
        <v>0</v>
      </c>
      <c r="N15" s="60">
        <v>1.1000000000000001</v>
      </c>
      <c r="O15" s="59">
        <v>0</v>
      </c>
      <c r="P15" s="50">
        <f t="shared" si="3"/>
        <v>1.9000000000000001</v>
      </c>
      <c r="R15" s="134">
        <f t="shared" si="4"/>
        <v>0</v>
      </c>
      <c r="T15" s="48">
        <f t="shared" si="5"/>
        <v>-3.5</v>
      </c>
      <c r="U15" s="67">
        <f t="shared" si="6"/>
        <v>42.105263157894733</v>
      </c>
      <c r="V15" s="66">
        <f t="shared" si="6"/>
        <v>0</v>
      </c>
      <c r="W15" s="65">
        <f t="shared" si="6"/>
        <v>0</v>
      </c>
      <c r="X15" s="66">
        <f t="shared" si="6"/>
        <v>0</v>
      </c>
      <c r="Y15" s="66">
        <f t="shared" si="6"/>
        <v>0</v>
      </c>
      <c r="Z15" s="66">
        <f t="shared" si="6"/>
        <v>0</v>
      </c>
      <c r="AA15" s="66">
        <f t="shared" si="6"/>
        <v>57.894736842105267</v>
      </c>
      <c r="AB15" s="65">
        <f t="shared" si="6"/>
        <v>0</v>
      </c>
      <c r="AC15" s="50">
        <f t="shared" si="7"/>
        <v>100</v>
      </c>
      <c r="AE15" s="48">
        <f t="shared" si="8"/>
        <v>-3.5</v>
      </c>
      <c r="AF15" s="67">
        <f t="shared" ref="AF15:AJ33" si="12">U15*100/(SUM($U15:$Y15)+SUM($AA15:$AB15))</f>
        <v>42.105263157894733</v>
      </c>
      <c r="AG15" s="66">
        <f t="shared" si="12"/>
        <v>0</v>
      </c>
      <c r="AH15" s="65">
        <f t="shared" si="12"/>
        <v>0</v>
      </c>
      <c r="AI15" s="67">
        <f t="shared" si="12"/>
        <v>0</v>
      </c>
      <c r="AJ15" s="66">
        <f t="shared" si="12"/>
        <v>0</v>
      </c>
      <c r="AK15" s="66">
        <v>0</v>
      </c>
      <c r="AL15" s="66">
        <f t="shared" ref="AL15:AM33" si="13">AA15*100/(SUM($U15:$Y15)+SUM($AA15:$AB15))</f>
        <v>57.894736842105267</v>
      </c>
      <c r="AM15" s="65">
        <f t="shared" si="13"/>
        <v>0</v>
      </c>
      <c r="AN15" s="64">
        <f t="shared" si="10"/>
        <v>100</v>
      </c>
    </row>
    <row r="16" spans="1:40" x14ac:dyDescent="0.35">
      <c r="A16" s="71" t="s">
        <v>61</v>
      </c>
      <c r="B16" s="57">
        <v>-3</v>
      </c>
      <c r="C16" s="62">
        <v>5.8999999999999986</v>
      </c>
      <c r="D16" s="55">
        <f t="shared" si="11"/>
        <v>2.9669113949512216</v>
      </c>
      <c r="E16" s="54">
        <f>SUM(D6:D16)</f>
        <v>3.9223574373931407</v>
      </c>
      <c r="G16" s="48">
        <f t="shared" si="2"/>
        <v>-3</v>
      </c>
      <c r="H16" s="61">
        <v>1.9</v>
      </c>
      <c r="I16" s="60">
        <v>0.1</v>
      </c>
      <c r="J16" s="59">
        <v>0</v>
      </c>
      <c r="K16" s="60">
        <v>0</v>
      </c>
      <c r="L16" s="60">
        <v>1.3</v>
      </c>
      <c r="M16" s="60">
        <v>0</v>
      </c>
      <c r="N16" s="60">
        <v>1.5</v>
      </c>
      <c r="O16" s="59">
        <v>0</v>
      </c>
      <c r="P16" s="50">
        <f t="shared" si="3"/>
        <v>4.8</v>
      </c>
      <c r="R16" s="134">
        <f t="shared" si="4"/>
        <v>0</v>
      </c>
      <c r="T16" s="48">
        <f t="shared" si="5"/>
        <v>-3</v>
      </c>
      <c r="U16" s="67">
        <f t="shared" si="6"/>
        <v>39.583333333333336</v>
      </c>
      <c r="V16" s="66">
        <f t="shared" si="6"/>
        <v>2.0833333333333335</v>
      </c>
      <c r="W16" s="65">
        <f t="shared" si="6"/>
        <v>0</v>
      </c>
      <c r="X16" s="66">
        <f t="shared" si="6"/>
        <v>0</v>
      </c>
      <c r="Y16" s="66">
        <f t="shared" si="6"/>
        <v>27.083333333333336</v>
      </c>
      <c r="Z16" s="66">
        <f t="shared" si="6"/>
        <v>0</v>
      </c>
      <c r="AA16" s="66">
        <f t="shared" si="6"/>
        <v>31.25</v>
      </c>
      <c r="AB16" s="65">
        <f t="shared" si="6"/>
        <v>0</v>
      </c>
      <c r="AC16" s="50">
        <f t="shared" si="7"/>
        <v>100</v>
      </c>
      <c r="AE16" s="48">
        <f t="shared" si="8"/>
        <v>-3</v>
      </c>
      <c r="AF16" s="67">
        <f t="shared" si="12"/>
        <v>39.583333333333336</v>
      </c>
      <c r="AG16" s="66">
        <f t="shared" si="12"/>
        <v>2.0833333333333335</v>
      </c>
      <c r="AH16" s="65">
        <f t="shared" si="12"/>
        <v>0</v>
      </c>
      <c r="AI16" s="67">
        <f t="shared" si="12"/>
        <v>0</v>
      </c>
      <c r="AJ16" s="66">
        <f t="shared" si="12"/>
        <v>27.083333333333336</v>
      </c>
      <c r="AK16" s="66">
        <v>0</v>
      </c>
      <c r="AL16" s="66">
        <f t="shared" si="13"/>
        <v>31.25</v>
      </c>
      <c r="AM16" s="65">
        <f t="shared" si="13"/>
        <v>0</v>
      </c>
      <c r="AN16" s="64">
        <f t="shared" si="10"/>
        <v>100</v>
      </c>
    </row>
    <row r="17" spans="1:40" x14ac:dyDescent="0.35">
      <c r="A17" s="71" t="s">
        <v>60</v>
      </c>
      <c r="B17" s="57">
        <v>-2.5</v>
      </c>
      <c r="C17" s="62">
        <v>6.8599999999999994</v>
      </c>
      <c r="D17" s="55">
        <f t="shared" si="11"/>
        <v>3.4496630795534546</v>
      </c>
      <c r="E17" s="54">
        <f>SUM(D6:D17)</f>
        <v>7.3720205169465949</v>
      </c>
      <c r="G17" s="48">
        <f t="shared" si="2"/>
        <v>-2.5</v>
      </c>
      <c r="H17" s="61">
        <v>2.5</v>
      </c>
      <c r="I17" s="60">
        <v>0.5</v>
      </c>
      <c r="J17" s="59">
        <v>0</v>
      </c>
      <c r="K17" s="60">
        <v>0</v>
      </c>
      <c r="L17" s="60">
        <v>0</v>
      </c>
      <c r="M17" s="60">
        <v>0</v>
      </c>
      <c r="N17" s="60">
        <v>3.3</v>
      </c>
      <c r="O17" s="59">
        <v>0</v>
      </c>
      <c r="P17" s="50">
        <f t="shared" si="3"/>
        <v>6.3</v>
      </c>
      <c r="R17" s="134">
        <f t="shared" si="4"/>
        <v>0</v>
      </c>
      <c r="T17" s="48">
        <f t="shared" si="5"/>
        <v>-2.5</v>
      </c>
      <c r="U17" s="67">
        <f t="shared" si="6"/>
        <v>39.682539682539684</v>
      </c>
      <c r="V17" s="66">
        <f t="shared" si="6"/>
        <v>7.9365079365079367</v>
      </c>
      <c r="W17" s="65">
        <f t="shared" si="6"/>
        <v>0</v>
      </c>
      <c r="X17" s="66">
        <f t="shared" si="6"/>
        <v>0</v>
      </c>
      <c r="Y17" s="66">
        <f t="shared" si="6"/>
        <v>0</v>
      </c>
      <c r="Z17" s="66">
        <f t="shared" si="6"/>
        <v>0</v>
      </c>
      <c r="AA17" s="66">
        <f t="shared" si="6"/>
        <v>52.38095238095238</v>
      </c>
      <c r="AB17" s="65">
        <f t="shared" si="6"/>
        <v>0</v>
      </c>
      <c r="AC17" s="50">
        <f t="shared" si="7"/>
        <v>100</v>
      </c>
      <c r="AE17" s="48">
        <f t="shared" si="8"/>
        <v>-2.5</v>
      </c>
      <c r="AF17" s="67">
        <f t="shared" si="12"/>
        <v>39.682539682539684</v>
      </c>
      <c r="AG17" s="66">
        <f t="shared" si="12"/>
        <v>7.9365079365079376</v>
      </c>
      <c r="AH17" s="65">
        <f t="shared" si="12"/>
        <v>0</v>
      </c>
      <c r="AI17" s="67">
        <f t="shared" si="12"/>
        <v>0</v>
      </c>
      <c r="AJ17" s="66">
        <f t="shared" si="12"/>
        <v>0</v>
      </c>
      <c r="AK17" s="66">
        <v>0</v>
      </c>
      <c r="AL17" s="66">
        <f t="shared" si="13"/>
        <v>52.38095238095238</v>
      </c>
      <c r="AM17" s="65">
        <f t="shared" si="13"/>
        <v>0</v>
      </c>
      <c r="AN17" s="64">
        <f t="shared" si="10"/>
        <v>100</v>
      </c>
    </row>
    <row r="18" spans="1:40" x14ac:dyDescent="0.35">
      <c r="A18" s="58" t="s">
        <v>59</v>
      </c>
      <c r="B18" s="57">
        <v>-2</v>
      </c>
      <c r="C18" s="62">
        <v>6.32</v>
      </c>
      <c r="D18" s="55">
        <f t="shared" si="11"/>
        <v>3.1781152569646989</v>
      </c>
      <c r="E18" s="54">
        <f>SUM(D6:D18)</f>
        <v>10.550135773911293</v>
      </c>
      <c r="G18" s="48">
        <f t="shared" si="2"/>
        <v>-2</v>
      </c>
      <c r="H18" s="61">
        <v>1.21</v>
      </c>
      <c r="I18" s="60">
        <v>2.09</v>
      </c>
      <c r="J18" s="59">
        <v>0</v>
      </c>
      <c r="K18" s="60">
        <v>0</v>
      </c>
      <c r="L18" s="60">
        <v>0.31</v>
      </c>
      <c r="M18" s="60">
        <v>0</v>
      </c>
      <c r="N18" s="60">
        <v>2.33</v>
      </c>
      <c r="O18" s="59">
        <v>0</v>
      </c>
      <c r="P18" s="50">
        <f t="shared" si="3"/>
        <v>5.9399999999999995</v>
      </c>
      <c r="R18" s="134">
        <f t="shared" si="4"/>
        <v>0</v>
      </c>
      <c r="T18" s="48">
        <f t="shared" si="5"/>
        <v>-2</v>
      </c>
      <c r="U18" s="67">
        <f t="shared" si="6"/>
        <v>20.370370370370374</v>
      </c>
      <c r="V18" s="66">
        <f t="shared" si="6"/>
        <v>35.18518518518519</v>
      </c>
      <c r="W18" s="65">
        <f t="shared" si="6"/>
        <v>0</v>
      </c>
      <c r="X18" s="66">
        <f t="shared" si="6"/>
        <v>0</v>
      </c>
      <c r="Y18" s="66">
        <f t="shared" si="6"/>
        <v>5.2188552188552189</v>
      </c>
      <c r="Z18" s="66">
        <f t="shared" si="6"/>
        <v>0</v>
      </c>
      <c r="AA18" s="66">
        <f t="shared" si="6"/>
        <v>39.225589225589232</v>
      </c>
      <c r="AB18" s="65">
        <f t="shared" si="6"/>
        <v>0</v>
      </c>
      <c r="AC18" s="50">
        <f t="shared" si="7"/>
        <v>100.00000000000001</v>
      </c>
      <c r="AE18" s="48">
        <f t="shared" si="8"/>
        <v>-2</v>
      </c>
      <c r="AF18" s="67">
        <f t="shared" si="12"/>
        <v>20.37037037037037</v>
      </c>
      <c r="AG18" s="66">
        <f t="shared" si="12"/>
        <v>35.185185185185183</v>
      </c>
      <c r="AH18" s="65">
        <f t="shared" si="12"/>
        <v>0</v>
      </c>
      <c r="AI18" s="67">
        <f t="shared" si="12"/>
        <v>0</v>
      </c>
      <c r="AJ18" s="66">
        <f t="shared" si="12"/>
        <v>5.2188552188552189</v>
      </c>
      <c r="AK18" s="66">
        <v>0</v>
      </c>
      <c r="AL18" s="66">
        <f t="shared" si="13"/>
        <v>39.225589225589225</v>
      </c>
      <c r="AM18" s="65">
        <f t="shared" si="13"/>
        <v>0</v>
      </c>
      <c r="AN18" s="64">
        <f t="shared" si="10"/>
        <v>100</v>
      </c>
    </row>
    <row r="19" spans="1:40" x14ac:dyDescent="0.35">
      <c r="A19" s="58" t="s">
        <v>58</v>
      </c>
      <c r="B19" s="57">
        <v>-1.5</v>
      </c>
      <c r="C19" s="62">
        <v>4</v>
      </c>
      <c r="D19" s="55">
        <f t="shared" si="11"/>
        <v>2.0114653525093029</v>
      </c>
      <c r="E19" s="54">
        <f>SUM(D6:D19)</f>
        <v>12.561601126420596</v>
      </c>
      <c r="G19" s="48">
        <f t="shared" si="2"/>
        <v>-1.5</v>
      </c>
      <c r="H19" s="61">
        <v>0.76</v>
      </c>
      <c r="I19" s="60">
        <v>2.5</v>
      </c>
      <c r="J19" s="59">
        <v>0</v>
      </c>
      <c r="K19" s="60">
        <v>0.25</v>
      </c>
      <c r="L19" s="60">
        <v>0.38</v>
      </c>
      <c r="M19" s="60">
        <v>0</v>
      </c>
      <c r="N19" s="60">
        <v>0</v>
      </c>
      <c r="O19" s="59">
        <v>0</v>
      </c>
      <c r="P19" s="50">
        <f t="shared" si="3"/>
        <v>3.8899999999999997</v>
      </c>
      <c r="R19" s="134">
        <f t="shared" si="4"/>
        <v>0</v>
      </c>
      <c r="T19" s="48">
        <f t="shared" si="5"/>
        <v>-1.5</v>
      </c>
      <c r="U19" s="67">
        <f t="shared" si="6"/>
        <v>19.537275064267355</v>
      </c>
      <c r="V19" s="66">
        <f t="shared" si="6"/>
        <v>64.267352185089976</v>
      </c>
      <c r="W19" s="65">
        <f t="shared" si="6"/>
        <v>0</v>
      </c>
      <c r="X19" s="66">
        <f t="shared" si="6"/>
        <v>6.4267352185089983</v>
      </c>
      <c r="Y19" s="66">
        <f t="shared" si="6"/>
        <v>9.7686375321336776</v>
      </c>
      <c r="Z19" s="66">
        <f t="shared" si="6"/>
        <v>0</v>
      </c>
      <c r="AA19" s="66">
        <f t="shared" si="6"/>
        <v>0</v>
      </c>
      <c r="AB19" s="65">
        <f t="shared" si="6"/>
        <v>0</v>
      </c>
      <c r="AC19" s="50">
        <f t="shared" si="7"/>
        <v>100.00000000000001</v>
      </c>
      <c r="AE19" s="48">
        <f t="shared" si="8"/>
        <v>-1.5</v>
      </c>
      <c r="AF19" s="67">
        <f t="shared" si="12"/>
        <v>19.537275064267352</v>
      </c>
      <c r="AG19" s="66">
        <f t="shared" si="12"/>
        <v>64.267352185089962</v>
      </c>
      <c r="AH19" s="65">
        <f t="shared" si="12"/>
        <v>0</v>
      </c>
      <c r="AI19" s="67">
        <f t="shared" si="12"/>
        <v>6.4267352185089974</v>
      </c>
      <c r="AJ19" s="66">
        <f t="shared" si="12"/>
        <v>9.7686375321336758</v>
      </c>
      <c r="AK19" s="66">
        <v>0</v>
      </c>
      <c r="AL19" s="66">
        <f t="shared" si="13"/>
        <v>0</v>
      </c>
      <c r="AM19" s="65">
        <f t="shared" si="13"/>
        <v>0</v>
      </c>
      <c r="AN19" s="64">
        <f t="shared" si="10"/>
        <v>99.999999999999986</v>
      </c>
    </row>
    <row r="20" spans="1:40" x14ac:dyDescent="0.35">
      <c r="A20" s="58" t="s">
        <v>57</v>
      </c>
      <c r="B20" s="57">
        <v>-1</v>
      </c>
      <c r="C20" s="62">
        <v>7.1800000000000006</v>
      </c>
      <c r="D20" s="55">
        <f t="shared" si="11"/>
        <v>3.6105803077541991</v>
      </c>
      <c r="E20" s="54">
        <f>SUM(D6:D20)</f>
        <v>16.172181434174796</v>
      </c>
      <c r="G20" s="48">
        <f t="shared" si="2"/>
        <v>-1</v>
      </c>
      <c r="H20" s="61">
        <v>0.82</v>
      </c>
      <c r="I20" s="60">
        <v>5.19</v>
      </c>
      <c r="J20" s="59">
        <v>0.18</v>
      </c>
      <c r="K20" s="60">
        <v>0.26</v>
      </c>
      <c r="L20" s="60">
        <v>0.5</v>
      </c>
      <c r="M20" s="60">
        <v>0</v>
      </c>
      <c r="N20" s="60">
        <v>0.04</v>
      </c>
      <c r="O20" s="59">
        <v>0</v>
      </c>
      <c r="P20" s="50">
        <f t="shared" si="3"/>
        <v>6.99</v>
      </c>
      <c r="R20" s="134">
        <f t="shared" si="4"/>
        <v>0</v>
      </c>
      <c r="T20" s="48">
        <f t="shared" si="5"/>
        <v>-1</v>
      </c>
      <c r="U20" s="67">
        <f t="shared" si="6"/>
        <v>11.7310443490701</v>
      </c>
      <c r="V20" s="66">
        <f t="shared" si="6"/>
        <v>74.248927038626604</v>
      </c>
      <c r="W20" s="65">
        <f t="shared" si="6"/>
        <v>2.5751072961373391</v>
      </c>
      <c r="X20" s="66">
        <f t="shared" si="6"/>
        <v>3.7195994277539342</v>
      </c>
      <c r="Y20" s="66">
        <f t="shared" si="6"/>
        <v>7.1530758226037197</v>
      </c>
      <c r="Z20" s="66">
        <f t="shared" si="6"/>
        <v>0</v>
      </c>
      <c r="AA20" s="66">
        <f t="shared" si="6"/>
        <v>0.57224606580829751</v>
      </c>
      <c r="AB20" s="65">
        <f t="shared" si="6"/>
        <v>0</v>
      </c>
      <c r="AC20" s="50">
        <f t="shared" si="7"/>
        <v>100</v>
      </c>
      <c r="AE20" s="48">
        <f t="shared" si="8"/>
        <v>-1</v>
      </c>
      <c r="AF20" s="67">
        <f t="shared" si="12"/>
        <v>11.7310443490701</v>
      </c>
      <c r="AG20" s="66">
        <f t="shared" si="12"/>
        <v>74.248927038626604</v>
      </c>
      <c r="AH20" s="65">
        <f t="shared" si="12"/>
        <v>2.5751072961373391</v>
      </c>
      <c r="AI20" s="67">
        <f t="shared" si="12"/>
        <v>3.7195994277539342</v>
      </c>
      <c r="AJ20" s="66">
        <f t="shared" si="12"/>
        <v>7.1530758226037197</v>
      </c>
      <c r="AK20" s="66">
        <v>0</v>
      </c>
      <c r="AL20" s="66">
        <f t="shared" si="13"/>
        <v>0.57224606580829751</v>
      </c>
      <c r="AM20" s="65">
        <f t="shared" si="13"/>
        <v>0</v>
      </c>
      <c r="AN20" s="64">
        <f t="shared" si="10"/>
        <v>100</v>
      </c>
    </row>
    <row r="21" spans="1:40" x14ac:dyDescent="0.35">
      <c r="A21" s="58" t="s">
        <v>56</v>
      </c>
      <c r="B21" s="57">
        <v>-0.5</v>
      </c>
      <c r="C21" s="62">
        <v>8.379999999999999</v>
      </c>
      <c r="D21" s="55">
        <f t="shared" si="11"/>
        <v>4.2140199135069896</v>
      </c>
      <c r="E21" s="54">
        <f>SUM(D6:D21)</f>
        <v>20.386201347681784</v>
      </c>
      <c r="G21" s="70">
        <f t="shared" si="2"/>
        <v>-0.5</v>
      </c>
      <c r="H21" s="53">
        <v>0.21</v>
      </c>
      <c r="I21" s="52">
        <v>6.77</v>
      </c>
      <c r="J21" s="51">
        <v>0.12</v>
      </c>
      <c r="K21" s="52">
        <v>0.34</v>
      </c>
      <c r="L21" s="52">
        <v>0.67</v>
      </c>
      <c r="M21" s="60">
        <v>0</v>
      </c>
      <c r="N21" s="52">
        <v>0</v>
      </c>
      <c r="O21" s="51">
        <v>0</v>
      </c>
      <c r="P21" s="69">
        <f t="shared" si="3"/>
        <v>8.11</v>
      </c>
      <c r="R21" s="134">
        <f t="shared" si="4"/>
        <v>0</v>
      </c>
      <c r="T21" s="48">
        <f t="shared" si="5"/>
        <v>-0.5</v>
      </c>
      <c r="U21" s="67">
        <f t="shared" si="6"/>
        <v>2.5893958076448831</v>
      </c>
      <c r="V21" s="66">
        <f t="shared" si="6"/>
        <v>83.477188655980271</v>
      </c>
      <c r="W21" s="65">
        <f t="shared" si="6"/>
        <v>1.4796547472256474</v>
      </c>
      <c r="X21" s="66">
        <f t="shared" si="6"/>
        <v>4.1923551171393347</v>
      </c>
      <c r="Y21" s="66">
        <f t="shared" si="6"/>
        <v>8.2614056720098645</v>
      </c>
      <c r="Z21" s="66">
        <f t="shared" si="6"/>
        <v>0</v>
      </c>
      <c r="AA21" s="66">
        <f t="shared" si="6"/>
        <v>0</v>
      </c>
      <c r="AB21" s="65">
        <f t="shared" si="6"/>
        <v>0</v>
      </c>
      <c r="AC21" s="50">
        <f t="shared" si="7"/>
        <v>100</v>
      </c>
      <c r="AE21" s="48">
        <f t="shared" si="8"/>
        <v>-0.5</v>
      </c>
      <c r="AF21" s="67">
        <f t="shared" si="12"/>
        <v>2.5893958076448831</v>
      </c>
      <c r="AG21" s="66">
        <f t="shared" si="12"/>
        <v>83.477188655980257</v>
      </c>
      <c r="AH21" s="65">
        <f t="shared" si="12"/>
        <v>1.4796547472256476</v>
      </c>
      <c r="AI21" s="67">
        <f t="shared" si="12"/>
        <v>4.1923551171393347</v>
      </c>
      <c r="AJ21" s="66">
        <f t="shared" si="12"/>
        <v>8.2614056720098645</v>
      </c>
      <c r="AK21" s="66">
        <v>0</v>
      </c>
      <c r="AL21" s="66">
        <f t="shared" si="13"/>
        <v>0</v>
      </c>
      <c r="AM21" s="65">
        <f t="shared" si="13"/>
        <v>0</v>
      </c>
      <c r="AN21" s="64">
        <f t="shared" si="10"/>
        <v>99.999999999999972</v>
      </c>
    </row>
    <row r="22" spans="1:40" x14ac:dyDescent="0.35">
      <c r="A22" s="58" t="s">
        <v>55</v>
      </c>
      <c r="B22" s="57">
        <v>0</v>
      </c>
      <c r="C22" s="62">
        <v>7.3</v>
      </c>
      <c r="D22" s="55">
        <f t="shared" si="11"/>
        <v>3.6709242683294785</v>
      </c>
      <c r="E22" s="54">
        <f>SUM(D6:D22)</f>
        <v>24.057125616011263</v>
      </c>
      <c r="G22" s="48">
        <f t="shared" si="2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3"/>
        <v>0</v>
      </c>
      <c r="R22" s="134">
        <f t="shared" si="4"/>
        <v>0</v>
      </c>
      <c r="T22" s="48">
        <f t="shared" si="5"/>
        <v>0</v>
      </c>
      <c r="U22" s="47" t="e">
        <f t="shared" si="6"/>
        <v>#DIV/0!</v>
      </c>
      <c r="V22" s="46" t="e">
        <f t="shared" si="6"/>
        <v>#DIV/0!</v>
      </c>
      <c r="W22" s="45" t="e">
        <f t="shared" si="6"/>
        <v>#DIV/0!</v>
      </c>
      <c r="X22" s="46" t="e">
        <f t="shared" si="6"/>
        <v>#DIV/0!</v>
      </c>
      <c r="Y22" s="46" t="e">
        <f t="shared" si="6"/>
        <v>#DIV/0!</v>
      </c>
      <c r="Z22" s="46" t="e">
        <f t="shared" si="6"/>
        <v>#DIV/0!</v>
      </c>
      <c r="AA22" s="46" t="e">
        <f t="shared" si="6"/>
        <v>#DIV/0!</v>
      </c>
      <c r="AB22" s="45" t="e">
        <f t="shared" si="6"/>
        <v>#DIV/0!</v>
      </c>
      <c r="AC22" s="49" t="e">
        <f t="shared" si="7"/>
        <v>#DIV/0!</v>
      </c>
      <c r="AE22" s="48">
        <f t="shared" si="8"/>
        <v>0</v>
      </c>
      <c r="AF22" s="47" t="e">
        <f t="shared" si="12"/>
        <v>#DIV/0!</v>
      </c>
      <c r="AG22" s="46" t="e">
        <f t="shared" si="12"/>
        <v>#DIV/0!</v>
      </c>
      <c r="AH22" s="45" t="e">
        <f t="shared" si="12"/>
        <v>#DIV/0!</v>
      </c>
      <c r="AI22" s="47" t="e">
        <f t="shared" si="12"/>
        <v>#DIV/0!</v>
      </c>
      <c r="AJ22" s="46" t="e">
        <f t="shared" si="12"/>
        <v>#DIV/0!</v>
      </c>
      <c r="AK22" s="46" t="e">
        <f t="shared" ref="AK22:AK33" si="14">Z22*100/(SUM($U22:$Y22)+SUM($AA22:$AB22))</f>
        <v>#DIV/0!</v>
      </c>
      <c r="AL22" s="46" t="e">
        <f t="shared" si="13"/>
        <v>#DIV/0!</v>
      </c>
      <c r="AM22" s="45" t="e">
        <f t="shared" si="13"/>
        <v>#DIV/0!</v>
      </c>
      <c r="AN22" s="44" t="e">
        <f t="shared" si="10"/>
        <v>#DIV/0!</v>
      </c>
    </row>
    <row r="23" spans="1:40" x14ac:dyDescent="0.35">
      <c r="A23" s="58" t="s">
        <v>54</v>
      </c>
      <c r="B23" s="57">
        <v>0.5</v>
      </c>
      <c r="C23" s="62">
        <v>6.46</v>
      </c>
      <c r="D23" s="55">
        <f t="shared" si="11"/>
        <v>3.2485165443025243</v>
      </c>
      <c r="E23" s="54">
        <f>SUM(D6:D23)</f>
        <v>27.305642160313788</v>
      </c>
      <c r="G23" s="48">
        <f t="shared" si="2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3"/>
        <v>0</v>
      </c>
      <c r="R23" s="134">
        <f t="shared" si="4"/>
        <v>0</v>
      </c>
      <c r="T23" s="48">
        <f t="shared" si="5"/>
        <v>0.5</v>
      </c>
      <c r="U23" s="47" t="e">
        <f t="shared" si="6"/>
        <v>#DIV/0!</v>
      </c>
      <c r="V23" s="46" t="e">
        <f t="shared" si="6"/>
        <v>#DIV/0!</v>
      </c>
      <c r="W23" s="45" t="e">
        <f t="shared" si="6"/>
        <v>#DIV/0!</v>
      </c>
      <c r="X23" s="46" t="e">
        <f t="shared" si="6"/>
        <v>#DIV/0!</v>
      </c>
      <c r="Y23" s="46" t="e">
        <f t="shared" si="6"/>
        <v>#DIV/0!</v>
      </c>
      <c r="Z23" s="46" t="e">
        <f t="shared" si="6"/>
        <v>#DIV/0!</v>
      </c>
      <c r="AA23" s="46" t="e">
        <f t="shared" si="6"/>
        <v>#DIV/0!</v>
      </c>
      <c r="AB23" s="45" t="e">
        <f t="shared" si="6"/>
        <v>#DIV/0!</v>
      </c>
      <c r="AC23" s="49" t="e">
        <f t="shared" si="7"/>
        <v>#DIV/0!</v>
      </c>
      <c r="AE23" s="48">
        <f t="shared" si="8"/>
        <v>0.5</v>
      </c>
      <c r="AF23" s="47" t="e">
        <f t="shared" si="12"/>
        <v>#DIV/0!</v>
      </c>
      <c r="AG23" s="46" t="e">
        <f t="shared" si="12"/>
        <v>#DIV/0!</v>
      </c>
      <c r="AH23" s="45" t="e">
        <f t="shared" si="12"/>
        <v>#DIV/0!</v>
      </c>
      <c r="AI23" s="47" t="e">
        <f t="shared" si="12"/>
        <v>#DIV/0!</v>
      </c>
      <c r="AJ23" s="46" t="e">
        <f t="shared" si="12"/>
        <v>#DIV/0!</v>
      </c>
      <c r="AK23" s="46" t="e">
        <f t="shared" si="14"/>
        <v>#DIV/0!</v>
      </c>
      <c r="AL23" s="46" t="e">
        <f t="shared" si="13"/>
        <v>#DIV/0!</v>
      </c>
      <c r="AM23" s="45" t="e">
        <f t="shared" si="13"/>
        <v>#DIV/0!</v>
      </c>
      <c r="AN23" s="44" t="e">
        <f t="shared" si="10"/>
        <v>#DIV/0!</v>
      </c>
    </row>
    <row r="24" spans="1:40" x14ac:dyDescent="0.35">
      <c r="A24" s="58" t="s">
        <v>53</v>
      </c>
      <c r="B24" s="57">
        <v>1</v>
      </c>
      <c r="C24" s="63">
        <v>4.92</v>
      </c>
      <c r="D24" s="55">
        <f t="shared" si="11"/>
        <v>2.4741023835864429</v>
      </c>
      <c r="E24" s="54">
        <f>SUM(D6:D24)</f>
        <v>29.779744543900229</v>
      </c>
      <c r="G24" s="48">
        <f t="shared" si="2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3"/>
        <v>0</v>
      </c>
      <c r="R24" s="134">
        <f t="shared" si="4"/>
        <v>0</v>
      </c>
      <c r="T24" s="48">
        <f t="shared" si="5"/>
        <v>1</v>
      </c>
      <c r="U24" s="47" t="e">
        <f t="shared" si="6"/>
        <v>#DIV/0!</v>
      </c>
      <c r="V24" s="46" t="e">
        <f t="shared" si="6"/>
        <v>#DIV/0!</v>
      </c>
      <c r="W24" s="45" t="e">
        <f t="shared" si="6"/>
        <v>#DIV/0!</v>
      </c>
      <c r="X24" s="46" t="e">
        <f t="shared" si="6"/>
        <v>#DIV/0!</v>
      </c>
      <c r="Y24" s="46" t="e">
        <f t="shared" si="6"/>
        <v>#DIV/0!</v>
      </c>
      <c r="Z24" s="46" t="e">
        <f t="shared" si="6"/>
        <v>#DIV/0!</v>
      </c>
      <c r="AA24" s="46" t="e">
        <f t="shared" si="6"/>
        <v>#DIV/0!</v>
      </c>
      <c r="AB24" s="45" t="e">
        <f t="shared" si="6"/>
        <v>#DIV/0!</v>
      </c>
      <c r="AC24" s="49" t="e">
        <f t="shared" si="7"/>
        <v>#DIV/0!</v>
      </c>
      <c r="AE24" s="48">
        <f t="shared" si="8"/>
        <v>1</v>
      </c>
      <c r="AF24" s="47" t="e">
        <f t="shared" si="12"/>
        <v>#DIV/0!</v>
      </c>
      <c r="AG24" s="46" t="e">
        <f t="shared" si="12"/>
        <v>#DIV/0!</v>
      </c>
      <c r="AH24" s="45" t="e">
        <f t="shared" si="12"/>
        <v>#DIV/0!</v>
      </c>
      <c r="AI24" s="47" t="e">
        <f t="shared" si="12"/>
        <v>#DIV/0!</v>
      </c>
      <c r="AJ24" s="46" t="e">
        <f t="shared" si="12"/>
        <v>#DIV/0!</v>
      </c>
      <c r="AK24" s="46" t="e">
        <f t="shared" si="14"/>
        <v>#DIV/0!</v>
      </c>
      <c r="AL24" s="46" t="e">
        <f t="shared" si="13"/>
        <v>#DIV/0!</v>
      </c>
      <c r="AM24" s="45" t="e">
        <f t="shared" si="13"/>
        <v>#DIV/0!</v>
      </c>
      <c r="AN24" s="44" t="e">
        <f t="shared" si="10"/>
        <v>#DIV/0!</v>
      </c>
    </row>
    <row r="25" spans="1:40" x14ac:dyDescent="0.35">
      <c r="A25" s="58" t="s">
        <v>52</v>
      </c>
      <c r="B25" s="57">
        <v>1.5</v>
      </c>
      <c r="C25" s="62">
        <v>5.01</v>
      </c>
      <c r="D25" s="55">
        <f t="shared" si="11"/>
        <v>2.5193603540179019</v>
      </c>
      <c r="E25" s="54">
        <f>SUM(D6:D25)</f>
        <v>32.299104897918127</v>
      </c>
      <c r="G25" s="48">
        <f t="shared" si="2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3"/>
        <v>0</v>
      </c>
      <c r="R25" s="134">
        <f t="shared" si="4"/>
        <v>0</v>
      </c>
      <c r="T25" s="48">
        <f t="shared" si="5"/>
        <v>1.5</v>
      </c>
      <c r="U25" s="47" t="e">
        <f t="shared" si="6"/>
        <v>#DIV/0!</v>
      </c>
      <c r="V25" s="46" t="e">
        <f t="shared" si="6"/>
        <v>#DIV/0!</v>
      </c>
      <c r="W25" s="45" t="e">
        <f t="shared" si="6"/>
        <v>#DIV/0!</v>
      </c>
      <c r="X25" s="46" t="e">
        <f t="shared" si="6"/>
        <v>#DIV/0!</v>
      </c>
      <c r="Y25" s="46" t="e">
        <f t="shared" si="6"/>
        <v>#DIV/0!</v>
      </c>
      <c r="Z25" s="46" t="e">
        <f t="shared" si="6"/>
        <v>#DIV/0!</v>
      </c>
      <c r="AA25" s="46" t="e">
        <f t="shared" si="6"/>
        <v>#DIV/0!</v>
      </c>
      <c r="AB25" s="45" t="e">
        <f t="shared" si="6"/>
        <v>#DIV/0!</v>
      </c>
      <c r="AC25" s="49" t="e">
        <f t="shared" si="7"/>
        <v>#DIV/0!</v>
      </c>
      <c r="AE25" s="48">
        <f t="shared" si="8"/>
        <v>1.5</v>
      </c>
      <c r="AF25" s="47" t="e">
        <f t="shared" si="12"/>
        <v>#DIV/0!</v>
      </c>
      <c r="AG25" s="46" t="e">
        <f t="shared" si="12"/>
        <v>#DIV/0!</v>
      </c>
      <c r="AH25" s="45" t="e">
        <f t="shared" si="12"/>
        <v>#DIV/0!</v>
      </c>
      <c r="AI25" s="47" t="e">
        <f t="shared" si="12"/>
        <v>#DIV/0!</v>
      </c>
      <c r="AJ25" s="46" t="e">
        <f t="shared" si="12"/>
        <v>#DIV/0!</v>
      </c>
      <c r="AK25" s="46" t="e">
        <f t="shared" si="14"/>
        <v>#DIV/0!</v>
      </c>
      <c r="AL25" s="46" t="e">
        <f t="shared" si="13"/>
        <v>#DIV/0!</v>
      </c>
      <c r="AM25" s="45" t="e">
        <f t="shared" si="13"/>
        <v>#DIV/0!</v>
      </c>
      <c r="AN25" s="44" t="e">
        <f t="shared" si="10"/>
        <v>#DIV/0!</v>
      </c>
    </row>
    <row r="26" spans="1:40" x14ac:dyDescent="0.35">
      <c r="A26" s="58" t="s">
        <v>51</v>
      </c>
      <c r="B26" s="57">
        <v>2</v>
      </c>
      <c r="C26" s="62">
        <v>5.74</v>
      </c>
      <c r="D26" s="55">
        <f t="shared" si="11"/>
        <v>2.88645278085085</v>
      </c>
      <c r="E26" s="54">
        <f>SUM(D6:D26)</f>
        <v>35.18555767876898</v>
      </c>
      <c r="G26" s="48">
        <f t="shared" si="2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3"/>
        <v>0</v>
      </c>
      <c r="R26" s="134">
        <f t="shared" si="4"/>
        <v>0</v>
      </c>
      <c r="T26" s="48">
        <f t="shared" si="5"/>
        <v>2</v>
      </c>
      <c r="U26" s="47" t="e">
        <f t="shared" si="6"/>
        <v>#DIV/0!</v>
      </c>
      <c r="V26" s="46" t="e">
        <f t="shared" si="6"/>
        <v>#DIV/0!</v>
      </c>
      <c r="W26" s="45" t="e">
        <f t="shared" si="6"/>
        <v>#DIV/0!</v>
      </c>
      <c r="X26" s="46" t="e">
        <f t="shared" si="6"/>
        <v>#DIV/0!</v>
      </c>
      <c r="Y26" s="46" t="e">
        <f t="shared" si="6"/>
        <v>#DIV/0!</v>
      </c>
      <c r="Z26" s="46" t="e">
        <f t="shared" si="6"/>
        <v>#DIV/0!</v>
      </c>
      <c r="AA26" s="46" t="e">
        <f t="shared" si="6"/>
        <v>#DIV/0!</v>
      </c>
      <c r="AB26" s="45" t="e">
        <f t="shared" si="6"/>
        <v>#DIV/0!</v>
      </c>
      <c r="AC26" s="49" t="e">
        <f t="shared" si="7"/>
        <v>#DIV/0!</v>
      </c>
      <c r="AE26" s="48">
        <f t="shared" si="8"/>
        <v>2</v>
      </c>
      <c r="AF26" s="47" t="e">
        <f t="shared" si="12"/>
        <v>#DIV/0!</v>
      </c>
      <c r="AG26" s="46" t="e">
        <f t="shared" si="12"/>
        <v>#DIV/0!</v>
      </c>
      <c r="AH26" s="45" t="e">
        <f t="shared" si="12"/>
        <v>#DIV/0!</v>
      </c>
      <c r="AI26" s="47" t="e">
        <f t="shared" si="12"/>
        <v>#DIV/0!</v>
      </c>
      <c r="AJ26" s="46" t="e">
        <f t="shared" si="12"/>
        <v>#DIV/0!</v>
      </c>
      <c r="AK26" s="46" t="e">
        <f t="shared" si="14"/>
        <v>#DIV/0!</v>
      </c>
      <c r="AL26" s="46" t="e">
        <f t="shared" si="13"/>
        <v>#DIV/0!</v>
      </c>
      <c r="AM26" s="45" t="e">
        <f t="shared" si="13"/>
        <v>#DIV/0!</v>
      </c>
      <c r="AN26" s="44" t="e">
        <f t="shared" si="10"/>
        <v>#DIV/0!</v>
      </c>
    </row>
    <row r="27" spans="1:40" x14ac:dyDescent="0.35">
      <c r="A27" s="58" t="s">
        <v>50</v>
      </c>
      <c r="B27" s="57">
        <v>2.5</v>
      </c>
      <c r="C27" s="62">
        <v>5.42</v>
      </c>
      <c r="D27" s="55">
        <f t="shared" si="11"/>
        <v>2.7255355526501055</v>
      </c>
      <c r="E27" s="54">
        <f>SUM(D7:D27)</f>
        <v>37.911093231419088</v>
      </c>
      <c r="G27" s="48">
        <f t="shared" si="2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3"/>
        <v>0</v>
      </c>
      <c r="R27" s="134">
        <f t="shared" si="4"/>
        <v>0</v>
      </c>
      <c r="T27" s="48">
        <f t="shared" si="5"/>
        <v>2.5</v>
      </c>
      <c r="U27" s="47" t="e">
        <f t="shared" si="6"/>
        <v>#DIV/0!</v>
      </c>
      <c r="V27" s="46" t="e">
        <f t="shared" si="6"/>
        <v>#DIV/0!</v>
      </c>
      <c r="W27" s="45" t="e">
        <f t="shared" si="6"/>
        <v>#DIV/0!</v>
      </c>
      <c r="X27" s="46" t="e">
        <f t="shared" si="6"/>
        <v>#DIV/0!</v>
      </c>
      <c r="Y27" s="46" t="e">
        <f t="shared" si="6"/>
        <v>#DIV/0!</v>
      </c>
      <c r="Z27" s="46" t="e">
        <f t="shared" si="6"/>
        <v>#DIV/0!</v>
      </c>
      <c r="AA27" s="46" t="e">
        <f t="shared" si="6"/>
        <v>#DIV/0!</v>
      </c>
      <c r="AB27" s="45" t="e">
        <f t="shared" si="6"/>
        <v>#DIV/0!</v>
      </c>
      <c r="AC27" s="49" t="e">
        <f t="shared" si="7"/>
        <v>#DIV/0!</v>
      </c>
      <c r="AE27" s="48">
        <f t="shared" si="8"/>
        <v>2.5</v>
      </c>
      <c r="AF27" s="47" t="e">
        <f t="shared" si="12"/>
        <v>#DIV/0!</v>
      </c>
      <c r="AG27" s="46" t="e">
        <f t="shared" si="12"/>
        <v>#DIV/0!</v>
      </c>
      <c r="AH27" s="45" t="e">
        <f t="shared" si="12"/>
        <v>#DIV/0!</v>
      </c>
      <c r="AI27" s="47" t="e">
        <f t="shared" si="12"/>
        <v>#DIV/0!</v>
      </c>
      <c r="AJ27" s="46" t="e">
        <f t="shared" si="12"/>
        <v>#DIV/0!</v>
      </c>
      <c r="AK27" s="46" t="e">
        <f t="shared" si="14"/>
        <v>#DIV/0!</v>
      </c>
      <c r="AL27" s="46" t="e">
        <f t="shared" si="13"/>
        <v>#DIV/0!</v>
      </c>
      <c r="AM27" s="45" t="e">
        <f t="shared" si="13"/>
        <v>#DIV/0!</v>
      </c>
      <c r="AN27" s="44" t="e">
        <f t="shared" si="10"/>
        <v>#DIV/0!</v>
      </c>
    </row>
    <row r="28" spans="1:40" x14ac:dyDescent="0.35">
      <c r="A28" s="58" t="s">
        <v>49</v>
      </c>
      <c r="B28" s="57">
        <v>3</v>
      </c>
      <c r="C28" s="56">
        <v>7.28</v>
      </c>
      <c r="D28" s="55">
        <f t="shared" si="11"/>
        <v>3.6608669415669324</v>
      </c>
      <c r="E28" s="54">
        <f>SUM(D7:D28)</f>
        <v>41.571960172986017</v>
      </c>
      <c r="G28" s="48">
        <f t="shared" si="2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3"/>
        <v>0</v>
      </c>
      <c r="R28" s="134">
        <f t="shared" si="4"/>
        <v>0</v>
      </c>
      <c r="T28" s="48">
        <f t="shared" si="5"/>
        <v>3</v>
      </c>
      <c r="U28" s="47" t="e">
        <f t="shared" si="6"/>
        <v>#DIV/0!</v>
      </c>
      <c r="V28" s="46" t="e">
        <f t="shared" si="6"/>
        <v>#DIV/0!</v>
      </c>
      <c r="W28" s="45" t="e">
        <f t="shared" si="6"/>
        <v>#DIV/0!</v>
      </c>
      <c r="X28" s="46" t="e">
        <f t="shared" si="6"/>
        <v>#DIV/0!</v>
      </c>
      <c r="Y28" s="46" t="e">
        <f t="shared" si="6"/>
        <v>#DIV/0!</v>
      </c>
      <c r="Z28" s="46" t="e">
        <f t="shared" si="6"/>
        <v>#DIV/0!</v>
      </c>
      <c r="AA28" s="46" t="e">
        <f t="shared" si="6"/>
        <v>#DIV/0!</v>
      </c>
      <c r="AB28" s="45" t="e">
        <f t="shared" si="6"/>
        <v>#DIV/0!</v>
      </c>
      <c r="AC28" s="49" t="e">
        <f t="shared" si="7"/>
        <v>#DIV/0!</v>
      </c>
      <c r="AE28" s="48">
        <f t="shared" si="8"/>
        <v>3</v>
      </c>
      <c r="AF28" s="47" t="e">
        <f t="shared" si="12"/>
        <v>#DIV/0!</v>
      </c>
      <c r="AG28" s="46" t="e">
        <f t="shared" si="12"/>
        <v>#DIV/0!</v>
      </c>
      <c r="AH28" s="45" t="e">
        <f t="shared" si="12"/>
        <v>#DIV/0!</v>
      </c>
      <c r="AI28" s="47" t="e">
        <f t="shared" si="12"/>
        <v>#DIV/0!</v>
      </c>
      <c r="AJ28" s="46" t="e">
        <f t="shared" si="12"/>
        <v>#DIV/0!</v>
      </c>
      <c r="AK28" s="46" t="e">
        <f t="shared" si="14"/>
        <v>#DIV/0!</v>
      </c>
      <c r="AL28" s="46" t="e">
        <f t="shared" si="13"/>
        <v>#DIV/0!</v>
      </c>
      <c r="AM28" s="45" t="e">
        <f t="shared" si="13"/>
        <v>#DIV/0!</v>
      </c>
      <c r="AN28" s="44" t="e">
        <f t="shared" si="10"/>
        <v>#DIV/0!</v>
      </c>
    </row>
    <row r="29" spans="1:40" x14ac:dyDescent="0.35">
      <c r="A29" s="58" t="s">
        <v>48</v>
      </c>
      <c r="B29" s="57">
        <v>3.5</v>
      </c>
      <c r="C29" s="56">
        <v>11.69</v>
      </c>
      <c r="D29" s="55">
        <f t="shared" si="11"/>
        <v>5.8785074927084384</v>
      </c>
      <c r="E29" s="54">
        <f>SUM(D7:D29)</f>
        <v>47.450467665694454</v>
      </c>
      <c r="G29" s="48">
        <f t="shared" si="2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59">
        <v>0</v>
      </c>
      <c r="P29" s="50">
        <f t="shared" si="3"/>
        <v>0</v>
      </c>
      <c r="R29" s="134">
        <f t="shared" si="4"/>
        <v>0</v>
      </c>
      <c r="T29" s="48">
        <f t="shared" si="5"/>
        <v>3.5</v>
      </c>
      <c r="U29" s="47" t="e">
        <f t="shared" si="6"/>
        <v>#DIV/0!</v>
      </c>
      <c r="V29" s="46" t="e">
        <f t="shared" si="6"/>
        <v>#DIV/0!</v>
      </c>
      <c r="W29" s="45" t="e">
        <f t="shared" si="6"/>
        <v>#DIV/0!</v>
      </c>
      <c r="X29" s="46" t="e">
        <f t="shared" si="6"/>
        <v>#DIV/0!</v>
      </c>
      <c r="Y29" s="46" t="e">
        <f t="shared" si="6"/>
        <v>#DIV/0!</v>
      </c>
      <c r="Z29" s="46" t="e">
        <f t="shared" si="6"/>
        <v>#DIV/0!</v>
      </c>
      <c r="AA29" s="46" t="e">
        <f t="shared" si="6"/>
        <v>#DIV/0!</v>
      </c>
      <c r="AB29" s="45" t="e">
        <f t="shared" si="6"/>
        <v>#DIV/0!</v>
      </c>
      <c r="AC29" s="49" t="e">
        <f t="shared" si="7"/>
        <v>#DIV/0!</v>
      </c>
      <c r="AE29" s="48">
        <f t="shared" si="8"/>
        <v>3.5</v>
      </c>
      <c r="AF29" s="47" t="e">
        <f t="shared" si="12"/>
        <v>#DIV/0!</v>
      </c>
      <c r="AG29" s="46" t="e">
        <f t="shared" si="12"/>
        <v>#DIV/0!</v>
      </c>
      <c r="AH29" s="45" t="e">
        <f t="shared" si="12"/>
        <v>#DIV/0!</v>
      </c>
      <c r="AI29" s="47" t="e">
        <f t="shared" si="12"/>
        <v>#DIV/0!</v>
      </c>
      <c r="AJ29" s="46" t="e">
        <f t="shared" si="12"/>
        <v>#DIV/0!</v>
      </c>
      <c r="AK29" s="46" t="e">
        <f t="shared" si="14"/>
        <v>#DIV/0!</v>
      </c>
      <c r="AL29" s="46" t="e">
        <f t="shared" si="13"/>
        <v>#DIV/0!</v>
      </c>
      <c r="AM29" s="45" t="e">
        <f t="shared" si="13"/>
        <v>#DIV/0!</v>
      </c>
      <c r="AN29" s="44" t="e">
        <f t="shared" si="10"/>
        <v>#DIV/0!</v>
      </c>
    </row>
    <row r="30" spans="1:40" x14ac:dyDescent="0.35">
      <c r="A30" s="58" t="s">
        <v>47</v>
      </c>
      <c r="B30" s="57">
        <v>4</v>
      </c>
      <c r="C30" s="56">
        <v>14.58</v>
      </c>
      <c r="D30" s="55">
        <f t="shared" si="11"/>
        <v>7.3317912098964104</v>
      </c>
      <c r="E30" s="54">
        <f>SUM(D7:D30)</f>
        <v>54.782258875590863</v>
      </c>
      <c r="G30" s="48">
        <f t="shared" si="2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59">
        <v>0</v>
      </c>
      <c r="P30" s="50">
        <f t="shared" si="3"/>
        <v>0</v>
      </c>
      <c r="R30" s="134">
        <f t="shared" si="4"/>
        <v>0</v>
      </c>
      <c r="T30" s="48">
        <f t="shared" si="5"/>
        <v>4</v>
      </c>
      <c r="U30" s="47" t="e">
        <f t="shared" si="6"/>
        <v>#DIV/0!</v>
      </c>
      <c r="V30" s="46" t="e">
        <f t="shared" si="6"/>
        <v>#DIV/0!</v>
      </c>
      <c r="W30" s="45" t="e">
        <f t="shared" si="6"/>
        <v>#DIV/0!</v>
      </c>
      <c r="X30" s="46" t="e">
        <f t="shared" si="6"/>
        <v>#DIV/0!</v>
      </c>
      <c r="Y30" s="46" t="e">
        <f t="shared" si="6"/>
        <v>#DIV/0!</v>
      </c>
      <c r="Z30" s="46" t="e">
        <f t="shared" si="6"/>
        <v>#DIV/0!</v>
      </c>
      <c r="AA30" s="46" t="e">
        <f t="shared" si="6"/>
        <v>#DIV/0!</v>
      </c>
      <c r="AB30" s="45" t="e">
        <f t="shared" si="6"/>
        <v>#DIV/0!</v>
      </c>
      <c r="AC30" s="49" t="e">
        <f t="shared" si="7"/>
        <v>#DIV/0!</v>
      </c>
      <c r="AE30" s="48">
        <f t="shared" si="8"/>
        <v>4</v>
      </c>
      <c r="AF30" s="47" t="e">
        <f t="shared" si="12"/>
        <v>#DIV/0!</v>
      </c>
      <c r="AG30" s="46" t="e">
        <f t="shared" si="12"/>
        <v>#DIV/0!</v>
      </c>
      <c r="AH30" s="45" t="e">
        <f t="shared" si="12"/>
        <v>#DIV/0!</v>
      </c>
      <c r="AI30" s="47" t="e">
        <f t="shared" si="12"/>
        <v>#DIV/0!</v>
      </c>
      <c r="AJ30" s="46" t="e">
        <f t="shared" si="12"/>
        <v>#DIV/0!</v>
      </c>
      <c r="AK30" s="46" t="e">
        <f t="shared" si="14"/>
        <v>#DIV/0!</v>
      </c>
      <c r="AL30" s="46" t="e">
        <f t="shared" si="13"/>
        <v>#DIV/0!</v>
      </c>
      <c r="AM30" s="45" t="e">
        <f t="shared" si="13"/>
        <v>#DIV/0!</v>
      </c>
      <c r="AN30" s="44" t="e">
        <f t="shared" si="10"/>
        <v>#DIV/0!</v>
      </c>
    </row>
    <row r="31" spans="1:40" x14ac:dyDescent="0.35">
      <c r="A31" s="58" t="s">
        <v>46</v>
      </c>
      <c r="B31" s="57">
        <v>4.5</v>
      </c>
      <c r="C31" s="56">
        <v>89.92</v>
      </c>
      <c r="D31" s="55">
        <f t="shared" si="11"/>
        <v>45.217741124409137</v>
      </c>
      <c r="E31" s="54">
        <f>SUM(D7:D31)</f>
        <v>100</v>
      </c>
      <c r="G31" s="48">
        <f t="shared" si="2"/>
        <v>4.5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59">
        <v>0</v>
      </c>
      <c r="P31" s="50">
        <f t="shared" si="3"/>
        <v>0</v>
      </c>
      <c r="R31" s="134">
        <f t="shared" si="4"/>
        <v>0</v>
      </c>
      <c r="T31" s="48">
        <f t="shared" si="5"/>
        <v>4.5</v>
      </c>
      <c r="U31" s="47" t="e">
        <f t="shared" si="6"/>
        <v>#DIV/0!</v>
      </c>
      <c r="V31" s="46" t="e">
        <f t="shared" si="6"/>
        <v>#DIV/0!</v>
      </c>
      <c r="W31" s="45" t="e">
        <f t="shared" si="6"/>
        <v>#DIV/0!</v>
      </c>
      <c r="X31" s="46" t="e">
        <f t="shared" si="6"/>
        <v>#DIV/0!</v>
      </c>
      <c r="Y31" s="46" t="e">
        <f t="shared" si="6"/>
        <v>#DIV/0!</v>
      </c>
      <c r="Z31" s="46" t="e">
        <f t="shared" si="6"/>
        <v>#DIV/0!</v>
      </c>
      <c r="AA31" s="46" t="e">
        <f t="shared" si="6"/>
        <v>#DIV/0!</v>
      </c>
      <c r="AB31" s="45" t="e">
        <f t="shared" si="6"/>
        <v>#DIV/0!</v>
      </c>
      <c r="AC31" s="49" t="e">
        <f t="shared" si="7"/>
        <v>#DIV/0!</v>
      </c>
      <c r="AE31" s="48">
        <f t="shared" si="8"/>
        <v>4.5</v>
      </c>
      <c r="AF31" s="47" t="e">
        <f t="shared" si="12"/>
        <v>#DIV/0!</v>
      </c>
      <c r="AG31" s="46" t="e">
        <f t="shared" si="12"/>
        <v>#DIV/0!</v>
      </c>
      <c r="AH31" s="45" t="e">
        <f t="shared" si="12"/>
        <v>#DIV/0!</v>
      </c>
      <c r="AI31" s="47" t="e">
        <f t="shared" si="12"/>
        <v>#DIV/0!</v>
      </c>
      <c r="AJ31" s="46" t="e">
        <f t="shared" si="12"/>
        <v>#DIV/0!</v>
      </c>
      <c r="AK31" s="46" t="e">
        <f t="shared" si="14"/>
        <v>#DIV/0!</v>
      </c>
      <c r="AL31" s="46" t="e">
        <f t="shared" si="13"/>
        <v>#DIV/0!</v>
      </c>
      <c r="AM31" s="45" t="e">
        <f t="shared" si="13"/>
        <v>#DIV/0!</v>
      </c>
      <c r="AN31" s="44" t="e">
        <f t="shared" si="10"/>
        <v>#DIV/0!</v>
      </c>
    </row>
    <row r="32" spans="1:40" x14ac:dyDescent="0.35">
      <c r="A32" s="58" t="s">
        <v>45</v>
      </c>
      <c r="B32" s="57">
        <v>5</v>
      </c>
      <c r="C32" s="56">
        <v>0</v>
      </c>
      <c r="D32" s="55">
        <f t="shared" si="11"/>
        <v>0</v>
      </c>
      <c r="E32" s="54">
        <f>SUM(D7:D32)</f>
        <v>100</v>
      </c>
      <c r="G32" s="48">
        <f t="shared" si="2"/>
        <v>5</v>
      </c>
      <c r="H32" s="53">
        <v>0</v>
      </c>
      <c r="I32" s="52">
        <v>0</v>
      </c>
      <c r="J32" s="51">
        <v>0</v>
      </c>
      <c r="K32" s="52">
        <v>0</v>
      </c>
      <c r="L32" s="52">
        <v>0</v>
      </c>
      <c r="M32" s="52">
        <v>0</v>
      </c>
      <c r="N32" s="52">
        <v>0</v>
      </c>
      <c r="O32" s="51">
        <v>0</v>
      </c>
      <c r="P32" s="50">
        <f t="shared" si="3"/>
        <v>0</v>
      </c>
      <c r="R32" s="134">
        <f t="shared" si="4"/>
        <v>0</v>
      </c>
      <c r="T32" s="48">
        <f t="shared" si="5"/>
        <v>5</v>
      </c>
      <c r="U32" s="47" t="e">
        <f t="shared" si="6"/>
        <v>#DIV/0!</v>
      </c>
      <c r="V32" s="46" t="e">
        <f t="shared" si="6"/>
        <v>#DIV/0!</v>
      </c>
      <c r="W32" s="45" t="e">
        <f t="shared" si="6"/>
        <v>#DIV/0!</v>
      </c>
      <c r="X32" s="46" t="e">
        <f t="shared" si="6"/>
        <v>#DIV/0!</v>
      </c>
      <c r="Y32" s="46" t="e">
        <f t="shared" si="6"/>
        <v>#DIV/0!</v>
      </c>
      <c r="Z32" s="46" t="e">
        <f t="shared" si="6"/>
        <v>#DIV/0!</v>
      </c>
      <c r="AA32" s="46" t="e">
        <f t="shared" si="6"/>
        <v>#DIV/0!</v>
      </c>
      <c r="AB32" s="45" t="e">
        <f t="shared" si="6"/>
        <v>#DIV/0!</v>
      </c>
      <c r="AC32" s="49" t="e">
        <f t="shared" si="7"/>
        <v>#DIV/0!</v>
      </c>
      <c r="AE32" s="48">
        <f t="shared" si="8"/>
        <v>5</v>
      </c>
      <c r="AF32" s="47" t="e">
        <f t="shared" si="12"/>
        <v>#DIV/0!</v>
      </c>
      <c r="AG32" s="46" t="e">
        <f t="shared" si="12"/>
        <v>#DIV/0!</v>
      </c>
      <c r="AH32" s="45" t="e">
        <f t="shared" si="12"/>
        <v>#DIV/0!</v>
      </c>
      <c r="AI32" s="47" t="e">
        <f t="shared" si="12"/>
        <v>#DIV/0!</v>
      </c>
      <c r="AJ32" s="46" t="e">
        <f t="shared" si="12"/>
        <v>#DIV/0!</v>
      </c>
      <c r="AK32" s="46" t="e">
        <f t="shared" si="14"/>
        <v>#DIV/0!</v>
      </c>
      <c r="AL32" s="46" t="e">
        <f t="shared" si="13"/>
        <v>#DIV/0!</v>
      </c>
      <c r="AM32" s="45" t="e">
        <f t="shared" si="13"/>
        <v>#DIV/0!</v>
      </c>
      <c r="AN32" s="44" t="e">
        <f t="shared" si="10"/>
        <v>#DIV/0!</v>
      </c>
    </row>
    <row r="33" spans="1:40" ht="15" thickBot="1" x14ac:dyDescent="0.4">
      <c r="A33" s="43" t="s">
        <v>44</v>
      </c>
      <c r="B33" s="42" t="s">
        <v>43</v>
      </c>
      <c r="C33" s="41">
        <v>0</v>
      </c>
      <c r="D33" s="55">
        <f t="shared" si="11"/>
        <v>0</v>
      </c>
      <c r="E33" s="39">
        <f>SUM(D7:D33)</f>
        <v>100</v>
      </c>
      <c r="G33" s="33" t="str">
        <f t="shared" si="2"/>
        <v>&gt;6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3"/>
        <v>0</v>
      </c>
      <c r="R33" s="134">
        <f t="shared" si="4"/>
        <v>0</v>
      </c>
      <c r="T33" s="33" t="str">
        <f t="shared" si="5"/>
        <v>&gt;6</v>
      </c>
      <c r="U33" s="32" t="e">
        <f t="shared" si="6"/>
        <v>#DIV/0!</v>
      </c>
      <c r="V33" s="31" t="e">
        <f t="shared" si="6"/>
        <v>#DIV/0!</v>
      </c>
      <c r="W33" s="30" t="e">
        <f t="shared" si="6"/>
        <v>#DIV/0!</v>
      </c>
      <c r="X33" s="31" t="e">
        <f t="shared" si="6"/>
        <v>#DIV/0!</v>
      </c>
      <c r="Y33" s="31" t="e">
        <f t="shared" si="6"/>
        <v>#DIV/0!</v>
      </c>
      <c r="Z33" s="31" t="e">
        <f t="shared" si="6"/>
        <v>#DIV/0!</v>
      </c>
      <c r="AA33" s="31" t="e">
        <f t="shared" si="6"/>
        <v>#DIV/0!</v>
      </c>
      <c r="AB33" s="30" t="e">
        <f t="shared" si="6"/>
        <v>#DIV/0!</v>
      </c>
      <c r="AC33" s="34" t="e">
        <f t="shared" si="7"/>
        <v>#DIV/0!</v>
      </c>
      <c r="AE33" s="33" t="str">
        <f t="shared" si="8"/>
        <v>&gt;6</v>
      </c>
      <c r="AF33" s="32" t="e">
        <f t="shared" si="12"/>
        <v>#DIV/0!</v>
      </c>
      <c r="AG33" s="31" t="e">
        <f t="shared" si="12"/>
        <v>#DIV/0!</v>
      </c>
      <c r="AH33" s="30" t="e">
        <f t="shared" si="12"/>
        <v>#DIV/0!</v>
      </c>
      <c r="AI33" s="32" t="e">
        <f t="shared" si="12"/>
        <v>#DIV/0!</v>
      </c>
      <c r="AJ33" s="31" t="e">
        <f t="shared" si="12"/>
        <v>#DIV/0!</v>
      </c>
      <c r="AK33" s="31" t="e">
        <f t="shared" si="14"/>
        <v>#DIV/0!</v>
      </c>
      <c r="AL33" s="31" t="e">
        <f t="shared" si="13"/>
        <v>#DIV/0!</v>
      </c>
      <c r="AM33" s="30" t="e">
        <f t="shared" si="13"/>
        <v>#DIV/0!</v>
      </c>
      <c r="AN33" s="29" t="e">
        <f t="shared" si="10"/>
        <v>#DIV/0!</v>
      </c>
    </row>
    <row r="34" spans="1:40" x14ac:dyDescent="0.35">
      <c r="G34" t="s">
        <v>114</v>
      </c>
      <c r="H34">
        <f>SUM(H7:H33)</f>
        <v>8.2000000000000011</v>
      </c>
      <c r="I34">
        <f t="shared" ref="I34:O34" si="15">SUM(I7:I33)</f>
        <v>17.149999999999999</v>
      </c>
      <c r="J34">
        <f t="shared" si="15"/>
        <v>0.3</v>
      </c>
      <c r="K34">
        <f t="shared" si="15"/>
        <v>0.85000000000000009</v>
      </c>
      <c r="L34">
        <f t="shared" si="15"/>
        <v>3.16</v>
      </c>
      <c r="M34">
        <f t="shared" si="15"/>
        <v>0</v>
      </c>
      <c r="N34">
        <f t="shared" si="15"/>
        <v>8.27</v>
      </c>
      <c r="O34">
        <f t="shared" si="15"/>
        <v>0</v>
      </c>
      <c r="T34" s="28"/>
    </row>
    <row r="40" spans="1:40" x14ac:dyDescent="0.35">
      <c r="H40" s="27"/>
    </row>
    <row r="41" spans="1:40" x14ac:dyDescent="0.35">
      <c r="H41" s="27"/>
    </row>
    <row r="42" spans="1:40" x14ac:dyDescent="0.35">
      <c r="H42" s="27"/>
    </row>
    <row r="67" spans="1:5" x14ac:dyDescent="0.35">
      <c r="A67" s="5" t="s">
        <v>27</v>
      </c>
      <c r="B67" s="26"/>
      <c r="C67" s="2"/>
      <c r="D67" s="2"/>
    </row>
    <row r="68" spans="1:5" x14ac:dyDescent="0.35">
      <c r="A68" s="25" t="s">
        <v>42</v>
      </c>
      <c r="B68" s="25"/>
      <c r="C68" s="2"/>
      <c r="D68" s="2"/>
    </row>
    <row r="69" spans="1:5" x14ac:dyDescent="0.35">
      <c r="A69" s="24" t="s">
        <v>41</v>
      </c>
      <c r="B69" s="23">
        <v>5</v>
      </c>
      <c r="C69" s="18">
        <f t="shared" ref="C69:C75" si="16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-2.8438046647230322</v>
      </c>
      <c r="D69" s="2"/>
    </row>
    <row r="70" spans="1:5" x14ac:dyDescent="0.35">
      <c r="A70" s="24" t="s">
        <v>41</v>
      </c>
      <c r="B70" s="23">
        <v>16</v>
      </c>
      <c r="C70" s="18">
        <f t="shared" si="16"/>
        <v>-1.0238440111420612</v>
      </c>
      <c r="D70" s="2"/>
    </row>
    <row r="71" spans="1:5" x14ac:dyDescent="0.35">
      <c r="A71" s="24" t="s">
        <v>41</v>
      </c>
      <c r="B71" s="23">
        <v>25</v>
      </c>
      <c r="C71" s="18">
        <f t="shared" si="16"/>
        <v>0.14512383900928813</v>
      </c>
      <c r="D71" s="2"/>
    </row>
    <row r="72" spans="1:5" x14ac:dyDescent="0.35">
      <c r="A72" s="24" t="s">
        <v>41</v>
      </c>
      <c r="B72" s="23">
        <v>50</v>
      </c>
      <c r="C72" s="18">
        <f t="shared" si="16"/>
        <v>3.673868312757202</v>
      </c>
      <c r="D72" s="2"/>
    </row>
    <row r="73" spans="1:5" x14ac:dyDescent="0.35">
      <c r="A73" s="24" t="s">
        <v>41</v>
      </c>
      <c r="B73" s="23">
        <v>75</v>
      </c>
      <c r="C73" s="18">
        <f>IFERROR((((INDEX(phi,MATCH(B73,cum_tot_2,1)+1,1)-INDEX(phi,MATCH(B73,cum_tot_2,1),1))/(INDEX(cum_tot_2,MATCH(B73,cum_tot_2,1)+1,1)-INDEX(cum_tot_2,MATCH(B73,cum_tot_2,1),1)))*(B73-INDEX(cum_tot_2,MATCH(B73,cum_tot_2,1),1)))+INDEX(phi,MATCH(B73,cum_tot_2,1),1),"6")</f>
        <v>4.2235598309608537</v>
      </c>
      <c r="D73" s="2"/>
    </row>
    <row r="74" spans="1:5" x14ac:dyDescent="0.35">
      <c r="A74" s="24" t="s">
        <v>41</v>
      </c>
      <c r="B74" s="23">
        <v>84</v>
      </c>
      <c r="C74" s="18">
        <f t="shared" si="16"/>
        <v>4.3230782918149471</v>
      </c>
      <c r="D74" s="2"/>
    </row>
    <row r="75" spans="1:5" x14ac:dyDescent="0.35">
      <c r="A75" s="24" t="s">
        <v>41</v>
      </c>
      <c r="B75" s="23">
        <v>95</v>
      </c>
      <c r="C75" s="18">
        <f t="shared" si="16"/>
        <v>4.4447119661921706</v>
      </c>
      <c r="D75" s="2"/>
    </row>
    <row r="76" spans="1:5" x14ac:dyDescent="0.35">
      <c r="A76" s="18"/>
      <c r="B76" s="22"/>
      <c r="C76" s="2"/>
      <c r="D76" s="2"/>
    </row>
    <row r="77" spans="1:5" x14ac:dyDescent="0.35">
      <c r="A77" s="21" t="s">
        <v>40</v>
      </c>
      <c r="B77">
        <f>SUM(C7:C10)/SUM(C7:C33)</f>
        <v>0</v>
      </c>
      <c r="D77" s="19" t="s">
        <v>7</v>
      </c>
      <c r="E77" s="18">
        <f>SUM($D$7:$D$20)</f>
        <v>16.172181434174796</v>
      </c>
    </row>
    <row r="78" spans="1:5" x14ac:dyDescent="0.35">
      <c r="A78" s="20" t="s">
        <v>39</v>
      </c>
      <c r="B78">
        <f>SUM(C11:C20)/SUM(C7:C33)</f>
        <v>0.16172181434174795</v>
      </c>
      <c r="D78" s="19" t="s">
        <v>6</v>
      </c>
      <c r="E78" s="18">
        <f>SUM($D$21:$D$30)</f>
        <v>38.610077441416074</v>
      </c>
    </row>
    <row r="79" spans="1:5" x14ac:dyDescent="0.35">
      <c r="A79" s="20" t="s">
        <v>38</v>
      </c>
      <c r="B79">
        <f>SUM(C21:C33)/SUM(C7:C33)</f>
        <v>0.83827818565825207</v>
      </c>
      <c r="D79" s="19" t="s">
        <v>5</v>
      </c>
      <c r="E79" s="18">
        <f>SUM($D$31:$D$33)</f>
        <v>45.217741124409137</v>
      </c>
    </row>
    <row r="80" spans="1:5" x14ac:dyDescent="0.35">
      <c r="A80" s="11"/>
      <c r="B80" s="8"/>
      <c r="D80" s="2"/>
      <c r="E80" s="2"/>
    </row>
    <row r="81" spans="1:8" x14ac:dyDescent="0.35">
      <c r="A81" s="16" t="s">
        <v>4</v>
      </c>
      <c r="B81">
        <f>100*SUM(H7:J33)/SUM(P7:P33)</f>
        <v>67.624571579224892</v>
      </c>
      <c r="D81" s="16" t="s">
        <v>4</v>
      </c>
      <c r="E81">
        <f>100*SUM(H7:J33)/SUM(P7:P33)</f>
        <v>67.624571579224892</v>
      </c>
      <c r="G81" s="17" t="s">
        <v>2</v>
      </c>
      <c r="H81">
        <f>100*SUM(H7:H33)/(SUM(P7:P33)-SUM(M7:N33))</f>
        <v>27.646662171274446</v>
      </c>
    </row>
    <row r="82" spans="1:8" x14ac:dyDescent="0.35">
      <c r="A82" s="16" t="s">
        <v>0</v>
      </c>
      <c r="B82">
        <f>100*SUM(K7:L33)/SUM(P7:P33)</f>
        <v>10.572106511995782</v>
      </c>
      <c r="D82" s="16" t="s">
        <v>0</v>
      </c>
      <c r="E82">
        <f>100*SUM(K7:L33)/SUM(P7:P33)</f>
        <v>10.572106511995782</v>
      </c>
      <c r="G82" s="17" t="s">
        <v>1</v>
      </c>
      <c r="H82">
        <f>100*SUM(I7:J33)/(SUM(P7:P33)-SUM(M7:N33))</f>
        <v>58.833445718138904</v>
      </c>
    </row>
    <row r="83" spans="1:8" x14ac:dyDescent="0.35">
      <c r="A83" s="16" t="s">
        <v>3</v>
      </c>
      <c r="B83">
        <f>100*SUM(O7:O33)/SUM(P7:P33)</f>
        <v>0</v>
      </c>
      <c r="D83" s="16" t="s">
        <v>37</v>
      </c>
      <c r="E83">
        <f>100*SUM(M7:N33)/SUM(P7:P33)</f>
        <v>21.803321908779331</v>
      </c>
      <c r="G83" s="17" t="s">
        <v>0</v>
      </c>
      <c r="H83">
        <f>100*SUM(K7:L33)/(SUM(P7:P33)-SUM(M7:N33))</f>
        <v>13.519892110586648</v>
      </c>
    </row>
    <row r="85" spans="1:8" x14ac:dyDescent="0.35">
      <c r="A85" s="16" t="s">
        <v>36</v>
      </c>
      <c r="B85" s="2"/>
      <c r="C85" s="2"/>
      <c r="D85" s="13">
        <f>(C70+C74+C72)/3</f>
        <v>2.3243675311433627</v>
      </c>
    </row>
    <row r="86" spans="1:8" x14ac:dyDescent="0.35">
      <c r="A86" s="14" t="s">
        <v>35</v>
      </c>
      <c r="B86" s="14"/>
      <c r="C86" s="14"/>
      <c r="D86" s="7">
        <f>C72</f>
        <v>3.673868312757202</v>
      </c>
    </row>
    <row r="87" spans="1:8" x14ac:dyDescent="0.35">
      <c r="A87" s="14" t="s">
        <v>34</v>
      </c>
      <c r="B87" s="14"/>
      <c r="C87" s="14"/>
      <c r="D87" s="7">
        <f>(C74-C70)/2</f>
        <v>2.673461151478504</v>
      </c>
    </row>
    <row r="88" spans="1:8" x14ac:dyDescent="0.35">
      <c r="A88" s="15" t="s">
        <v>33</v>
      </c>
      <c r="B88" s="14"/>
      <c r="C88" s="14"/>
      <c r="D88" s="13">
        <f>(C74+C70-D86)/D87</f>
        <v>-0.14013071851712983</v>
      </c>
    </row>
    <row r="89" spans="1:8" x14ac:dyDescent="0.35">
      <c r="A89" s="3" t="s">
        <v>32</v>
      </c>
      <c r="B89" s="12"/>
      <c r="C89" s="11"/>
      <c r="D89" s="7">
        <f>((C74-C70)/4)+((C75-C69)/6.6)</f>
        <v>2.4410512773930706</v>
      </c>
    </row>
    <row r="90" spans="1:8" x14ac:dyDescent="0.35">
      <c r="A90" s="3" t="s">
        <v>31</v>
      </c>
      <c r="B90" s="10"/>
      <c r="C90" s="10"/>
      <c r="D90" s="7">
        <f>((C70+C74-(2*C72))/(2*(C74-C70)))+((C69+C75-(2*C72))/(2*(C75-C69)))</f>
        <v>-0.77282110197400811</v>
      </c>
    </row>
    <row r="91" spans="1:8" x14ac:dyDescent="0.35">
      <c r="A91" s="3" t="s">
        <v>30</v>
      </c>
      <c r="B91" s="9"/>
      <c r="C91" s="8"/>
      <c r="D91" s="7">
        <f>(C74-C69)/(2.44*(C73-C71))</f>
        <v>0.72018958226428842</v>
      </c>
    </row>
    <row r="92" spans="1:8" x14ac:dyDescent="0.35">
      <c r="A92" s="6" t="s">
        <v>29</v>
      </c>
      <c r="B92" s="6"/>
      <c r="C92" s="5"/>
      <c r="D92" s="7">
        <f>(C70+C72+C74)/3</f>
        <v>2.3243675311433627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1.649617140336443</v>
      </c>
    </row>
    <row r="95" spans="1:8" x14ac:dyDescent="0.35">
      <c r="A95" s="2" t="s">
        <v>9</v>
      </c>
      <c r="B95" s="2"/>
      <c r="C95" s="2"/>
      <c r="D95" s="1">
        <f>100-E23</f>
        <v>72.694357839686205</v>
      </c>
    </row>
    <row r="96" spans="1:8" x14ac:dyDescent="0.35">
      <c r="A96" s="2" t="s">
        <v>8</v>
      </c>
      <c r="B96" s="2"/>
      <c r="C96" s="2"/>
      <c r="D96" s="1">
        <f>100-E30</f>
        <v>45.217741124409137</v>
      </c>
    </row>
    <row r="98" spans="1:3" x14ac:dyDescent="0.35">
      <c r="A98" t="s">
        <v>101</v>
      </c>
      <c r="C98" t="str">
        <f>IF(SUM(M7:N33)&gt;0,"Mixed","No Mixed")</f>
        <v>Mixed</v>
      </c>
    </row>
    <row r="99" spans="1:3" x14ac:dyDescent="0.35">
      <c r="A99" t="s">
        <v>102</v>
      </c>
      <c r="C99" t="str">
        <f>IF(SUM(J7:J33)&gt;0,"Obsidian","No obsidian")</f>
        <v>Obsidian</v>
      </c>
    </row>
  </sheetData>
  <mergeCells count="9">
    <mergeCell ref="X3:AB3"/>
    <mergeCell ref="AF3:AH3"/>
    <mergeCell ref="AI3:AM3"/>
    <mergeCell ref="A2:C2"/>
    <mergeCell ref="D2:E2"/>
    <mergeCell ref="K2:O2"/>
    <mergeCell ref="H3:J3"/>
    <mergeCell ref="K3:O3"/>
    <mergeCell ref="U3:W3"/>
  </mergeCells>
  <pageMargins left="0.7" right="0.7" top="0.75" bottom="0.75" header="0.3" footer="0.3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N99"/>
  <sheetViews>
    <sheetView zoomScale="63" zoomScaleNormal="100" workbookViewId="0">
      <selection activeCell="K2" sqref="K2:O2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14.1796875" bestFit="1" customWidth="1"/>
    <col min="20" max="20" width="14.1796875" bestFit="1" customWidth="1"/>
    <col min="25" max="25" width="11.453125" customWidth="1"/>
  </cols>
  <sheetData>
    <row r="1" spans="1:40" ht="15" thickBot="1" x14ac:dyDescent="0.4">
      <c r="A1" s="111"/>
      <c r="F1" s="110"/>
    </row>
    <row r="2" spans="1:40" ht="15" thickBot="1" x14ac:dyDescent="0.4">
      <c r="A2" s="157" t="s">
        <v>91</v>
      </c>
      <c r="B2" s="158"/>
      <c r="C2" s="158"/>
      <c r="D2" s="159" t="str">
        <f ca="1">RIGHT(CELL("nomfichier",A1),LEN(CELL("nomfichier",A1))-FIND("]",CELL("nomfichier",A1)))</f>
        <v>MAY190407_3</v>
      </c>
      <c r="E2" s="160"/>
      <c r="G2" s="109" t="s">
        <v>90</v>
      </c>
      <c r="H2" s="108" t="str">
        <f ca="1">D2</f>
        <v>MAY190407_3</v>
      </c>
      <c r="I2" s="108"/>
      <c r="J2" s="107"/>
      <c r="K2" s="161"/>
      <c r="L2" s="162"/>
      <c r="M2" s="162"/>
      <c r="N2" s="162"/>
      <c r="O2" s="163"/>
    </row>
    <row r="3" spans="1:40" ht="15" thickBot="1" x14ac:dyDescent="0.4">
      <c r="A3" s="106"/>
      <c r="B3" s="105"/>
      <c r="C3" s="105"/>
      <c r="D3" s="105"/>
      <c r="E3" s="104"/>
      <c r="G3" s="103"/>
      <c r="H3" s="154" t="s">
        <v>88</v>
      </c>
      <c r="I3" s="155"/>
      <c r="J3" s="156"/>
      <c r="K3" s="154" t="s">
        <v>87</v>
      </c>
      <c r="L3" s="155"/>
      <c r="M3" s="155"/>
      <c r="N3" s="155"/>
      <c r="O3" s="156"/>
      <c r="U3" s="154" t="s">
        <v>88</v>
      </c>
      <c r="V3" s="155"/>
      <c r="W3" s="156"/>
      <c r="X3" s="154" t="s">
        <v>87</v>
      </c>
      <c r="Y3" s="155"/>
      <c r="Z3" s="155"/>
      <c r="AA3" s="155"/>
      <c r="AB3" s="156"/>
      <c r="AF3" s="154" t="s">
        <v>88</v>
      </c>
      <c r="AG3" s="155"/>
      <c r="AH3" s="156"/>
      <c r="AI3" s="154" t="s">
        <v>87</v>
      </c>
      <c r="AJ3" s="155"/>
      <c r="AK3" s="155"/>
      <c r="AL3" s="155"/>
      <c r="AM3" s="156"/>
    </row>
    <row r="4" spans="1:40" ht="15" thickBot="1" x14ac:dyDescent="0.4">
      <c r="A4" s="102" t="s">
        <v>86</v>
      </c>
      <c r="B4" s="101">
        <f>SUM(C7:C33)</f>
        <v>799.88000000000022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77</v>
      </c>
      <c r="P4" s="94" t="s">
        <v>76</v>
      </c>
      <c r="Q4" s="135"/>
      <c r="R4" s="135" t="s">
        <v>103</v>
      </c>
      <c r="S4" s="135"/>
      <c r="T4" s="97" t="str">
        <f t="shared" ref="T4:AB4" si="0">G4</f>
        <v>Grain size (phi)</v>
      </c>
      <c r="U4" s="95" t="str">
        <f t="shared" si="0"/>
        <v>Pumices</v>
      </c>
      <c r="V4" s="95" t="str">
        <f t="shared" si="0"/>
        <v>Dense juveniles</v>
      </c>
      <c r="W4" s="95" t="str">
        <f t="shared" si="0"/>
        <v>Obsidian</v>
      </c>
      <c r="X4" s="96" t="str">
        <f t="shared" si="0"/>
        <v>Coral fragments</v>
      </c>
      <c r="Y4" s="95" t="str">
        <f t="shared" si="0"/>
        <v>Mafic clasts</v>
      </c>
      <c r="Z4" s="95" t="str">
        <f t="shared" si="0"/>
        <v>Aggregate</v>
      </c>
      <c r="AA4" s="95" t="str">
        <f t="shared" si="0"/>
        <v>Accretionnary lapilli</v>
      </c>
      <c r="AB4" s="94" t="str">
        <f t="shared" si="0"/>
        <v>Crystals</v>
      </c>
      <c r="AC4" s="94" t="s">
        <v>76</v>
      </c>
      <c r="AE4" s="97" t="str">
        <f t="shared" ref="AE4:AM4" si="1">T4</f>
        <v>Grain size (phi)</v>
      </c>
      <c r="AF4" s="95" t="str">
        <f t="shared" si="1"/>
        <v>Pumices</v>
      </c>
      <c r="AG4" s="95" t="str">
        <f t="shared" si="1"/>
        <v>Dense juveniles</v>
      </c>
      <c r="AH4" s="95" t="str">
        <f t="shared" si="1"/>
        <v>Obsidian</v>
      </c>
      <c r="AI4" s="96" t="str">
        <f t="shared" si="1"/>
        <v>Coral fragments</v>
      </c>
      <c r="AJ4" s="95" t="str">
        <f t="shared" si="1"/>
        <v>Mafic clasts</v>
      </c>
      <c r="AK4" s="95" t="str">
        <f t="shared" si="1"/>
        <v>Aggregate</v>
      </c>
      <c r="AL4" s="95" t="str">
        <f t="shared" si="1"/>
        <v>Accretionnary lapilli</v>
      </c>
      <c r="AM4" s="94" t="str">
        <f t="shared" si="1"/>
        <v>Crystals</v>
      </c>
      <c r="AN4" s="94" t="s">
        <v>76</v>
      </c>
    </row>
    <row r="5" spans="1:40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T5" s="77"/>
      <c r="U5" s="85"/>
      <c r="V5" s="84"/>
      <c r="W5" s="83"/>
      <c r="X5" s="84"/>
      <c r="Y5" s="84"/>
      <c r="Z5" s="84"/>
      <c r="AA5" s="84"/>
      <c r="AB5" s="83"/>
      <c r="AC5" s="82"/>
      <c r="AE5" s="77"/>
      <c r="AF5" s="85"/>
      <c r="AG5" s="84"/>
      <c r="AH5" s="83"/>
      <c r="AI5" s="85"/>
      <c r="AJ5" s="84"/>
      <c r="AK5" s="84"/>
      <c r="AL5" s="84"/>
      <c r="AM5" s="83"/>
      <c r="AN5" s="82"/>
    </row>
    <row r="6" spans="1:40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T6" s="77"/>
      <c r="U6" s="77"/>
      <c r="W6" s="76"/>
      <c r="AB6" s="76"/>
      <c r="AC6" s="49"/>
      <c r="AE6" s="77"/>
      <c r="AF6" s="77"/>
      <c r="AH6" s="76"/>
      <c r="AI6" s="77"/>
      <c r="AM6" s="76"/>
      <c r="AN6" s="49"/>
    </row>
    <row r="7" spans="1:40" x14ac:dyDescent="0.35">
      <c r="A7" s="75" t="s">
        <v>70</v>
      </c>
      <c r="B7" s="74">
        <v>-7.5</v>
      </c>
      <c r="C7" s="72">
        <v>0</v>
      </c>
      <c r="D7" s="55">
        <f t="shared" ref="D7:D33" si="2">(C7/SUM($C$7:$C$33))*100</f>
        <v>0</v>
      </c>
      <c r="E7" s="73">
        <v>0</v>
      </c>
      <c r="G7" s="48">
        <f t="shared" ref="G7:G33" si="3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4">SUM(H7:O7)</f>
        <v>0</v>
      </c>
      <c r="T7" s="48">
        <f t="shared" ref="T7:T33" si="5">G7</f>
        <v>-7.5</v>
      </c>
      <c r="U7" s="47" t="e">
        <f t="shared" ref="U7:U33" si="6">100*H7/$P7</f>
        <v>#DIV/0!</v>
      </c>
      <c r="V7" s="46" t="e">
        <f t="shared" ref="V7:V33" si="7">100*I7/$P7</f>
        <v>#DIV/0!</v>
      </c>
      <c r="W7" s="45" t="e">
        <f t="shared" ref="W7:W33" si="8">100*J7/$P7</f>
        <v>#DIV/0!</v>
      </c>
      <c r="X7" s="46" t="e">
        <f t="shared" ref="X7:X33" si="9">100*K7/$P7</f>
        <v>#DIV/0!</v>
      </c>
      <c r="Y7" s="46" t="e">
        <f t="shared" ref="Y7:Y33" si="10">100*L7/$P7</f>
        <v>#DIV/0!</v>
      </c>
      <c r="Z7" s="46" t="e">
        <f t="shared" ref="Z7:Z33" si="11">100*M7/$P7</f>
        <v>#DIV/0!</v>
      </c>
      <c r="AA7" s="46" t="e">
        <f t="shared" ref="AA7:AA33" si="12">100*N7/$P7</f>
        <v>#DIV/0!</v>
      </c>
      <c r="AB7" s="45" t="e">
        <f t="shared" ref="AB7:AB33" si="13">100*O7/$P7</f>
        <v>#DIV/0!</v>
      </c>
      <c r="AC7" s="49" t="e">
        <f t="shared" ref="AC7:AC33" si="14">SUM(U7:AB7)</f>
        <v>#DIV/0!</v>
      </c>
      <c r="AE7" s="48">
        <f t="shared" ref="AE7:AE33" si="15">T7</f>
        <v>-7.5</v>
      </c>
      <c r="AF7" s="47" t="e">
        <f t="shared" ref="AF7:AM14" si="16">U7*100/(SUM($U7:$Y7)+SUM($AA7:$AB7))</f>
        <v>#DIV/0!</v>
      </c>
      <c r="AG7" s="46" t="e">
        <f t="shared" si="16"/>
        <v>#DIV/0!</v>
      </c>
      <c r="AH7" s="45" t="e">
        <f t="shared" si="16"/>
        <v>#DIV/0!</v>
      </c>
      <c r="AI7" s="47" t="e">
        <f t="shared" si="16"/>
        <v>#DIV/0!</v>
      </c>
      <c r="AJ7" s="46" t="e">
        <f t="shared" si="16"/>
        <v>#DIV/0!</v>
      </c>
      <c r="AK7" s="46" t="e">
        <f t="shared" si="16"/>
        <v>#DIV/0!</v>
      </c>
      <c r="AL7" s="46" t="e">
        <f t="shared" si="16"/>
        <v>#DIV/0!</v>
      </c>
      <c r="AM7" s="45" t="e">
        <f t="shared" si="16"/>
        <v>#DIV/0!</v>
      </c>
      <c r="AN7" s="44" t="e">
        <f t="shared" ref="AN7:AN33" si="17">SUM(AF7:AM7)</f>
        <v>#DIV/0!</v>
      </c>
    </row>
    <row r="8" spans="1:40" x14ac:dyDescent="0.35">
      <c r="A8" s="58" t="s">
        <v>69</v>
      </c>
      <c r="B8" s="57">
        <v>-7</v>
      </c>
      <c r="C8" s="72">
        <v>0</v>
      </c>
      <c r="D8" s="55">
        <f t="shared" si="2"/>
        <v>0</v>
      </c>
      <c r="E8" s="73">
        <f>SUM(D6,D8)</f>
        <v>0</v>
      </c>
      <c r="G8" s="48">
        <f t="shared" si="3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4"/>
        <v>0</v>
      </c>
      <c r="T8" s="48">
        <f t="shared" si="5"/>
        <v>-7</v>
      </c>
      <c r="U8" s="47" t="e">
        <f t="shared" si="6"/>
        <v>#DIV/0!</v>
      </c>
      <c r="V8" s="46" t="e">
        <f t="shared" si="7"/>
        <v>#DIV/0!</v>
      </c>
      <c r="W8" s="45" t="e">
        <f t="shared" si="8"/>
        <v>#DIV/0!</v>
      </c>
      <c r="X8" s="46" t="e">
        <f t="shared" si="9"/>
        <v>#DIV/0!</v>
      </c>
      <c r="Y8" s="46" t="e">
        <f t="shared" si="10"/>
        <v>#DIV/0!</v>
      </c>
      <c r="Z8" s="46" t="e">
        <f t="shared" si="11"/>
        <v>#DIV/0!</v>
      </c>
      <c r="AA8" s="46" t="e">
        <f t="shared" si="12"/>
        <v>#DIV/0!</v>
      </c>
      <c r="AB8" s="45" t="e">
        <f t="shared" si="13"/>
        <v>#DIV/0!</v>
      </c>
      <c r="AC8" s="49" t="e">
        <f t="shared" si="14"/>
        <v>#DIV/0!</v>
      </c>
      <c r="AE8" s="48">
        <f t="shared" si="15"/>
        <v>-7</v>
      </c>
      <c r="AF8" s="47" t="e">
        <f t="shared" si="16"/>
        <v>#DIV/0!</v>
      </c>
      <c r="AG8" s="46" t="e">
        <f t="shared" si="16"/>
        <v>#DIV/0!</v>
      </c>
      <c r="AH8" s="45" t="e">
        <f t="shared" si="16"/>
        <v>#DIV/0!</v>
      </c>
      <c r="AI8" s="47" t="e">
        <f t="shared" si="16"/>
        <v>#DIV/0!</v>
      </c>
      <c r="AJ8" s="46" t="e">
        <f t="shared" si="16"/>
        <v>#DIV/0!</v>
      </c>
      <c r="AK8" s="46" t="e">
        <f t="shared" si="16"/>
        <v>#DIV/0!</v>
      </c>
      <c r="AL8" s="46" t="e">
        <f t="shared" si="16"/>
        <v>#DIV/0!</v>
      </c>
      <c r="AM8" s="45" t="e">
        <f t="shared" si="16"/>
        <v>#DIV/0!</v>
      </c>
      <c r="AN8" s="44" t="e">
        <f t="shared" si="17"/>
        <v>#DIV/0!</v>
      </c>
    </row>
    <row r="9" spans="1:40" x14ac:dyDescent="0.35">
      <c r="A9" s="58" t="s">
        <v>68</v>
      </c>
      <c r="B9" s="57">
        <v>-6.5</v>
      </c>
      <c r="C9" s="72">
        <v>0</v>
      </c>
      <c r="D9" s="55">
        <f t="shared" si="2"/>
        <v>0</v>
      </c>
      <c r="E9" s="73">
        <f>SUM(D6:D9)</f>
        <v>0</v>
      </c>
      <c r="G9" s="48">
        <f t="shared" si="3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4"/>
        <v>0</v>
      </c>
      <c r="T9" s="48">
        <f t="shared" si="5"/>
        <v>-6.5</v>
      </c>
      <c r="U9" s="47" t="e">
        <f t="shared" si="6"/>
        <v>#DIV/0!</v>
      </c>
      <c r="V9" s="46" t="e">
        <f t="shared" si="7"/>
        <v>#DIV/0!</v>
      </c>
      <c r="W9" s="45" t="e">
        <f t="shared" si="8"/>
        <v>#DIV/0!</v>
      </c>
      <c r="X9" s="46" t="e">
        <f t="shared" si="9"/>
        <v>#DIV/0!</v>
      </c>
      <c r="Y9" s="46" t="e">
        <f t="shared" si="10"/>
        <v>#DIV/0!</v>
      </c>
      <c r="Z9" s="46" t="e">
        <f t="shared" si="11"/>
        <v>#DIV/0!</v>
      </c>
      <c r="AA9" s="46" t="e">
        <f t="shared" si="12"/>
        <v>#DIV/0!</v>
      </c>
      <c r="AB9" s="45" t="e">
        <f t="shared" si="13"/>
        <v>#DIV/0!</v>
      </c>
      <c r="AC9" s="49" t="e">
        <f t="shared" si="14"/>
        <v>#DIV/0!</v>
      </c>
      <c r="AE9" s="48">
        <f t="shared" si="15"/>
        <v>-6.5</v>
      </c>
      <c r="AF9" s="47" t="e">
        <f t="shared" si="16"/>
        <v>#DIV/0!</v>
      </c>
      <c r="AG9" s="46" t="e">
        <f t="shared" si="16"/>
        <v>#DIV/0!</v>
      </c>
      <c r="AH9" s="45" t="e">
        <f t="shared" si="16"/>
        <v>#DIV/0!</v>
      </c>
      <c r="AI9" s="47" t="e">
        <f t="shared" si="16"/>
        <v>#DIV/0!</v>
      </c>
      <c r="AJ9" s="46" t="e">
        <f t="shared" si="16"/>
        <v>#DIV/0!</v>
      </c>
      <c r="AK9" s="46" t="e">
        <f t="shared" si="16"/>
        <v>#DIV/0!</v>
      </c>
      <c r="AL9" s="46" t="e">
        <f t="shared" si="16"/>
        <v>#DIV/0!</v>
      </c>
      <c r="AM9" s="45" t="e">
        <f t="shared" si="16"/>
        <v>#DIV/0!</v>
      </c>
      <c r="AN9" s="44" t="e">
        <f t="shared" si="17"/>
        <v>#DIV/0!</v>
      </c>
    </row>
    <row r="10" spans="1:40" x14ac:dyDescent="0.35">
      <c r="A10" s="58" t="s">
        <v>67</v>
      </c>
      <c r="B10" s="57">
        <v>-6</v>
      </c>
      <c r="C10" s="72">
        <v>0</v>
      </c>
      <c r="D10" s="55">
        <f t="shared" si="2"/>
        <v>0</v>
      </c>
      <c r="E10" s="54">
        <f>SUM(D6:D10)</f>
        <v>0</v>
      </c>
      <c r="G10" s="48">
        <f t="shared" si="3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4"/>
        <v>0</v>
      </c>
      <c r="T10" s="48">
        <f t="shared" si="5"/>
        <v>-6</v>
      </c>
      <c r="U10" s="47" t="e">
        <f t="shared" si="6"/>
        <v>#DIV/0!</v>
      </c>
      <c r="V10" s="46" t="e">
        <f t="shared" si="7"/>
        <v>#DIV/0!</v>
      </c>
      <c r="W10" s="45" t="e">
        <f t="shared" si="8"/>
        <v>#DIV/0!</v>
      </c>
      <c r="X10" s="46" t="e">
        <f t="shared" si="9"/>
        <v>#DIV/0!</v>
      </c>
      <c r="Y10" s="46" t="e">
        <f t="shared" si="10"/>
        <v>#DIV/0!</v>
      </c>
      <c r="Z10" s="46" t="e">
        <f t="shared" si="11"/>
        <v>#DIV/0!</v>
      </c>
      <c r="AA10" s="46" t="e">
        <f t="shared" si="12"/>
        <v>#DIV/0!</v>
      </c>
      <c r="AB10" s="45" t="e">
        <f t="shared" si="13"/>
        <v>#DIV/0!</v>
      </c>
      <c r="AC10" s="49" t="e">
        <f t="shared" si="14"/>
        <v>#DIV/0!</v>
      </c>
      <c r="AE10" s="48">
        <f t="shared" si="15"/>
        <v>-6</v>
      </c>
      <c r="AF10" s="47" t="e">
        <f t="shared" si="16"/>
        <v>#DIV/0!</v>
      </c>
      <c r="AG10" s="46" t="e">
        <f t="shared" si="16"/>
        <v>#DIV/0!</v>
      </c>
      <c r="AH10" s="45" t="e">
        <f t="shared" si="16"/>
        <v>#DIV/0!</v>
      </c>
      <c r="AI10" s="47" t="e">
        <f t="shared" si="16"/>
        <v>#DIV/0!</v>
      </c>
      <c r="AJ10" s="46" t="e">
        <f t="shared" si="16"/>
        <v>#DIV/0!</v>
      </c>
      <c r="AK10" s="46" t="e">
        <f t="shared" si="16"/>
        <v>#DIV/0!</v>
      </c>
      <c r="AL10" s="46" t="e">
        <f t="shared" si="16"/>
        <v>#DIV/0!</v>
      </c>
      <c r="AM10" s="45" t="e">
        <f t="shared" si="16"/>
        <v>#DIV/0!</v>
      </c>
      <c r="AN10" s="44" t="e">
        <f t="shared" si="17"/>
        <v>#DIV/0!</v>
      </c>
    </row>
    <row r="11" spans="1:40" x14ac:dyDescent="0.35">
      <c r="A11" s="58" t="s">
        <v>66</v>
      </c>
      <c r="B11" s="57">
        <v>-5.5</v>
      </c>
      <c r="C11" s="62">
        <v>0</v>
      </c>
      <c r="D11" s="55">
        <f t="shared" si="2"/>
        <v>0</v>
      </c>
      <c r="E11" s="54">
        <f>SUM(D6:D11)</f>
        <v>0</v>
      </c>
      <c r="G11" s="48">
        <f t="shared" si="3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50">
        <f t="shared" si="4"/>
        <v>0</v>
      </c>
      <c r="T11" s="48">
        <f t="shared" si="5"/>
        <v>-5.5</v>
      </c>
      <c r="U11" s="47" t="e">
        <f t="shared" si="6"/>
        <v>#DIV/0!</v>
      </c>
      <c r="V11" s="46" t="e">
        <f t="shared" si="7"/>
        <v>#DIV/0!</v>
      </c>
      <c r="W11" s="45" t="e">
        <f t="shared" si="8"/>
        <v>#DIV/0!</v>
      </c>
      <c r="X11" s="46" t="e">
        <f t="shared" si="9"/>
        <v>#DIV/0!</v>
      </c>
      <c r="Y11" s="46" t="e">
        <f t="shared" si="10"/>
        <v>#DIV/0!</v>
      </c>
      <c r="Z11" s="46" t="e">
        <f t="shared" si="11"/>
        <v>#DIV/0!</v>
      </c>
      <c r="AA11" s="46" t="e">
        <f t="shared" si="12"/>
        <v>#DIV/0!</v>
      </c>
      <c r="AB11" s="45" t="e">
        <f t="shared" si="13"/>
        <v>#DIV/0!</v>
      </c>
      <c r="AC11" s="49" t="e">
        <f t="shared" si="14"/>
        <v>#DIV/0!</v>
      </c>
      <c r="AE11" s="48">
        <f t="shared" si="15"/>
        <v>-5.5</v>
      </c>
      <c r="AF11" s="47" t="e">
        <f t="shared" si="16"/>
        <v>#DIV/0!</v>
      </c>
      <c r="AG11" s="46" t="e">
        <f t="shared" si="16"/>
        <v>#DIV/0!</v>
      </c>
      <c r="AH11" s="45" t="e">
        <f t="shared" si="16"/>
        <v>#DIV/0!</v>
      </c>
      <c r="AI11" s="47" t="e">
        <f t="shared" si="16"/>
        <v>#DIV/0!</v>
      </c>
      <c r="AJ11" s="46" t="e">
        <f t="shared" si="16"/>
        <v>#DIV/0!</v>
      </c>
      <c r="AK11" s="46" t="e">
        <f t="shared" si="16"/>
        <v>#DIV/0!</v>
      </c>
      <c r="AL11" s="46" t="e">
        <f t="shared" si="16"/>
        <v>#DIV/0!</v>
      </c>
      <c r="AM11" s="45" t="e">
        <f t="shared" si="16"/>
        <v>#DIV/0!</v>
      </c>
      <c r="AN11" s="44" t="e">
        <f t="shared" si="17"/>
        <v>#DIV/0!</v>
      </c>
    </row>
    <row r="12" spans="1:40" x14ac:dyDescent="0.35">
      <c r="A12" s="58" t="s">
        <v>65</v>
      </c>
      <c r="B12" s="57">
        <v>-5</v>
      </c>
      <c r="C12" s="62">
        <v>0</v>
      </c>
      <c r="D12" s="55">
        <f t="shared" si="2"/>
        <v>0</v>
      </c>
      <c r="E12" s="54">
        <f>SUM(D6:D12)</f>
        <v>0</v>
      </c>
      <c r="G12" s="48">
        <f t="shared" si="3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50">
        <f t="shared" si="4"/>
        <v>0</v>
      </c>
      <c r="T12" s="48">
        <f t="shared" si="5"/>
        <v>-5</v>
      </c>
      <c r="U12" s="47" t="e">
        <f t="shared" si="6"/>
        <v>#DIV/0!</v>
      </c>
      <c r="V12" s="46" t="e">
        <f t="shared" si="7"/>
        <v>#DIV/0!</v>
      </c>
      <c r="W12" s="45" t="e">
        <f t="shared" si="8"/>
        <v>#DIV/0!</v>
      </c>
      <c r="X12" s="46" t="e">
        <f t="shared" si="9"/>
        <v>#DIV/0!</v>
      </c>
      <c r="Y12" s="46" t="e">
        <f t="shared" si="10"/>
        <v>#DIV/0!</v>
      </c>
      <c r="Z12" s="46" t="e">
        <f t="shared" si="11"/>
        <v>#DIV/0!</v>
      </c>
      <c r="AA12" s="46" t="e">
        <f t="shared" si="12"/>
        <v>#DIV/0!</v>
      </c>
      <c r="AB12" s="45" t="e">
        <f t="shared" si="13"/>
        <v>#DIV/0!</v>
      </c>
      <c r="AC12" s="49" t="e">
        <f t="shared" si="14"/>
        <v>#DIV/0!</v>
      </c>
      <c r="AE12" s="48">
        <f t="shared" si="15"/>
        <v>-5</v>
      </c>
      <c r="AF12" s="47" t="e">
        <f t="shared" si="16"/>
        <v>#DIV/0!</v>
      </c>
      <c r="AG12" s="46" t="e">
        <f t="shared" si="16"/>
        <v>#DIV/0!</v>
      </c>
      <c r="AH12" s="45" t="e">
        <f t="shared" si="16"/>
        <v>#DIV/0!</v>
      </c>
      <c r="AI12" s="47" t="e">
        <f t="shared" si="16"/>
        <v>#DIV/0!</v>
      </c>
      <c r="AJ12" s="46" t="e">
        <f t="shared" si="16"/>
        <v>#DIV/0!</v>
      </c>
      <c r="AK12" s="46" t="e">
        <f t="shared" si="16"/>
        <v>#DIV/0!</v>
      </c>
      <c r="AL12" s="46" t="e">
        <f t="shared" si="16"/>
        <v>#DIV/0!</v>
      </c>
      <c r="AM12" s="45" t="e">
        <f t="shared" si="16"/>
        <v>#DIV/0!</v>
      </c>
      <c r="AN12" s="44" t="e">
        <f t="shared" si="17"/>
        <v>#DIV/0!</v>
      </c>
    </row>
    <row r="13" spans="1:40" x14ac:dyDescent="0.35">
      <c r="A13" s="58" t="s">
        <v>64</v>
      </c>
      <c r="B13" s="57">
        <v>-4.5</v>
      </c>
      <c r="C13" s="62">
        <v>0</v>
      </c>
      <c r="D13" s="55">
        <f t="shared" si="2"/>
        <v>0</v>
      </c>
      <c r="E13" s="54">
        <f>SUM(D7:D13)</f>
        <v>0</v>
      </c>
      <c r="G13" s="48">
        <f t="shared" si="3"/>
        <v>-4.5</v>
      </c>
      <c r="H13" s="61">
        <v>0</v>
      </c>
      <c r="I13" s="60">
        <v>0</v>
      </c>
      <c r="J13" s="59">
        <v>0</v>
      </c>
      <c r="K13" s="60">
        <v>0</v>
      </c>
      <c r="L13" s="60">
        <v>0</v>
      </c>
      <c r="M13" s="60">
        <v>0</v>
      </c>
      <c r="N13" s="60">
        <v>0</v>
      </c>
      <c r="O13" s="60">
        <v>0</v>
      </c>
      <c r="P13" s="50">
        <f t="shared" si="4"/>
        <v>0</v>
      </c>
      <c r="T13" s="48">
        <f t="shared" si="5"/>
        <v>-4.5</v>
      </c>
      <c r="U13" s="47" t="e">
        <f t="shared" si="6"/>
        <v>#DIV/0!</v>
      </c>
      <c r="V13" s="46" t="e">
        <f t="shared" si="7"/>
        <v>#DIV/0!</v>
      </c>
      <c r="W13" s="45" t="e">
        <f t="shared" si="8"/>
        <v>#DIV/0!</v>
      </c>
      <c r="X13" s="46" t="e">
        <f t="shared" si="9"/>
        <v>#DIV/0!</v>
      </c>
      <c r="Y13" s="46" t="e">
        <f t="shared" si="10"/>
        <v>#DIV/0!</v>
      </c>
      <c r="Z13" s="46" t="e">
        <f t="shared" si="11"/>
        <v>#DIV/0!</v>
      </c>
      <c r="AA13" s="46" t="e">
        <f t="shared" si="12"/>
        <v>#DIV/0!</v>
      </c>
      <c r="AB13" s="45" t="e">
        <f t="shared" si="13"/>
        <v>#DIV/0!</v>
      </c>
      <c r="AC13" s="49" t="e">
        <f t="shared" si="14"/>
        <v>#DIV/0!</v>
      </c>
      <c r="AE13" s="48">
        <f t="shared" si="15"/>
        <v>-4.5</v>
      </c>
      <c r="AF13" s="47" t="e">
        <f t="shared" si="16"/>
        <v>#DIV/0!</v>
      </c>
      <c r="AG13" s="46" t="e">
        <f t="shared" si="16"/>
        <v>#DIV/0!</v>
      </c>
      <c r="AH13" s="45" t="e">
        <f t="shared" si="16"/>
        <v>#DIV/0!</v>
      </c>
      <c r="AI13" s="47" t="e">
        <f t="shared" si="16"/>
        <v>#DIV/0!</v>
      </c>
      <c r="AJ13" s="46" t="e">
        <f t="shared" si="16"/>
        <v>#DIV/0!</v>
      </c>
      <c r="AK13" s="46" t="e">
        <f t="shared" si="16"/>
        <v>#DIV/0!</v>
      </c>
      <c r="AL13" s="46" t="e">
        <f t="shared" si="16"/>
        <v>#DIV/0!</v>
      </c>
      <c r="AM13" s="45" t="e">
        <f t="shared" si="16"/>
        <v>#DIV/0!</v>
      </c>
      <c r="AN13" s="44" t="e">
        <f t="shared" si="17"/>
        <v>#DIV/0!</v>
      </c>
    </row>
    <row r="14" spans="1:40" x14ac:dyDescent="0.35">
      <c r="A14" s="58" t="s">
        <v>63</v>
      </c>
      <c r="B14" s="57">
        <v>-4</v>
      </c>
      <c r="C14" s="62">
        <v>11.01</v>
      </c>
      <c r="D14" s="55">
        <f t="shared" si="2"/>
        <v>1.37645646847027</v>
      </c>
      <c r="E14" s="54">
        <f>SUM(D8:D14)</f>
        <v>1.37645646847027</v>
      </c>
      <c r="G14" s="48">
        <f t="shared" si="3"/>
        <v>-4</v>
      </c>
      <c r="H14" s="61">
        <v>2.39</v>
      </c>
      <c r="I14" s="60">
        <v>0</v>
      </c>
      <c r="J14" s="59">
        <v>0</v>
      </c>
      <c r="K14" s="60">
        <v>8.44</v>
      </c>
      <c r="L14" s="60">
        <v>0</v>
      </c>
      <c r="M14" s="60">
        <v>0</v>
      </c>
      <c r="N14" s="60">
        <v>0</v>
      </c>
      <c r="O14" s="60">
        <v>0</v>
      </c>
      <c r="P14" s="50">
        <f t="shared" si="4"/>
        <v>10.83</v>
      </c>
      <c r="T14" s="48">
        <f t="shared" si="5"/>
        <v>-4</v>
      </c>
      <c r="U14" s="47">
        <f t="shared" si="6"/>
        <v>22.068328716528164</v>
      </c>
      <c r="V14" s="46">
        <f t="shared" si="7"/>
        <v>0</v>
      </c>
      <c r="W14" s="45">
        <f t="shared" si="8"/>
        <v>0</v>
      </c>
      <c r="X14" s="46">
        <f t="shared" si="9"/>
        <v>77.931671283471843</v>
      </c>
      <c r="Y14" s="46">
        <f t="shared" si="10"/>
        <v>0</v>
      </c>
      <c r="Z14" s="46">
        <f t="shared" si="11"/>
        <v>0</v>
      </c>
      <c r="AA14" s="46">
        <f t="shared" si="12"/>
        <v>0</v>
      </c>
      <c r="AB14" s="45">
        <f t="shared" si="13"/>
        <v>0</v>
      </c>
      <c r="AC14" s="49">
        <f t="shared" si="14"/>
        <v>100</v>
      </c>
      <c r="AE14" s="48">
        <f t="shared" si="15"/>
        <v>-4</v>
      </c>
      <c r="AF14" s="47">
        <f t="shared" si="16"/>
        <v>22.068328716528164</v>
      </c>
      <c r="AG14" s="46">
        <f t="shared" si="16"/>
        <v>0</v>
      </c>
      <c r="AH14" s="45">
        <f t="shared" si="16"/>
        <v>0</v>
      </c>
      <c r="AI14" s="47">
        <f t="shared" si="16"/>
        <v>77.931671283471843</v>
      </c>
      <c r="AJ14" s="46">
        <f t="shared" si="16"/>
        <v>0</v>
      </c>
      <c r="AK14" s="46">
        <f t="shared" si="16"/>
        <v>0</v>
      </c>
      <c r="AL14" s="46">
        <f t="shared" si="16"/>
        <v>0</v>
      </c>
      <c r="AM14" s="45">
        <f t="shared" si="16"/>
        <v>0</v>
      </c>
      <c r="AN14" s="44">
        <f t="shared" si="17"/>
        <v>100</v>
      </c>
    </row>
    <row r="15" spans="1:40" x14ac:dyDescent="0.35">
      <c r="A15" s="58" t="s">
        <v>62</v>
      </c>
      <c r="B15" s="57">
        <v>-3.5</v>
      </c>
      <c r="C15" s="62">
        <v>41.49</v>
      </c>
      <c r="D15" s="55">
        <f t="shared" si="2"/>
        <v>5.1870280542081302</v>
      </c>
      <c r="E15" s="54">
        <f>SUM(D6:D15)</f>
        <v>6.5634845226784</v>
      </c>
      <c r="G15" s="48">
        <f t="shared" si="3"/>
        <v>-3.5</v>
      </c>
      <c r="H15" s="61">
        <v>30.66</v>
      </c>
      <c r="I15" s="60">
        <v>3.61</v>
      </c>
      <c r="J15" s="59">
        <v>0</v>
      </c>
      <c r="K15" s="60">
        <v>2.57</v>
      </c>
      <c r="L15" s="60">
        <v>4.37</v>
      </c>
      <c r="M15" s="60">
        <v>0</v>
      </c>
      <c r="N15" s="60">
        <v>0</v>
      </c>
      <c r="O15" s="59">
        <v>0</v>
      </c>
      <c r="P15" s="50">
        <f t="shared" si="4"/>
        <v>41.21</v>
      </c>
      <c r="T15" s="48">
        <f t="shared" si="5"/>
        <v>-3.5</v>
      </c>
      <c r="U15" s="67">
        <f t="shared" si="6"/>
        <v>74.39941761708323</v>
      </c>
      <c r="V15" s="66">
        <f t="shared" si="7"/>
        <v>8.7600097063819451</v>
      </c>
      <c r="W15" s="65">
        <f t="shared" si="8"/>
        <v>0</v>
      </c>
      <c r="X15" s="66">
        <f t="shared" si="9"/>
        <v>6.2363504003882548</v>
      </c>
      <c r="Y15" s="66">
        <f t="shared" si="10"/>
        <v>10.604222276146567</v>
      </c>
      <c r="Z15" s="66">
        <f t="shared" si="11"/>
        <v>0</v>
      </c>
      <c r="AA15" s="66">
        <f t="shared" si="12"/>
        <v>0</v>
      </c>
      <c r="AB15" s="65">
        <f t="shared" si="13"/>
        <v>0</v>
      </c>
      <c r="AC15" s="50">
        <f t="shared" si="14"/>
        <v>100.00000000000001</v>
      </c>
      <c r="AE15" s="48">
        <f t="shared" si="15"/>
        <v>-3.5</v>
      </c>
      <c r="AF15" s="67">
        <f t="shared" ref="AF15:AJ33" si="18">U15*100/(SUM($U15:$Y15)+SUM($AA15:$AB15))</f>
        <v>74.399417617083216</v>
      </c>
      <c r="AG15" s="66">
        <f t="shared" si="18"/>
        <v>8.7600097063819433</v>
      </c>
      <c r="AH15" s="65">
        <f t="shared" si="18"/>
        <v>0</v>
      </c>
      <c r="AI15" s="67">
        <f t="shared" si="18"/>
        <v>6.2363504003882548</v>
      </c>
      <c r="AJ15" s="66">
        <f t="shared" si="18"/>
        <v>10.604222276146567</v>
      </c>
      <c r="AK15" s="66">
        <v>0</v>
      </c>
      <c r="AL15" s="66">
        <f t="shared" ref="AL15:AM33" si="19">AA15*100/(SUM($U15:$Y15)+SUM($AA15:$AB15))</f>
        <v>0</v>
      </c>
      <c r="AM15" s="65">
        <f t="shared" si="19"/>
        <v>0</v>
      </c>
      <c r="AN15" s="64">
        <f t="shared" si="17"/>
        <v>100</v>
      </c>
    </row>
    <row r="16" spans="1:40" x14ac:dyDescent="0.35">
      <c r="A16" s="71" t="s">
        <v>61</v>
      </c>
      <c r="B16" s="57">
        <v>-3</v>
      </c>
      <c r="C16" s="62">
        <v>72.819999999999993</v>
      </c>
      <c r="D16" s="55">
        <f t="shared" si="2"/>
        <v>9.1038655798369721</v>
      </c>
      <c r="E16" s="54">
        <f>SUM(D6:D16)</f>
        <v>15.667350102515371</v>
      </c>
      <c r="G16" s="48">
        <f t="shared" si="3"/>
        <v>-3</v>
      </c>
      <c r="H16" s="61">
        <v>46.75</v>
      </c>
      <c r="I16" s="60">
        <v>7.63</v>
      </c>
      <c r="J16" s="59">
        <v>0</v>
      </c>
      <c r="K16" s="60">
        <v>10.25</v>
      </c>
      <c r="L16" s="60">
        <v>6.65</v>
      </c>
      <c r="M16" s="60">
        <v>0</v>
      </c>
      <c r="N16" s="60">
        <v>0</v>
      </c>
      <c r="O16" s="59">
        <v>0</v>
      </c>
      <c r="P16" s="50">
        <f t="shared" si="4"/>
        <v>71.28</v>
      </c>
      <c r="T16" s="48">
        <f t="shared" si="5"/>
        <v>-3</v>
      </c>
      <c r="U16" s="67">
        <f t="shared" si="6"/>
        <v>65.586419753086417</v>
      </c>
      <c r="V16" s="66">
        <f t="shared" si="7"/>
        <v>10.704264870931537</v>
      </c>
      <c r="W16" s="65">
        <f t="shared" si="8"/>
        <v>0</v>
      </c>
      <c r="X16" s="66">
        <f t="shared" si="9"/>
        <v>14.379910213243546</v>
      </c>
      <c r="Y16" s="66">
        <f t="shared" si="10"/>
        <v>9.329405162738496</v>
      </c>
      <c r="Z16" s="66">
        <f t="shared" si="11"/>
        <v>0</v>
      </c>
      <c r="AA16" s="66">
        <f t="shared" si="12"/>
        <v>0</v>
      </c>
      <c r="AB16" s="65">
        <f t="shared" si="13"/>
        <v>0</v>
      </c>
      <c r="AC16" s="50">
        <f t="shared" si="14"/>
        <v>100</v>
      </c>
      <c r="AE16" s="48">
        <f t="shared" si="15"/>
        <v>-3</v>
      </c>
      <c r="AF16" s="67">
        <f t="shared" si="18"/>
        <v>65.586419753086417</v>
      </c>
      <c r="AG16" s="66">
        <f t="shared" si="18"/>
        <v>10.704264870931535</v>
      </c>
      <c r="AH16" s="65">
        <f t="shared" si="18"/>
        <v>0</v>
      </c>
      <c r="AI16" s="67">
        <f t="shared" si="18"/>
        <v>14.379910213243544</v>
      </c>
      <c r="AJ16" s="66">
        <f t="shared" si="18"/>
        <v>9.329405162738496</v>
      </c>
      <c r="AK16" s="66">
        <v>0</v>
      </c>
      <c r="AL16" s="66">
        <f t="shared" si="19"/>
        <v>0</v>
      </c>
      <c r="AM16" s="65">
        <f t="shared" si="19"/>
        <v>0</v>
      </c>
      <c r="AN16" s="64">
        <f t="shared" si="17"/>
        <v>100</v>
      </c>
    </row>
    <row r="17" spans="1:40" x14ac:dyDescent="0.35">
      <c r="A17" s="71" t="s">
        <v>60</v>
      </c>
      <c r="B17" s="57">
        <v>-2.5</v>
      </c>
      <c r="C17" s="62">
        <v>123.05</v>
      </c>
      <c r="D17" s="55">
        <f t="shared" si="2"/>
        <v>15.383557533630041</v>
      </c>
      <c r="E17" s="54">
        <f>SUM(D6:D17)</f>
        <v>31.050907636145411</v>
      </c>
      <c r="G17" s="48">
        <f t="shared" si="3"/>
        <v>-2.5</v>
      </c>
      <c r="H17" s="61">
        <v>71.75</v>
      </c>
      <c r="I17" s="60">
        <v>25.86</v>
      </c>
      <c r="J17" s="59">
        <v>0</v>
      </c>
      <c r="K17" s="60">
        <v>5.92</v>
      </c>
      <c r="L17" s="60">
        <v>17.809999999999999</v>
      </c>
      <c r="M17" s="60">
        <v>0</v>
      </c>
      <c r="N17" s="60">
        <v>0</v>
      </c>
      <c r="O17" s="59">
        <v>0</v>
      </c>
      <c r="P17" s="50">
        <f t="shared" si="4"/>
        <v>121.34</v>
      </c>
      <c r="T17" s="48">
        <f t="shared" si="5"/>
        <v>-2.5</v>
      </c>
      <c r="U17" s="67">
        <f t="shared" si="6"/>
        <v>59.131366408439092</v>
      </c>
      <c r="V17" s="66">
        <f t="shared" si="7"/>
        <v>21.31201582330641</v>
      </c>
      <c r="W17" s="65">
        <f t="shared" si="8"/>
        <v>0</v>
      </c>
      <c r="X17" s="66">
        <f t="shared" si="9"/>
        <v>4.8788528102851494</v>
      </c>
      <c r="Y17" s="66">
        <f t="shared" si="10"/>
        <v>14.677764957969339</v>
      </c>
      <c r="Z17" s="66">
        <f t="shared" si="11"/>
        <v>0</v>
      </c>
      <c r="AA17" s="66">
        <f t="shared" si="12"/>
        <v>0</v>
      </c>
      <c r="AB17" s="65">
        <f t="shared" si="13"/>
        <v>0</v>
      </c>
      <c r="AC17" s="50">
        <f t="shared" si="14"/>
        <v>100</v>
      </c>
      <c r="AE17" s="48">
        <f t="shared" si="15"/>
        <v>-2.5</v>
      </c>
      <c r="AF17" s="67">
        <f t="shared" si="18"/>
        <v>59.131366408439092</v>
      </c>
      <c r="AG17" s="66">
        <f t="shared" si="18"/>
        <v>21.31201582330641</v>
      </c>
      <c r="AH17" s="65">
        <f t="shared" si="18"/>
        <v>0</v>
      </c>
      <c r="AI17" s="67">
        <f t="shared" si="18"/>
        <v>4.8788528102851494</v>
      </c>
      <c r="AJ17" s="66">
        <f t="shared" si="18"/>
        <v>14.677764957969339</v>
      </c>
      <c r="AK17" s="66">
        <v>0</v>
      </c>
      <c r="AL17" s="66">
        <f t="shared" si="19"/>
        <v>0</v>
      </c>
      <c r="AM17" s="65">
        <f t="shared" si="19"/>
        <v>0</v>
      </c>
      <c r="AN17" s="64">
        <f t="shared" si="17"/>
        <v>100</v>
      </c>
    </row>
    <row r="18" spans="1:40" x14ac:dyDescent="0.35">
      <c r="A18" s="58" t="s">
        <v>59</v>
      </c>
      <c r="B18" s="57">
        <v>-2</v>
      </c>
      <c r="C18" s="62">
        <v>109.55</v>
      </c>
      <c r="D18" s="55">
        <f t="shared" si="2"/>
        <v>13.695804370655596</v>
      </c>
      <c r="E18" s="54">
        <f>SUM(D6:D18)</f>
        <v>44.746712006801005</v>
      </c>
      <c r="G18" s="48">
        <f t="shared" si="3"/>
        <v>-2</v>
      </c>
      <c r="H18" s="61">
        <v>53.442524326347296</v>
      </c>
      <c r="I18" s="60">
        <v>28.453480538922154</v>
      </c>
      <c r="J18" s="59">
        <v>0</v>
      </c>
      <c r="K18" s="60">
        <v>7.6053611526946101</v>
      </c>
      <c r="L18" s="60">
        <v>20.048633982035923</v>
      </c>
      <c r="M18" s="60">
        <v>0</v>
      </c>
      <c r="N18" s="60">
        <v>0</v>
      </c>
      <c r="O18" s="59">
        <v>0</v>
      </c>
      <c r="P18" s="50">
        <f t="shared" si="4"/>
        <v>109.54999999999998</v>
      </c>
      <c r="R18" t="s">
        <v>94</v>
      </c>
      <c r="T18" s="48">
        <f t="shared" si="5"/>
        <v>-2</v>
      </c>
      <c r="U18" s="67">
        <f t="shared" si="6"/>
        <v>48.783682634730532</v>
      </c>
      <c r="V18" s="66">
        <f t="shared" si="7"/>
        <v>25.973053892215571</v>
      </c>
      <c r="W18" s="65">
        <f t="shared" si="8"/>
        <v>0</v>
      </c>
      <c r="X18" s="66">
        <f t="shared" si="9"/>
        <v>6.942365269461078</v>
      </c>
      <c r="Y18" s="66">
        <f t="shared" si="10"/>
        <v>18.300898203592812</v>
      </c>
      <c r="Z18" s="66">
        <f t="shared" si="11"/>
        <v>0</v>
      </c>
      <c r="AA18" s="66">
        <f t="shared" si="12"/>
        <v>0</v>
      </c>
      <c r="AB18" s="65">
        <f t="shared" si="13"/>
        <v>0</v>
      </c>
      <c r="AC18" s="50">
        <f t="shared" si="14"/>
        <v>99.999999999999986</v>
      </c>
      <c r="AE18" s="48">
        <f t="shared" si="15"/>
        <v>-2</v>
      </c>
      <c r="AF18" s="67">
        <f t="shared" si="18"/>
        <v>48.783682634730539</v>
      </c>
      <c r="AG18" s="66">
        <f t="shared" si="18"/>
        <v>25.973053892215574</v>
      </c>
      <c r="AH18" s="65">
        <f t="shared" si="18"/>
        <v>0</v>
      </c>
      <c r="AI18" s="67">
        <f t="shared" si="18"/>
        <v>6.9423652694610789</v>
      </c>
      <c r="AJ18" s="66">
        <f t="shared" si="18"/>
        <v>18.300898203592816</v>
      </c>
      <c r="AK18" s="66">
        <v>0</v>
      </c>
      <c r="AL18" s="66">
        <f t="shared" si="19"/>
        <v>0</v>
      </c>
      <c r="AM18" s="65">
        <f t="shared" si="19"/>
        <v>0</v>
      </c>
      <c r="AN18" s="64">
        <f t="shared" si="17"/>
        <v>100</v>
      </c>
    </row>
    <row r="19" spans="1:40" x14ac:dyDescent="0.35">
      <c r="A19" s="58" t="s">
        <v>58</v>
      </c>
      <c r="B19" s="57">
        <v>-1.5</v>
      </c>
      <c r="C19" s="62">
        <v>104.8</v>
      </c>
      <c r="D19" s="55">
        <f t="shared" si="2"/>
        <v>13.101965294794216</v>
      </c>
      <c r="E19" s="54">
        <f>SUM(D6:D19)</f>
        <v>57.848677301595217</v>
      </c>
      <c r="G19" s="48">
        <f t="shared" si="3"/>
        <v>-1.5</v>
      </c>
      <c r="H19" s="61">
        <v>34.325677011267047</v>
      </c>
      <c r="I19" s="60">
        <v>43.999841865981409</v>
      </c>
      <c r="J19" s="59">
        <v>0</v>
      </c>
      <c r="K19" s="60">
        <v>7.4783158727021144</v>
      </c>
      <c r="L19" s="60">
        <v>18.996165250049415</v>
      </c>
      <c r="M19" s="60">
        <v>0</v>
      </c>
      <c r="N19" s="60">
        <v>0</v>
      </c>
      <c r="O19" s="59">
        <v>0</v>
      </c>
      <c r="P19" s="50">
        <f t="shared" si="4"/>
        <v>104.79999999999998</v>
      </c>
      <c r="R19" t="s">
        <v>95</v>
      </c>
      <c r="T19" s="48">
        <f t="shared" si="5"/>
        <v>-1.5</v>
      </c>
      <c r="U19" s="67">
        <f t="shared" si="6"/>
        <v>32.753508598537266</v>
      </c>
      <c r="V19" s="66">
        <f t="shared" si="7"/>
        <v>41.984581933188373</v>
      </c>
      <c r="W19" s="65">
        <f t="shared" si="8"/>
        <v>0</v>
      </c>
      <c r="X19" s="66">
        <f t="shared" si="9"/>
        <v>7.1357975884562173</v>
      </c>
      <c r="Y19" s="66">
        <f t="shared" si="10"/>
        <v>18.126111879818147</v>
      </c>
      <c r="Z19" s="66">
        <f t="shared" si="11"/>
        <v>0</v>
      </c>
      <c r="AA19" s="66">
        <f t="shared" si="12"/>
        <v>0</v>
      </c>
      <c r="AB19" s="65">
        <f t="shared" si="13"/>
        <v>0</v>
      </c>
      <c r="AC19" s="50">
        <f t="shared" si="14"/>
        <v>100</v>
      </c>
      <c r="AE19" s="48">
        <f t="shared" si="15"/>
        <v>-1.5</v>
      </c>
      <c r="AF19" s="67">
        <f t="shared" si="18"/>
        <v>32.753508598537266</v>
      </c>
      <c r="AG19" s="66">
        <f t="shared" si="18"/>
        <v>41.984581933188373</v>
      </c>
      <c r="AH19" s="65">
        <f t="shared" si="18"/>
        <v>0</v>
      </c>
      <c r="AI19" s="67">
        <f t="shared" si="18"/>
        <v>7.1357975884562173</v>
      </c>
      <c r="AJ19" s="66">
        <f t="shared" si="18"/>
        <v>18.126111879818147</v>
      </c>
      <c r="AK19" s="66">
        <v>0</v>
      </c>
      <c r="AL19" s="66">
        <f t="shared" si="19"/>
        <v>0</v>
      </c>
      <c r="AM19" s="65">
        <f t="shared" si="19"/>
        <v>0</v>
      </c>
      <c r="AN19" s="64">
        <f t="shared" si="17"/>
        <v>100</v>
      </c>
    </row>
    <row r="20" spans="1:40" x14ac:dyDescent="0.35">
      <c r="A20" s="58" t="s">
        <v>57</v>
      </c>
      <c r="B20" s="57">
        <v>-1</v>
      </c>
      <c r="C20" s="62">
        <v>86.71</v>
      </c>
      <c r="D20" s="55">
        <f t="shared" si="2"/>
        <v>10.840376056408457</v>
      </c>
      <c r="E20" s="54">
        <f>SUM(D6:D20)</f>
        <v>68.689053358003676</v>
      </c>
      <c r="G20" s="48">
        <f t="shared" si="3"/>
        <v>-1</v>
      </c>
      <c r="H20" s="61">
        <v>19.907665753424659</v>
      </c>
      <c r="I20" s="60">
        <v>42.856120547945196</v>
      </c>
      <c r="J20" s="59">
        <v>0</v>
      </c>
      <c r="K20" s="60">
        <v>6.3666520547945202</v>
      </c>
      <c r="L20" s="60">
        <v>17.579561643835618</v>
      </c>
      <c r="M20" s="60">
        <v>0</v>
      </c>
      <c r="N20" s="60">
        <v>0</v>
      </c>
      <c r="O20" s="59">
        <v>0</v>
      </c>
      <c r="P20" s="50">
        <f t="shared" si="4"/>
        <v>86.71</v>
      </c>
      <c r="R20" t="s">
        <v>96</v>
      </c>
      <c r="T20" s="48">
        <f t="shared" si="5"/>
        <v>-1</v>
      </c>
      <c r="U20" s="67">
        <f t="shared" si="6"/>
        <v>22.958904109589046</v>
      </c>
      <c r="V20" s="66">
        <f t="shared" si="7"/>
        <v>49.424657534246563</v>
      </c>
      <c r="W20" s="65">
        <f t="shared" si="8"/>
        <v>0</v>
      </c>
      <c r="X20" s="66">
        <f t="shared" si="9"/>
        <v>7.3424657534246567</v>
      </c>
      <c r="Y20" s="66">
        <f t="shared" si="10"/>
        <v>20.273972602739729</v>
      </c>
      <c r="Z20" s="66">
        <f t="shared" si="11"/>
        <v>0</v>
      </c>
      <c r="AA20" s="66">
        <f t="shared" si="12"/>
        <v>0</v>
      </c>
      <c r="AB20" s="65">
        <f t="shared" si="13"/>
        <v>0</v>
      </c>
      <c r="AC20" s="50">
        <f t="shared" si="14"/>
        <v>100</v>
      </c>
      <c r="AE20" s="48">
        <f t="shared" si="15"/>
        <v>-1</v>
      </c>
      <c r="AF20" s="67">
        <f t="shared" si="18"/>
        <v>22.958904109589049</v>
      </c>
      <c r="AG20" s="66">
        <f t="shared" si="18"/>
        <v>49.424657534246563</v>
      </c>
      <c r="AH20" s="65">
        <f t="shared" si="18"/>
        <v>0</v>
      </c>
      <c r="AI20" s="67">
        <f t="shared" si="18"/>
        <v>7.3424657534246567</v>
      </c>
      <c r="AJ20" s="66">
        <f t="shared" si="18"/>
        <v>20.273972602739729</v>
      </c>
      <c r="AK20" s="66">
        <v>0</v>
      </c>
      <c r="AL20" s="66">
        <f t="shared" si="19"/>
        <v>0</v>
      </c>
      <c r="AM20" s="65">
        <f t="shared" si="19"/>
        <v>0</v>
      </c>
      <c r="AN20" s="64">
        <f t="shared" si="17"/>
        <v>100</v>
      </c>
    </row>
    <row r="21" spans="1:40" x14ac:dyDescent="0.35">
      <c r="A21" s="58" t="s">
        <v>56</v>
      </c>
      <c r="B21" s="57">
        <v>-0.5</v>
      </c>
      <c r="C21" s="62">
        <v>69.12</v>
      </c>
      <c r="D21" s="55">
        <f t="shared" si="2"/>
        <v>8.6412961944291631</v>
      </c>
      <c r="E21" s="54">
        <f>SUM(D6:D21)</f>
        <v>77.330349552432835</v>
      </c>
      <c r="G21" s="70">
        <f t="shared" si="3"/>
        <v>-0.5</v>
      </c>
      <c r="H21" s="53">
        <v>39.199829968119033</v>
      </c>
      <c r="I21" s="52">
        <v>15.572199787460152</v>
      </c>
      <c r="J21" s="51">
        <v>0</v>
      </c>
      <c r="K21" s="52">
        <v>4.2358342189160467</v>
      </c>
      <c r="L21" s="52">
        <v>10.014197662061637</v>
      </c>
      <c r="M21" s="52">
        <v>0</v>
      </c>
      <c r="N21" s="52">
        <v>0</v>
      </c>
      <c r="O21" s="51">
        <v>9.793836344314559E-2</v>
      </c>
      <c r="P21" s="69">
        <f t="shared" si="4"/>
        <v>69.120000000000019</v>
      </c>
      <c r="Q21" s="68"/>
      <c r="R21" s="68" t="s">
        <v>97</v>
      </c>
      <c r="S21" s="68"/>
      <c r="T21" s="48">
        <f t="shared" si="5"/>
        <v>-0.5</v>
      </c>
      <c r="U21" s="67">
        <f t="shared" si="6"/>
        <v>56.712716967764791</v>
      </c>
      <c r="V21" s="66">
        <f t="shared" si="7"/>
        <v>22.529224229543036</v>
      </c>
      <c r="W21" s="65">
        <f t="shared" si="8"/>
        <v>0</v>
      </c>
      <c r="X21" s="66">
        <f t="shared" si="9"/>
        <v>6.128232376904001</v>
      </c>
      <c r="Y21" s="66">
        <f t="shared" si="10"/>
        <v>14.488133191640095</v>
      </c>
      <c r="Z21" s="66">
        <f t="shared" si="11"/>
        <v>0</v>
      </c>
      <c r="AA21" s="66">
        <f t="shared" si="12"/>
        <v>0</v>
      </c>
      <c r="AB21" s="65">
        <f t="shared" si="13"/>
        <v>0.14169323414806939</v>
      </c>
      <c r="AC21" s="50">
        <f t="shared" si="14"/>
        <v>99.999999999999986</v>
      </c>
      <c r="AE21" s="48">
        <f t="shared" si="15"/>
        <v>-0.5</v>
      </c>
      <c r="AF21" s="67">
        <f t="shared" si="18"/>
        <v>56.712716967764798</v>
      </c>
      <c r="AG21" s="66">
        <f t="shared" si="18"/>
        <v>22.52922422954304</v>
      </c>
      <c r="AH21" s="65">
        <f t="shared" si="18"/>
        <v>0</v>
      </c>
      <c r="AI21" s="67">
        <f t="shared" si="18"/>
        <v>6.1282323769040019</v>
      </c>
      <c r="AJ21" s="66">
        <f t="shared" si="18"/>
        <v>14.488133191640097</v>
      </c>
      <c r="AK21" s="66">
        <v>0</v>
      </c>
      <c r="AL21" s="66">
        <f t="shared" si="19"/>
        <v>0</v>
      </c>
      <c r="AM21" s="65">
        <f t="shared" si="19"/>
        <v>0.14169323414806942</v>
      </c>
      <c r="AN21" s="64">
        <f t="shared" si="17"/>
        <v>100</v>
      </c>
    </row>
    <row r="22" spans="1:40" x14ac:dyDescent="0.35">
      <c r="A22" s="58" t="s">
        <v>55</v>
      </c>
      <c r="B22" s="57">
        <v>0</v>
      </c>
      <c r="C22" s="62">
        <v>48.24</v>
      </c>
      <c r="D22" s="55">
        <f t="shared" si="2"/>
        <v>6.0309046356953528</v>
      </c>
      <c r="E22" s="54">
        <f>SUM(D6:D22)</f>
        <v>83.361254188128186</v>
      </c>
      <c r="G22" s="48">
        <f t="shared" si="3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4"/>
        <v>0</v>
      </c>
      <c r="T22" s="48">
        <f t="shared" si="5"/>
        <v>0</v>
      </c>
      <c r="U22" s="47" t="e">
        <f t="shared" si="6"/>
        <v>#DIV/0!</v>
      </c>
      <c r="V22" s="46" t="e">
        <f t="shared" si="7"/>
        <v>#DIV/0!</v>
      </c>
      <c r="W22" s="45" t="e">
        <f t="shared" si="8"/>
        <v>#DIV/0!</v>
      </c>
      <c r="X22" s="46" t="e">
        <f t="shared" si="9"/>
        <v>#DIV/0!</v>
      </c>
      <c r="Y22" s="46" t="e">
        <f t="shared" si="10"/>
        <v>#DIV/0!</v>
      </c>
      <c r="Z22" s="46" t="e">
        <f t="shared" si="11"/>
        <v>#DIV/0!</v>
      </c>
      <c r="AA22" s="46" t="e">
        <f t="shared" si="12"/>
        <v>#DIV/0!</v>
      </c>
      <c r="AB22" s="45" t="e">
        <f t="shared" si="13"/>
        <v>#DIV/0!</v>
      </c>
      <c r="AC22" s="49" t="e">
        <f t="shared" si="14"/>
        <v>#DIV/0!</v>
      </c>
      <c r="AE22" s="48">
        <f t="shared" si="15"/>
        <v>0</v>
      </c>
      <c r="AF22" s="47" t="e">
        <f t="shared" si="18"/>
        <v>#DIV/0!</v>
      </c>
      <c r="AG22" s="46" t="e">
        <f t="shared" si="18"/>
        <v>#DIV/0!</v>
      </c>
      <c r="AH22" s="45" t="e">
        <f t="shared" si="18"/>
        <v>#DIV/0!</v>
      </c>
      <c r="AI22" s="47" t="e">
        <f t="shared" si="18"/>
        <v>#DIV/0!</v>
      </c>
      <c r="AJ22" s="46" t="e">
        <f t="shared" si="18"/>
        <v>#DIV/0!</v>
      </c>
      <c r="AK22" s="46" t="e">
        <f t="shared" ref="AK22:AK33" si="20">Z22*100/(SUM($U22:$Y22)+SUM($AA22:$AB22))</f>
        <v>#DIV/0!</v>
      </c>
      <c r="AL22" s="46" t="e">
        <f t="shared" si="19"/>
        <v>#DIV/0!</v>
      </c>
      <c r="AM22" s="45" t="e">
        <f t="shared" si="19"/>
        <v>#DIV/0!</v>
      </c>
      <c r="AN22" s="44" t="e">
        <f t="shared" si="17"/>
        <v>#DIV/0!</v>
      </c>
    </row>
    <row r="23" spans="1:40" x14ac:dyDescent="0.35">
      <c r="A23" s="58" t="s">
        <v>54</v>
      </c>
      <c r="B23" s="57">
        <v>0.5</v>
      </c>
      <c r="C23" s="62">
        <v>30.74</v>
      </c>
      <c r="D23" s="55">
        <f t="shared" si="2"/>
        <v>3.8430764614692192</v>
      </c>
      <c r="E23" s="54">
        <f>SUM(D6:D23)</f>
        <v>87.204330649597409</v>
      </c>
      <c r="G23" s="48">
        <f t="shared" si="3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4"/>
        <v>0</v>
      </c>
      <c r="T23" s="48">
        <f t="shared" si="5"/>
        <v>0.5</v>
      </c>
      <c r="U23" s="47" t="e">
        <f t="shared" si="6"/>
        <v>#DIV/0!</v>
      </c>
      <c r="V23" s="46" t="e">
        <f t="shared" si="7"/>
        <v>#DIV/0!</v>
      </c>
      <c r="W23" s="45" t="e">
        <f t="shared" si="8"/>
        <v>#DIV/0!</v>
      </c>
      <c r="X23" s="46" t="e">
        <f t="shared" si="9"/>
        <v>#DIV/0!</v>
      </c>
      <c r="Y23" s="46" t="e">
        <f t="shared" si="10"/>
        <v>#DIV/0!</v>
      </c>
      <c r="Z23" s="46" t="e">
        <f t="shared" si="11"/>
        <v>#DIV/0!</v>
      </c>
      <c r="AA23" s="46" t="e">
        <f t="shared" si="12"/>
        <v>#DIV/0!</v>
      </c>
      <c r="AB23" s="45" t="e">
        <f t="shared" si="13"/>
        <v>#DIV/0!</v>
      </c>
      <c r="AC23" s="49" t="e">
        <f t="shared" si="14"/>
        <v>#DIV/0!</v>
      </c>
      <c r="AE23" s="48">
        <f t="shared" si="15"/>
        <v>0.5</v>
      </c>
      <c r="AF23" s="47" t="e">
        <f t="shared" si="18"/>
        <v>#DIV/0!</v>
      </c>
      <c r="AG23" s="46" t="e">
        <f t="shared" si="18"/>
        <v>#DIV/0!</v>
      </c>
      <c r="AH23" s="45" t="e">
        <f t="shared" si="18"/>
        <v>#DIV/0!</v>
      </c>
      <c r="AI23" s="47" t="e">
        <f t="shared" si="18"/>
        <v>#DIV/0!</v>
      </c>
      <c r="AJ23" s="46" t="e">
        <f t="shared" si="18"/>
        <v>#DIV/0!</v>
      </c>
      <c r="AK23" s="46" t="e">
        <f t="shared" si="20"/>
        <v>#DIV/0!</v>
      </c>
      <c r="AL23" s="46" t="e">
        <f t="shared" si="19"/>
        <v>#DIV/0!</v>
      </c>
      <c r="AM23" s="45" t="e">
        <f t="shared" si="19"/>
        <v>#DIV/0!</v>
      </c>
      <c r="AN23" s="44" t="e">
        <f t="shared" si="17"/>
        <v>#DIV/0!</v>
      </c>
    </row>
    <row r="24" spans="1:40" x14ac:dyDescent="0.35">
      <c r="A24" s="58" t="s">
        <v>53</v>
      </c>
      <c r="B24" s="57">
        <v>1</v>
      </c>
      <c r="C24" s="63">
        <v>15.7</v>
      </c>
      <c r="D24" s="55">
        <f t="shared" si="2"/>
        <v>1.9627944191628739</v>
      </c>
      <c r="E24" s="54">
        <f>SUM(D6:D24)</f>
        <v>89.167125068760285</v>
      </c>
      <c r="G24" s="48">
        <f t="shared" si="3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4"/>
        <v>0</v>
      </c>
      <c r="T24" s="48">
        <f t="shared" si="5"/>
        <v>1</v>
      </c>
      <c r="U24" s="47" t="e">
        <f t="shared" si="6"/>
        <v>#DIV/0!</v>
      </c>
      <c r="V24" s="46" t="e">
        <f t="shared" si="7"/>
        <v>#DIV/0!</v>
      </c>
      <c r="W24" s="45" t="e">
        <f t="shared" si="8"/>
        <v>#DIV/0!</v>
      </c>
      <c r="X24" s="46" t="e">
        <f t="shared" si="9"/>
        <v>#DIV/0!</v>
      </c>
      <c r="Y24" s="46" t="e">
        <f t="shared" si="10"/>
        <v>#DIV/0!</v>
      </c>
      <c r="Z24" s="46" t="e">
        <f t="shared" si="11"/>
        <v>#DIV/0!</v>
      </c>
      <c r="AA24" s="46" t="e">
        <f t="shared" si="12"/>
        <v>#DIV/0!</v>
      </c>
      <c r="AB24" s="45" t="e">
        <f t="shared" si="13"/>
        <v>#DIV/0!</v>
      </c>
      <c r="AC24" s="49" t="e">
        <f t="shared" si="14"/>
        <v>#DIV/0!</v>
      </c>
      <c r="AE24" s="48">
        <f t="shared" si="15"/>
        <v>1</v>
      </c>
      <c r="AF24" s="47" t="e">
        <f t="shared" si="18"/>
        <v>#DIV/0!</v>
      </c>
      <c r="AG24" s="46" t="e">
        <f t="shared" si="18"/>
        <v>#DIV/0!</v>
      </c>
      <c r="AH24" s="45" t="e">
        <f t="shared" si="18"/>
        <v>#DIV/0!</v>
      </c>
      <c r="AI24" s="47" t="e">
        <f t="shared" si="18"/>
        <v>#DIV/0!</v>
      </c>
      <c r="AJ24" s="46" t="e">
        <f t="shared" si="18"/>
        <v>#DIV/0!</v>
      </c>
      <c r="AK24" s="46" t="e">
        <f t="shared" si="20"/>
        <v>#DIV/0!</v>
      </c>
      <c r="AL24" s="46" t="e">
        <f t="shared" si="19"/>
        <v>#DIV/0!</v>
      </c>
      <c r="AM24" s="45" t="e">
        <f t="shared" si="19"/>
        <v>#DIV/0!</v>
      </c>
      <c r="AN24" s="44" t="e">
        <f t="shared" si="17"/>
        <v>#DIV/0!</v>
      </c>
    </row>
    <row r="25" spans="1:40" x14ac:dyDescent="0.35">
      <c r="A25" s="58" t="s">
        <v>52</v>
      </c>
      <c r="B25" s="57">
        <v>1.5</v>
      </c>
      <c r="C25" s="62">
        <v>8.4700000000000006</v>
      </c>
      <c r="D25" s="55">
        <f t="shared" si="2"/>
        <v>1.0589088363254486</v>
      </c>
      <c r="E25" s="54">
        <f>SUM(D6:D25)</f>
        <v>90.226033905085728</v>
      </c>
      <c r="G25" s="48">
        <f t="shared" si="3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4"/>
        <v>0</v>
      </c>
      <c r="T25" s="48">
        <f t="shared" si="5"/>
        <v>1.5</v>
      </c>
      <c r="U25" s="47" t="e">
        <f t="shared" si="6"/>
        <v>#DIV/0!</v>
      </c>
      <c r="V25" s="46" t="e">
        <f t="shared" si="7"/>
        <v>#DIV/0!</v>
      </c>
      <c r="W25" s="45" t="e">
        <f t="shared" si="8"/>
        <v>#DIV/0!</v>
      </c>
      <c r="X25" s="46" t="e">
        <f t="shared" si="9"/>
        <v>#DIV/0!</v>
      </c>
      <c r="Y25" s="46" t="e">
        <f t="shared" si="10"/>
        <v>#DIV/0!</v>
      </c>
      <c r="Z25" s="46" t="e">
        <f t="shared" si="11"/>
        <v>#DIV/0!</v>
      </c>
      <c r="AA25" s="46" t="e">
        <f t="shared" si="12"/>
        <v>#DIV/0!</v>
      </c>
      <c r="AB25" s="45" t="e">
        <f t="shared" si="13"/>
        <v>#DIV/0!</v>
      </c>
      <c r="AC25" s="49" t="e">
        <f t="shared" si="14"/>
        <v>#DIV/0!</v>
      </c>
      <c r="AE25" s="48">
        <f t="shared" si="15"/>
        <v>1.5</v>
      </c>
      <c r="AF25" s="47" t="e">
        <f t="shared" si="18"/>
        <v>#DIV/0!</v>
      </c>
      <c r="AG25" s="46" t="e">
        <f t="shared" si="18"/>
        <v>#DIV/0!</v>
      </c>
      <c r="AH25" s="45" t="e">
        <f t="shared" si="18"/>
        <v>#DIV/0!</v>
      </c>
      <c r="AI25" s="47" t="e">
        <f t="shared" si="18"/>
        <v>#DIV/0!</v>
      </c>
      <c r="AJ25" s="46" t="e">
        <f t="shared" si="18"/>
        <v>#DIV/0!</v>
      </c>
      <c r="AK25" s="46" t="e">
        <f t="shared" si="20"/>
        <v>#DIV/0!</v>
      </c>
      <c r="AL25" s="46" t="e">
        <f t="shared" si="19"/>
        <v>#DIV/0!</v>
      </c>
      <c r="AM25" s="45" t="e">
        <f t="shared" si="19"/>
        <v>#DIV/0!</v>
      </c>
      <c r="AN25" s="44" t="e">
        <f t="shared" si="17"/>
        <v>#DIV/0!</v>
      </c>
    </row>
    <row r="26" spans="1:40" x14ac:dyDescent="0.35">
      <c r="A26" s="58" t="s">
        <v>51</v>
      </c>
      <c r="B26" s="57">
        <v>2</v>
      </c>
      <c r="C26" s="62">
        <v>5.95</v>
      </c>
      <c r="D26" s="55">
        <f t="shared" si="2"/>
        <v>0.74386157923688534</v>
      </c>
      <c r="E26" s="54">
        <f>SUM(D6:D26)</f>
        <v>90.96989548432262</v>
      </c>
      <c r="G26" s="48">
        <f t="shared" si="3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4"/>
        <v>0</v>
      </c>
      <c r="T26" s="48">
        <f t="shared" si="5"/>
        <v>2</v>
      </c>
      <c r="U26" s="47" t="e">
        <f t="shared" si="6"/>
        <v>#DIV/0!</v>
      </c>
      <c r="V26" s="46" t="e">
        <f t="shared" si="7"/>
        <v>#DIV/0!</v>
      </c>
      <c r="W26" s="45" t="e">
        <f t="shared" si="8"/>
        <v>#DIV/0!</v>
      </c>
      <c r="X26" s="46" t="e">
        <f t="shared" si="9"/>
        <v>#DIV/0!</v>
      </c>
      <c r="Y26" s="46" t="e">
        <f t="shared" si="10"/>
        <v>#DIV/0!</v>
      </c>
      <c r="Z26" s="46" t="e">
        <f t="shared" si="11"/>
        <v>#DIV/0!</v>
      </c>
      <c r="AA26" s="46" t="e">
        <f t="shared" si="12"/>
        <v>#DIV/0!</v>
      </c>
      <c r="AB26" s="45" t="e">
        <f t="shared" si="13"/>
        <v>#DIV/0!</v>
      </c>
      <c r="AC26" s="49" t="e">
        <f t="shared" si="14"/>
        <v>#DIV/0!</v>
      </c>
      <c r="AE26" s="48">
        <f t="shared" si="15"/>
        <v>2</v>
      </c>
      <c r="AF26" s="47" t="e">
        <f t="shared" si="18"/>
        <v>#DIV/0!</v>
      </c>
      <c r="AG26" s="46" t="e">
        <f t="shared" si="18"/>
        <v>#DIV/0!</v>
      </c>
      <c r="AH26" s="45" t="e">
        <f t="shared" si="18"/>
        <v>#DIV/0!</v>
      </c>
      <c r="AI26" s="47" t="e">
        <f t="shared" si="18"/>
        <v>#DIV/0!</v>
      </c>
      <c r="AJ26" s="46" t="e">
        <f t="shared" si="18"/>
        <v>#DIV/0!</v>
      </c>
      <c r="AK26" s="46" t="e">
        <f t="shared" si="20"/>
        <v>#DIV/0!</v>
      </c>
      <c r="AL26" s="46" t="e">
        <f t="shared" si="19"/>
        <v>#DIV/0!</v>
      </c>
      <c r="AM26" s="45" t="e">
        <f t="shared" si="19"/>
        <v>#DIV/0!</v>
      </c>
      <c r="AN26" s="44" t="e">
        <f t="shared" si="17"/>
        <v>#DIV/0!</v>
      </c>
    </row>
    <row r="27" spans="1:40" x14ac:dyDescent="0.35">
      <c r="A27" s="58" t="s">
        <v>50</v>
      </c>
      <c r="B27" s="57">
        <v>2.5</v>
      </c>
      <c r="C27" s="62">
        <v>4.63</v>
      </c>
      <c r="D27" s="55">
        <f t="shared" si="2"/>
        <v>0.57883682552382842</v>
      </c>
      <c r="E27" s="54">
        <f>SUM(D7:D27)</f>
        <v>91.548732309846443</v>
      </c>
      <c r="G27" s="48">
        <f t="shared" si="3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4"/>
        <v>0</v>
      </c>
      <c r="T27" s="48">
        <f t="shared" si="5"/>
        <v>2.5</v>
      </c>
      <c r="U27" s="47" t="e">
        <f t="shared" si="6"/>
        <v>#DIV/0!</v>
      </c>
      <c r="V27" s="46" t="e">
        <f t="shared" si="7"/>
        <v>#DIV/0!</v>
      </c>
      <c r="W27" s="45" t="e">
        <f t="shared" si="8"/>
        <v>#DIV/0!</v>
      </c>
      <c r="X27" s="46" t="e">
        <f t="shared" si="9"/>
        <v>#DIV/0!</v>
      </c>
      <c r="Y27" s="46" t="e">
        <f t="shared" si="10"/>
        <v>#DIV/0!</v>
      </c>
      <c r="Z27" s="46" t="e">
        <f t="shared" si="11"/>
        <v>#DIV/0!</v>
      </c>
      <c r="AA27" s="46" t="e">
        <f t="shared" si="12"/>
        <v>#DIV/0!</v>
      </c>
      <c r="AB27" s="45" t="e">
        <f t="shared" si="13"/>
        <v>#DIV/0!</v>
      </c>
      <c r="AC27" s="49" t="e">
        <f t="shared" si="14"/>
        <v>#DIV/0!</v>
      </c>
      <c r="AE27" s="48">
        <f t="shared" si="15"/>
        <v>2.5</v>
      </c>
      <c r="AF27" s="47" t="e">
        <f t="shared" si="18"/>
        <v>#DIV/0!</v>
      </c>
      <c r="AG27" s="46" t="e">
        <f t="shared" si="18"/>
        <v>#DIV/0!</v>
      </c>
      <c r="AH27" s="45" t="e">
        <f t="shared" si="18"/>
        <v>#DIV/0!</v>
      </c>
      <c r="AI27" s="47" t="e">
        <f t="shared" si="18"/>
        <v>#DIV/0!</v>
      </c>
      <c r="AJ27" s="46" t="e">
        <f t="shared" si="18"/>
        <v>#DIV/0!</v>
      </c>
      <c r="AK27" s="46" t="e">
        <f t="shared" si="20"/>
        <v>#DIV/0!</v>
      </c>
      <c r="AL27" s="46" t="e">
        <f t="shared" si="19"/>
        <v>#DIV/0!</v>
      </c>
      <c r="AM27" s="45" t="e">
        <f t="shared" si="19"/>
        <v>#DIV/0!</v>
      </c>
      <c r="AN27" s="44" t="e">
        <f t="shared" si="17"/>
        <v>#DIV/0!</v>
      </c>
    </row>
    <row r="28" spans="1:40" x14ac:dyDescent="0.35">
      <c r="A28" s="58" t="s">
        <v>49</v>
      </c>
      <c r="B28" s="57">
        <v>3</v>
      </c>
      <c r="C28" s="56">
        <v>4.87</v>
      </c>
      <c r="D28" s="55">
        <f t="shared" si="2"/>
        <v>0.60884132619892961</v>
      </c>
      <c r="E28" s="54">
        <f>SUM(D7:D28)</f>
        <v>92.15757363604537</v>
      </c>
      <c r="G28" s="48">
        <f t="shared" si="3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4"/>
        <v>0</v>
      </c>
      <c r="T28" s="48">
        <f t="shared" si="5"/>
        <v>3</v>
      </c>
      <c r="U28" s="47" t="e">
        <f t="shared" si="6"/>
        <v>#DIV/0!</v>
      </c>
      <c r="V28" s="46" t="e">
        <f t="shared" si="7"/>
        <v>#DIV/0!</v>
      </c>
      <c r="W28" s="45" t="e">
        <f t="shared" si="8"/>
        <v>#DIV/0!</v>
      </c>
      <c r="X28" s="46" t="e">
        <f t="shared" si="9"/>
        <v>#DIV/0!</v>
      </c>
      <c r="Y28" s="46" t="e">
        <f t="shared" si="10"/>
        <v>#DIV/0!</v>
      </c>
      <c r="Z28" s="46" t="e">
        <f t="shared" si="11"/>
        <v>#DIV/0!</v>
      </c>
      <c r="AA28" s="46" t="e">
        <f t="shared" si="12"/>
        <v>#DIV/0!</v>
      </c>
      <c r="AB28" s="45" t="e">
        <f t="shared" si="13"/>
        <v>#DIV/0!</v>
      </c>
      <c r="AC28" s="49" t="e">
        <f t="shared" si="14"/>
        <v>#DIV/0!</v>
      </c>
      <c r="AE28" s="48">
        <f t="shared" si="15"/>
        <v>3</v>
      </c>
      <c r="AF28" s="47" t="e">
        <f t="shared" si="18"/>
        <v>#DIV/0!</v>
      </c>
      <c r="AG28" s="46" t="e">
        <f t="shared" si="18"/>
        <v>#DIV/0!</v>
      </c>
      <c r="AH28" s="45" t="e">
        <f t="shared" si="18"/>
        <v>#DIV/0!</v>
      </c>
      <c r="AI28" s="47" t="e">
        <f t="shared" si="18"/>
        <v>#DIV/0!</v>
      </c>
      <c r="AJ28" s="46" t="e">
        <f t="shared" si="18"/>
        <v>#DIV/0!</v>
      </c>
      <c r="AK28" s="46" t="e">
        <f t="shared" si="20"/>
        <v>#DIV/0!</v>
      </c>
      <c r="AL28" s="46" t="e">
        <f t="shared" si="19"/>
        <v>#DIV/0!</v>
      </c>
      <c r="AM28" s="45" t="e">
        <f t="shared" si="19"/>
        <v>#DIV/0!</v>
      </c>
      <c r="AN28" s="44" t="e">
        <f t="shared" si="17"/>
        <v>#DIV/0!</v>
      </c>
    </row>
    <row r="29" spans="1:40" x14ac:dyDescent="0.35">
      <c r="A29" s="58" t="s">
        <v>48</v>
      </c>
      <c r="B29" s="57">
        <v>3.5</v>
      </c>
      <c r="C29" s="56">
        <v>12.72</v>
      </c>
      <c r="D29" s="55">
        <f t="shared" si="2"/>
        <v>1.5902385357803666</v>
      </c>
      <c r="E29" s="54">
        <f>SUM(D7:D29)</f>
        <v>93.747812171825743</v>
      </c>
      <c r="G29" s="48">
        <f t="shared" si="3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59">
        <v>0</v>
      </c>
      <c r="P29" s="50">
        <f t="shared" si="4"/>
        <v>0</v>
      </c>
      <c r="T29" s="48">
        <f t="shared" si="5"/>
        <v>3.5</v>
      </c>
      <c r="U29" s="47" t="e">
        <f t="shared" si="6"/>
        <v>#DIV/0!</v>
      </c>
      <c r="V29" s="46" t="e">
        <f t="shared" si="7"/>
        <v>#DIV/0!</v>
      </c>
      <c r="W29" s="45" t="e">
        <f t="shared" si="8"/>
        <v>#DIV/0!</v>
      </c>
      <c r="X29" s="46" t="e">
        <f t="shared" si="9"/>
        <v>#DIV/0!</v>
      </c>
      <c r="Y29" s="46" t="e">
        <f t="shared" si="10"/>
        <v>#DIV/0!</v>
      </c>
      <c r="Z29" s="46" t="e">
        <f t="shared" si="11"/>
        <v>#DIV/0!</v>
      </c>
      <c r="AA29" s="46" t="e">
        <f t="shared" si="12"/>
        <v>#DIV/0!</v>
      </c>
      <c r="AB29" s="45" t="e">
        <f t="shared" si="13"/>
        <v>#DIV/0!</v>
      </c>
      <c r="AC29" s="49" t="e">
        <f t="shared" si="14"/>
        <v>#DIV/0!</v>
      </c>
      <c r="AE29" s="48">
        <f t="shared" si="15"/>
        <v>3.5</v>
      </c>
      <c r="AF29" s="47" t="e">
        <f t="shared" si="18"/>
        <v>#DIV/0!</v>
      </c>
      <c r="AG29" s="46" t="e">
        <f t="shared" si="18"/>
        <v>#DIV/0!</v>
      </c>
      <c r="AH29" s="45" t="e">
        <f t="shared" si="18"/>
        <v>#DIV/0!</v>
      </c>
      <c r="AI29" s="47" t="e">
        <f t="shared" si="18"/>
        <v>#DIV/0!</v>
      </c>
      <c r="AJ29" s="46" t="e">
        <f t="shared" si="18"/>
        <v>#DIV/0!</v>
      </c>
      <c r="AK29" s="46" t="e">
        <f t="shared" si="20"/>
        <v>#DIV/0!</v>
      </c>
      <c r="AL29" s="46" t="e">
        <f t="shared" si="19"/>
        <v>#DIV/0!</v>
      </c>
      <c r="AM29" s="45" t="e">
        <f t="shared" si="19"/>
        <v>#DIV/0!</v>
      </c>
      <c r="AN29" s="44" t="e">
        <f t="shared" si="17"/>
        <v>#DIV/0!</v>
      </c>
    </row>
    <row r="30" spans="1:40" x14ac:dyDescent="0.35">
      <c r="A30" s="58" t="s">
        <v>47</v>
      </c>
      <c r="B30" s="57">
        <v>4</v>
      </c>
      <c r="C30" s="56">
        <v>21.74</v>
      </c>
      <c r="D30" s="55">
        <f t="shared" si="2"/>
        <v>2.7179076861529219</v>
      </c>
      <c r="E30" s="54">
        <f>SUM(D7:D30)</f>
        <v>96.465719857978669</v>
      </c>
      <c r="G30" s="48">
        <f t="shared" si="3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59">
        <v>0</v>
      </c>
      <c r="P30" s="50">
        <f t="shared" si="4"/>
        <v>0</v>
      </c>
      <c r="T30" s="48">
        <f t="shared" si="5"/>
        <v>4</v>
      </c>
      <c r="U30" s="47" t="e">
        <f t="shared" si="6"/>
        <v>#DIV/0!</v>
      </c>
      <c r="V30" s="46" t="e">
        <f t="shared" si="7"/>
        <v>#DIV/0!</v>
      </c>
      <c r="W30" s="45" t="e">
        <f t="shared" si="8"/>
        <v>#DIV/0!</v>
      </c>
      <c r="X30" s="46" t="e">
        <f t="shared" si="9"/>
        <v>#DIV/0!</v>
      </c>
      <c r="Y30" s="46" t="e">
        <f t="shared" si="10"/>
        <v>#DIV/0!</v>
      </c>
      <c r="Z30" s="46" t="e">
        <f t="shared" si="11"/>
        <v>#DIV/0!</v>
      </c>
      <c r="AA30" s="46" t="e">
        <f t="shared" si="12"/>
        <v>#DIV/0!</v>
      </c>
      <c r="AB30" s="45" t="e">
        <f t="shared" si="13"/>
        <v>#DIV/0!</v>
      </c>
      <c r="AC30" s="49" t="e">
        <f t="shared" si="14"/>
        <v>#DIV/0!</v>
      </c>
      <c r="AE30" s="48">
        <f t="shared" si="15"/>
        <v>4</v>
      </c>
      <c r="AF30" s="47" t="e">
        <f t="shared" si="18"/>
        <v>#DIV/0!</v>
      </c>
      <c r="AG30" s="46" t="e">
        <f t="shared" si="18"/>
        <v>#DIV/0!</v>
      </c>
      <c r="AH30" s="45" t="e">
        <f t="shared" si="18"/>
        <v>#DIV/0!</v>
      </c>
      <c r="AI30" s="47" t="e">
        <f t="shared" si="18"/>
        <v>#DIV/0!</v>
      </c>
      <c r="AJ30" s="46" t="e">
        <f t="shared" si="18"/>
        <v>#DIV/0!</v>
      </c>
      <c r="AK30" s="46" t="e">
        <f t="shared" si="20"/>
        <v>#DIV/0!</v>
      </c>
      <c r="AL30" s="46" t="e">
        <f t="shared" si="19"/>
        <v>#DIV/0!</v>
      </c>
      <c r="AM30" s="45" t="e">
        <f t="shared" si="19"/>
        <v>#DIV/0!</v>
      </c>
      <c r="AN30" s="44" t="e">
        <f t="shared" si="17"/>
        <v>#DIV/0!</v>
      </c>
    </row>
    <row r="31" spans="1:40" x14ac:dyDescent="0.35">
      <c r="A31" s="58" t="s">
        <v>46</v>
      </c>
      <c r="B31" s="57">
        <v>4.5</v>
      </c>
      <c r="C31" s="56">
        <v>28.27</v>
      </c>
      <c r="D31" s="55">
        <f t="shared" si="2"/>
        <v>3.5342801420213026</v>
      </c>
      <c r="E31" s="54">
        <f>SUM(D7:D31)</f>
        <v>99.999999999999972</v>
      </c>
      <c r="G31" s="48">
        <f t="shared" si="3"/>
        <v>4.5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59">
        <v>0</v>
      </c>
      <c r="P31" s="50">
        <f t="shared" si="4"/>
        <v>0</v>
      </c>
      <c r="T31" s="48">
        <f t="shared" si="5"/>
        <v>4.5</v>
      </c>
      <c r="U31" s="47" t="e">
        <f t="shared" si="6"/>
        <v>#DIV/0!</v>
      </c>
      <c r="V31" s="46" t="e">
        <f t="shared" si="7"/>
        <v>#DIV/0!</v>
      </c>
      <c r="W31" s="45" t="e">
        <f t="shared" si="8"/>
        <v>#DIV/0!</v>
      </c>
      <c r="X31" s="46" t="e">
        <f t="shared" si="9"/>
        <v>#DIV/0!</v>
      </c>
      <c r="Y31" s="46" t="e">
        <f t="shared" si="10"/>
        <v>#DIV/0!</v>
      </c>
      <c r="Z31" s="46" t="e">
        <f t="shared" si="11"/>
        <v>#DIV/0!</v>
      </c>
      <c r="AA31" s="46" t="e">
        <f t="shared" si="12"/>
        <v>#DIV/0!</v>
      </c>
      <c r="AB31" s="45" t="e">
        <f t="shared" si="13"/>
        <v>#DIV/0!</v>
      </c>
      <c r="AC31" s="49" t="e">
        <f t="shared" si="14"/>
        <v>#DIV/0!</v>
      </c>
      <c r="AE31" s="48">
        <f t="shared" si="15"/>
        <v>4.5</v>
      </c>
      <c r="AF31" s="47" t="e">
        <f t="shared" si="18"/>
        <v>#DIV/0!</v>
      </c>
      <c r="AG31" s="46" t="e">
        <f t="shared" si="18"/>
        <v>#DIV/0!</v>
      </c>
      <c r="AH31" s="45" t="e">
        <f t="shared" si="18"/>
        <v>#DIV/0!</v>
      </c>
      <c r="AI31" s="47" t="e">
        <f t="shared" si="18"/>
        <v>#DIV/0!</v>
      </c>
      <c r="AJ31" s="46" t="e">
        <f t="shared" si="18"/>
        <v>#DIV/0!</v>
      </c>
      <c r="AK31" s="46" t="e">
        <f t="shared" si="20"/>
        <v>#DIV/0!</v>
      </c>
      <c r="AL31" s="46" t="e">
        <f t="shared" si="19"/>
        <v>#DIV/0!</v>
      </c>
      <c r="AM31" s="45" t="e">
        <f t="shared" si="19"/>
        <v>#DIV/0!</v>
      </c>
      <c r="AN31" s="44" t="e">
        <f t="shared" si="17"/>
        <v>#DIV/0!</v>
      </c>
    </row>
    <row r="32" spans="1:40" x14ac:dyDescent="0.35">
      <c r="A32" s="58" t="s">
        <v>45</v>
      </c>
      <c r="B32" s="57">
        <v>5</v>
      </c>
      <c r="C32" s="56">
        <v>0</v>
      </c>
      <c r="D32" s="55">
        <f t="shared" si="2"/>
        <v>0</v>
      </c>
      <c r="E32" s="54">
        <f>SUM(D7:D32)</f>
        <v>99.999999999999972</v>
      </c>
      <c r="G32" s="48">
        <f t="shared" si="3"/>
        <v>5</v>
      </c>
      <c r="H32" s="53">
        <v>0</v>
      </c>
      <c r="I32" s="52">
        <v>0</v>
      </c>
      <c r="J32" s="51">
        <v>0</v>
      </c>
      <c r="K32" s="52">
        <v>0</v>
      </c>
      <c r="L32" s="52">
        <v>0</v>
      </c>
      <c r="M32" s="52">
        <v>0</v>
      </c>
      <c r="N32" s="52">
        <v>0</v>
      </c>
      <c r="O32" s="51">
        <v>0</v>
      </c>
      <c r="P32" s="50">
        <f t="shared" si="4"/>
        <v>0</v>
      </c>
      <c r="T32" s="48">
        <f t="shared" si="5"/>
        <v>5</v>
      </c>
      <c r="U32" s="47" t="e">
        <f t="shared" si="6"/>
        <v>#DIV/0!</v>
      </c>
      <c r="V32" s="46" t="e">
        <f t="shared" si="7"/>
        <v>#DIV/0!</v>
      </c>
      <c r="W32" s="45" t="e">
        <f t="shared" si="8"/>
        <v>#DIV/0!</v>
      </c>
      <c r="X32" s="46" t="e">
        <f t="shared" si="9"/>
        <v>#DIV/0!</v>
      </c>
      <c r="Y32" s="46" t="e">
        <f t="shared" si="10"/>
        <v>#DIV/0!</v>
      </c>
      <c r="Z32" s="46" t="e">
        <f t="shared" si="11"/>
        <v>#DIV/0!</v>
      </c>
      <c r="AA32" s="46" t="e">
        <f t="shared" si="12"/>
        <v>#DIV/0!</v>
      </c>
      <c r="AB32" s="45" t="e">
        <f t="shared" si="13"/>
        <v>#DIV/0!</v>
      </c>
      <c r="AC32" s="49" t="e">
        <f t="shared" si="14"/>
        <v>#DIV/0!</v>
      </c>
      <c r="AE32" s="48">
        <f t="shared" si="15"/>
        <v>5</v>
      </c>
      <c r="AF32" s="47" t="e">
        <f t="shared" si="18"/>
        <v>#DIV/0!</v>
      </c>
      <c r="AG32" s="46" t="e">
        <f t="shared" si="18"/>
        <v>#DIV/0!</v>
      </c>
      <c r="AH32" s="45" t="e">
        <f t="shared" si="18"/>
        <v>#DIV/0!</v>
      </c>
      <c r="AI32" s="47" t="e">
        <f t="shared" si="18"/>
        <v>#DIV/0!</v>
      </c>
      <c r="AJ32" s="46" t="e">
        <f t="shared" si="18"/>
        <v>#DIV/0!</v>
      </c>
      <c r="AK32" s="46" t="e">
        <f t="shared" si="20"/>
        <v>#DIV/0!</v>
      </c>
      <c r="AL32" s="46" t="e">
        <f t="shared" si="19"/>
        <v>#DIV/0!</v>
      </c>
      <c r="AM32" s="45" t="e">
        <f t="shared" si="19"/>
        <v>#DIV/0!</v>
      </c>
      <c r="AN32" s="44" t="e">
        <f t="shared" si="17"/>
        <v>#DIV/0!</v>
      </c>
    </row>
    <row r="33" spans="1:40" ht="15" thickBot="1" x14ac:dyDescent="0.4">
      <c r="A33" s="43" t="s">
        <v>44</v>
      </c>
      <c r="B33" s="42" t="s">
        <v>43</v>
      </c>
      <c r="C33" s="41">
        <v>0</v>
      </c>
      <c r="D33" s="40">
        <f t="shared" si="2"/>
        <v>0</v>
      </c>
      <c r="E33" s="39">
        <f>SUM(D7:D33)</f>
        <v>99.999999999999972</v>
      </c>
      <c r="G33" s="33" t="str">
        <f t="shared" si="3"/>
        <v>&gt;6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4"/>
        <v>0</v>
      </c>
      <c r="T33" s="33" t="str">
        <f t="shared" si="5"/>
        <v>&gt;6</v>
      </c>
      <c r="U33" s="32" t="e">
        <f t="shared" si="6"/>
        <v>#DIV/0!</v>
      </c>
      <c r="V33" s="31" t="e">
        <f t="shared" si="7"/>
        <v>#DIV/0!</v>
      </c>
      <c r="W33" s="30" t="e">
        <f t="shared" si="8"/>
        <v>#DIV/0!</v>
      </c>
      <c r="X33" s="31" t="e">
        <f t="shared" si="9"/>
        <v>#DIV/0!</v>
      </c>
      <c r="Y33" s="31" t="e">
        <f t="shared" si="10"/>
        <v>#DIV/0!</v>
      </c>
      <c r="Z33" s="31" t="e">
        <f t="shared" si="11"/>
        <v>#DIV/0!</v>
      </c>
      <c r="AA33" s="31" t="e">
        <f t="shared" si="12"/>
        <v>#DIV/0!</v>
      </c>
      <c r="AB33" s="30" t="e">
        <f t="shared" si="13"/>
        <v>#DIV/0!</v>
      </c>
      <c r="AC33" s="34" t="e">
        <f t="shared" si="14"/>
        <v>#DIV/0!</v>
      </c>
      <c r="AE33" s="33" t="str">
        <f t="shared" si="15"/>
        <v>&gt;6</v>
      </c>
      <c r="AF33" s="32" t="e">
        <f t="shared" si="18"/>
        <v>#DIV/0!</v>
      </c>
      <c r="AG33" s="31" t="e">
        <f t="shared" si="18"/>
        <v>#DIV/0!</v>
      </c>
      <c r="AH33" s="30" t="e">
        <f t="shared" si="18"/>
        <v>#DIV/0!</v>
      </c>
      <c r="AI33" s="32" t="e">
        <f t="shared" si="18"/>
        <v>#DIV/0!</v>
      </c>
      <c r="AJ33" s="31" t="e">
        <f t="shared" si="18"/>
        <v>#DIV/0!</v>
      </c>
      <c r="AK33" s="31" t="e">
        <f t="shared" si="20"/>
        <v>#DIV/0!</v>
      </c>
      <c r="AL33" s="31" t="e">
        <f t="shared" si="19"/>
        <v>#DIV/0!</v>
      </c>
      <c r="AM33" s="30" t="e">
        <f t="shared" si="19"/>
        <v>#DIV/0!</v>
      </c>
      <c r="AN33" s="29" t="e">
        <f t="shared" si="17"/>
        <v>#DIV/0!</v>
      </c>
    </row>
    <row r="34" spans="1:40" x14ac:dyDescent="0.35">
      <c r="G34" t="s">
        <v>114</v>
      </c>
      <c r="H34">
        <f>SUM(H7:H33)</f>
        <v>298.4256970591581</v>
      </c>
      <c r="I34">
        <f t="shared" ref="I34:O34" si="21">SUM(I7:I33)</f>
        <v>167.98164274030893</v>
      </c>
      <c r="J34">
        <f t="shared" si="21"/>
        <v>0</v>
      </c>
      <c r="K34">
        <f t="shared" si="21"/>
        <v>52.866163299107292</v>
      </c>
      <c r="L34">
        <f t="shared" si="21"/>
        <v>95.468558537982588</v>
      </c>
      <c r="M34">
        <f t="shared" si="21"/>
        <v>0</v>
      </c>
      <c r="N34">
        <f t="shared" si="21"/>
        <v>0</v>
      </c>
      <c r="O34">
        <f t="shared" si="21"/>
        <v>9.793836344314559E-2</v>
      </c>
      <c r="T34" s="28"/>
    </row>
    <row r="40" spans="1:40" x14ac:dyDescent="0.35">
      <c r="H40" s="27"/>
    </row>
    <row r="41" spans="1:40" x14ac:dyDescent="0.35">
      <c r="H41" s="27"/>
    </row>
    <row r="42" spans="1:40" x14ac:dyDescent="0.35">
      <c r="H42" s="27"/>
    </row>
    <row r="67" spans="1:5" x14ac:dyDescent="0.35">
      <c r="A67" s="5" t="s">
        <v>27</v>
      </c>
      <c r="B67" s="26"/>
      <c r="C67" s="2"/>
      <c r="D67" s="2"/>
    </row>
    <row r="68" spans="1:5" x14ac:dyDescent="0.35">
      <c r="A68" s="25" t="s">
        <v>42</v>
      </c>
      <c r="B68" s="25"/>
      <c r="C68" s="2"/>
      <c r="D68" s="2"/>
    </row>
    <row r="69" spans="1:5" x14ac:dyDescent="0.35">
      <c r="A69" s="24" t="s">
        <v>41</v>
      </c>
      <c r="B69" s="23">
        <v>5</v>
      </c>
      <c r="C69" s="18">
        <f t="shared" ref="C69:C75" si="22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-3.6507110147023378</v>
      </c>
      <c r="D69" s="2"/>
    </row>
    <row r="70" spans="1:5" x14ac:dyDescent="0.35">
      <c r="A70" s="24" t="s">
        <v>41</v>
      </c>
      <c r="B70" s="23">
        <v>16</v>
      </c>
      <c r="C70" s="18">
        <f t="shared" si="22"/>
        <v>-2.9891881349045102</v>
      </c>
      <c r="D70" s="2"/>
    </row>
    <row r="71" spans="1:5" x14ac:dyDescent="0.35">
      <c r="A71" s="24" t="s">
        <v>41</v>
      </c>
      <c r="B71" s="23">
        <v>25</v>
      </c>
      <c r="C71" s="18">
        <f t="shared" si="22"/>
        <v>-2.6966680211296219</v>
      </c>
      <c r="D71" s="2"/>
    </row>
    <row r="72" spans="1:5" x14ac:dyDescent="0.35">
      <c r="A72" s="24" t="s">
        <v>41</v>
      </c>
      <c r="B72" s="23">
        <v>50</v>
      </c>
      <c r="C72" s="18">
        <f t="shared" si="22"/>
        <v>-1.7995229007633582</v>
      </c>
      <c r="D72" s="2"/>
    </row>
    <row r="73" spans="1:5" x14ac:dyDescent="0.35">
      <c r="A73" s="24" t="s">
        <v>41</v>
      </c>
      <c r="B73" s="23">
        <v>75</v>
      </c>
      <c r="C73" s="18">
        <f t="shared" si="22"/>
        <v>-0.63483796296296136</v>
      </c>
      <c r="D73" s="2"/>
    </row>
    <row r="74" spans="1:5" x14ac:dyDescent="0.35">
      <c r="A74" s="24" t="s">
        <v>41</v>
      </c>
      <c r="B74" s="23">
        <v>84</v>
      </c>
      <c r="C74" s="18">
        <f t="shared" si="22"/>
        <v>8.3103448275866368E-2</v>
      </c>
      <c r="D74" s="2"/>
    </row>
    <row r="75" spans="1:5" x14ac:dyDescent="0.35">
      <c r="A75" s="24" t="s">
        <v>41</v>
      </c>
      <c r="B75" s="23">
        <v>95</v>
      </c>
      <c r="C75" s="18">
        <f t="shared" si="22"/>
        <v>3.7303587856485794</v>
      </c>
      <c r="D75" s="2"/>
    </row>
    <row r="76" spans="1:5" x14ac:dyDescent="0.35">
      <c r="A76" s="18"/>
      <c r="B76" s="22"/>
      <c r="C76" s="2"/>
      <c r="D76" s="2"/>
    </row>
    <row r="77" spans="1:5" x14ac:dyDescent="0.35">
      <c r="A77" s="21" t="s">
        <v>40</v>
      </c>
      <c r="B77">
        <f>SUM(C7:C10)/SUM(C7:C33)</f>
        <v>0</v>
      </c>
      <c r="D77" s="19" t="s">
        <v>7</v>
      </c>
      <c r="E77" s="18">
        <f>SUM($D$7:$D$20)</f>
        <v>68.689053358003676</v>
      </c>
    </row>
    <row r="78" spans="1:5" x14ac:dyDescent="0.35">
      <c r="A78" s="20" t="s">
        <v>39</v>
      </c>
      <c r="B78">
        <f>SUM(C11:C20)/SUM(C7:C33)</f>
        <v>0.68689053358003693</v>
      </c>
      <c r="D78" s="19" t="s">
        <v>6</v>
      </c>
      <c r="E78" s="18">
        <f>SUM($D$21:$D$30)</f>
        <v>27.776666499974993</v>
      </c>
    </row>
    <row r="79" spans="1:5" x14ac:dyDescent="0.35">
      <c r="A79" s="20" t="s">
        <v>38</v>
      </c>
      <c r="B79">
        <f>SUM(C21:C33)/SUM(C7:C33)</f>
        <v>0.31310946641996296</v>
      </c>
      <c r="D79" s="19" t="s">
        <v>5</v>
      </c>
      <c r="E79" s="18">
        <f>SUM($D$31:$D$33)</f>
        <v>3.5342801420213026</v>
      </c>
    </row>
    <row r="80" spans="1:5" x14ac:dyDescent="0.35">
      <c r="A80" s="11"/>
      <c r="B80" s="8"/>
      <c r="D80" s="2"/>
      <c r="E80" s="2"/>
    </row>
    <row r="81" spans="1:8" x14ac:dyDescent="0.35">
      <c r="A81" s="16" t="s">
        <v>4</v>
      </c>
      <c r="B81">
        <f>100*SUM(H7:J33)/SUM(P7:P33)</f>
        <v>75.858327337106715</v>
      </c>
      <c r="D81" s="16" t="s">
        <v>4</v>
      </c>
      <c r="E81">
        <f>100*SUM(H7:J33)/SUM(P7:P33)</f>
        <v>75.858327337106715</v>
      </c>
      <c r="G81" s="17" t="s">
        <v>2</v>
      </c>
      <c r="H81">
        <f>100*SUM(H7:H33)/(SUM(P7:P33)-SUM(M7:N33))</f>
        <v>48.537131133166035</v>
      </c>
    </row>
    <row r="82" spans="1:8" x14ac:dyDescent="0.35">
      <c r="A82" s="16" t="s">
        <v>0</v>
      </c>
      <c r="B82">
        <f>100*SUM(K7:L33)/SUM(P7:P33)</f>
        <v>24.125743581596815</v>
      </c>
      <c r="D82" s="16" t="s">
        <v>0</v>
      </c>
      <c r="E82">
        <f>100*SUM(K7:L33)/SUM(P7:P33)</f>
        <v>24.125743581596815</v>
      </c>
      <c r="G82" s="17" t="s">
        <v>1</v>
      </c>
      <c r="H82">
        <f>100*SUM(I7:J33)/(SUM(P7:P33)-SUM(M7:N33))</f>
        <v>27.321196203940687</v>
      </c>
    </row>
    <row r="83" spans="1:8" x14ac:dyDescent="0.35">
      <c r="A83" s="16" t="s">
        <v>3</v>
      </c>
      <c r="B83">
        <f>100*SUM(O7:O33)/SUM(P7:P33)</f>
        <v>1.5929081296458526E-2</v>
      </c>
      <c r="D83" s="16" t="s">
        <v>37</v>
      </c>
      <c r="E83">
        <f>100*SUM(M7:N33)/SUM(P7:P33)</f>
        <v>0</v>
      </c>
      <c r="G83" s="17" t="s">
        <v>0</v>
      </c>
      <c r="H83">
        <f>100*SUM(K7:L33)/(SUM(P7:P33)-SUM(M7:N33))</f>
        <v>24.125743581596815</v>
      </c>
    </row>
    <row r="85" spans="1:8" x14ac:dyDescent="0.35">
      <c r="A85" s="16" t="s">
        <v>36</v>
      </c>
      <c r="B85" s="2"/>
      <c r="C85" s="2"/>
      <c r="D85" s="13">
        <f>(C70+C74+C72)/3</f>
        <v>-1.5685358624640007</v>
      </c>
    </row>
    <row r="86" spans="1:8" x14ac:dyDescent="0.35">
      <c r="A86" s="14" t="s">
        <v>35</v>
      </c>
      <c r="B86" s="14"/>
      <c r="C86" s="14"/>
      <c r="D86" s="7">
        <f>C72</f>
        <v>-1.7995229007633582</v>
      </c>
    </row>
    <row r="87" spans="1:8" x14ac:dyDescent="0.35">
      <c r="A87" s="14" t="s">
        <v>34</v>
      </c>
      <c r="B87" s="14"/>
      <c r="C87" s="14"/>
      <c r="D87" s="7">
        <f>(C74-C70)/2</f>
        <v>1.5361457915901884</v>
      </c>
    </row>
    <row r="88" spans="1:8" x14ac:dyDescent="0.35">
      <c r="A88" s="15" t="s">
        <v>33</v>
      </c>
      <c r="B88" s="14"/>
      <c r="C88" s="14"/>
      <c r="D88" s="13">
        <f>(C74+C70-D86)/D87</f>
        <v>-0.72034945636233794</v>
      </c>
    </row>
    <row r="89" spans="1:8" x14ac:dyDescent="0.35">
      <c r="A89" s="3" t="s">
        <v>32</v>
      </c>
      <c r="B89" s="12"/>
      <c r="C89" s="11"/>
      <c r="D89" s="7">
        <f>((C74-C70)/4)+((C75-C69)/6.6)</f>
        <v>1.8864168049391725</v>
      </c>
    </row>
    <row r="90" spans="1:8" x14ac:dyDescent="0.35">
      <c r="A90" s="3" t="s">
        <v>31</v>
      </c>
      <c r="B90" s="10"/>
      <c r="C90" s="10"/>
      <c r="D90" s="7">
        <f>((C70+C74-(2*C72))/(2*(C74-C70)))+((C69+C75-(2*C72))/(2*(C75-C69)))</f>
        <v>0.36197379381237116</v>
      </c>
    </row>
    <row r="91" spans="1:8" x14ac:dyDescent="0.35">
      <c r="A91" s="3" t="s">
        <v>30</v>
      </c>
      <c r="B91" s="9"/>
      <c r="C91" s="8"/>
      <c r="D91" s="7">
        <f>(C74-C69)/(2.44*(C73-C71))</f>
        <v>0.74218135632870663</v>
      </c>
    </row>
    <row r="92" spans="1:8" x14ac:dyDescent="0.35">
      <c r="A92" s="6" t="s">
        <v>29</v>
      </c>
      <c r="B92" s="6"/>
      <c r="C92" s="5"/>
      <c r="D92" s="7">
        <f>(C70+C72+C74)/3</f>
        <v>-1.5685358624640005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-1.4530423433143218</v>
      </c>
    </row>
    <row r="95" spans="1:8" x14ac:dyDescent="0.35">
      <c r="A95" s="2" t="s">
        <v>9</v>
      </c>
      <c r="B95" s="2"/>
      <c r="C95" s="2"/>
      <c r="D95" s="1">
        <f>100-E23</f>
        <v>12.795669350402591</v>
      </c>
    </row>
    <row r="96" spans="1:8" x14ac:dyDescent="0.35">
      <c r="A96" s="2" t="s">
        <v>8</v>
      </c>
      <c r="B96" s="2"/>
      <c r="C96" s="2"/>
      <c r="D96" s="1">
        <f>100-E30</f>
        <v>3.5342801420213306</v>
      </c>
    </row>
    <row r="98" spans="1:3" x14ac:dyDescent="0.35">
      <c r="A98" t="s">
        <v>101</v>
      </c>
      <c r="C98" t="str">
        <f>IF(SUM(M7:N33)&gt;0,"Mixed","No Mixed")</f>
        <v>No Mixed</v>
      </c>
    </row>
    <row r="99" spans="1:3" x14ac:dyDescent="0.35">
      <c r="A99" t="s">
        <v>102</v>
      </c>
      <c r="C99" t="str">
        <f>IF(SUM(J7:J33)&gt;0,"Obsidian","No obsidian")</f>
        <v>No obsidian</v>
      </c>
    </row>
  </sheetData>
  <mergeCells count="9">
    <mergeCell ref="X3:AB3"/>
    <mergeCell ref="AF3:AH3"/>
    <mergeCell ref="AI3:AM3"/>
    <mergeCell ref="A2:C2"/>
    <mergeCell ref="D2:E2"/>
    <mergeCell ref="K2:O2"/>
    <mergeCell ref="H3:J3"/>
    <mergeCell ref="K3:O3"/>
    <mergeCell ref="U3:W3"/>
  </mergeCells>
  <pageMargins left="0.7" right="0.7" top="0.75" bottom="0.75" header="0.3" footer="0.3"/>
  <pageSetup paperSize="9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L99"/>
  <sheetViews>
    <sheetView zoomScale="63" zoomScaleNormal="100" workbookViewId="0">
      <selection activeCell="K2" sqref="K2:O2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14.1796875" bestFit="1" customWidth="1"/>
    <col min="18" max="18" width="14.1796875" bestFit="1" customWidth="1"/>
    <col min="23" max="23" width="11.453125" customWidth="1"/>
  </cols>
  <sheetData>
    <row r="1" spans="1:38" ht="15" thickBot="1" x14ac:dyDescent="0.4">
      <c r="A1" s="111"/>
      <c r="F1" s="110"/>
    </row>
    <row r="2" spans="1:38" ht="15" thickBot="1" x14ac:dyDescent="0.4">
      <c r="A2" s="157" t="s">
        <v>91</v>
      </c>
      <c r="B2" s="158"/>
      <c r="C2" s="158"/>
      <c r="D2" s="159" t="str">
        <f ca="1">RIGHT(CELL("nomfichier",A1),LEN(CELL("nomfichier",A1))-FIND("]",CELL("nomfichier",A1)))</f>
        <v>MAY190407_4</v>
      </c>
      <c r="E2" s="160"/>
      <c r="G2" s="109" t="s">
        <v>90</v>
      </c>
      <c r="H2" s="108" t="str">
        <f ca="1">D2</f>
        <v>MAY190407_4</v>
      </c>
      <c r="I2" s="108"/>
      <c r="J2" s="107"/>
      <c r="K2" s="161"/>
      <c r="L2" s="162"/>
      <c r="M2" s="162"/>
      <c r="N2" s="162"/>
      <c r="O2" s="163"/>
    </row>
    <row r="3" spans="1:38" ht="15" thickBot="1" x14ac:dyDescent="0.4">
      <c r="A3" s="106"/>
      <c r="B3" s="105"/>
      <c r="C3" s="105"/>
      <c r="D3" s="105"/>
      <c r="E3" s="104"/>
      <c r="G3" s="103"/>
      <c r="H3" s="154" t="s">
        <v>88</v>
      </c>
      <c r="I3" s="155"/>
      <c r="J3" s="156"/>
      <c r="K3" s="154" t="s">
        <v>87</v>
      </c>
      <c r="L3" s="155"/>
      <c r="M3" s="155"/>
      <c r="N3" s="155"/>
      <c r="O3" s="156"/>
      <c r="S3" s="154" t="s">
        <v>88</v>
      </c>
      <c r="T3" s="155"/>
      <c r="U3" s="156"/>
      <c r="V3" s="154" t="s">
        <v>87</v>
      </c>
      <c r="W3" s="155"/>
      <c r="X3" s="155"/>
      <c r="Y3" s="155"/>
      <c r="Z3" s="156"/>
      <c r="AD3" s="154" t="s">
        <v>88</v>
      </c>
      <c r="AE3" s="155"/>
      <c r="AF3" s="156"/>
      <c r="AG3" s="154" t="s">
        <v>87</v>
      </c>
      <c r="AH3" s="155"/>
      <c r="AI3" s="155"/>
      <c r="AJ3" s="155"/>
      <c r="AK3" s="156"/>
    </row>
    <row r="4" spans="1:38" ht="15" thickBot="1" x14ac:dyDescent="0.4">
      <c r="A4" s="102" t="s">
        <v>86</v>
      </c>
      <c r="B4" s="101">
        <f>SUM(C7:C33)</f>
        <v>778.2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77</v>
      </c>
      <c r="P4" s="94" t="s">
        <v>76</v>
      </c>
      <c r="R4" s="97" t="str">
        <f t="shared" ref="R4:Z4" si="0">G4</f>
        <v>Grain size (phi)</v>
      </c>
      <c r="S4" s="95" t="str">
        <f t="shared" si="0"/>
        <v>Pumices</v>
      </c>
      <c r="T4" s="95" t="str">
        <f t="shared" si="0"/>
        <v>Dense juveniles</v>
      </c>
      <c r="U4" s="95" t="str">
        <f t="shared" si="0"/>
        <v>Obsidian</v>
      </c>
      <c r="V4" s="96" t="str">
        <f t="shared" si="0"/>
        <v>Coral fragments</v>
      </c>
      <c r="W4" s="95" t="str">
        <f t="shared" si="0"/>
        <v>Mafic clasts</v>
      </c>
      <c r="X4" s="95" t="str">
        <f t="shared" si="0"/>
        <v>Aggregate</v>
      </c>
      <c r="Y4" s="95" t="str">
        <f t="shared" si="0"/>
        <v>Accretionnary lapilli</v>
      </c>
      <c r="Z4" s="94" t="str">
        <f t="shared" si="0"/>
        <v>Crystals</v>
      </c>
      <c r="AA4" s="94" t="s">
        <v>76</v>
      </c>
      <c r="AC4" s="97" t="str">
        <f t="shared" ref="AC4:AK4" si="1">R4</f>
        <v>Grain size (phi)</v>
      </c>
      <c r="AD4" s="95" t="str">
        <f t="shared" si="1"/>
        <v>Pumices</v>
      </c>
      <c r="AE4" s="95" t="str">
        <f t="shared" si="1"/>
        <v>Dense juveniles</v>
      </c>
      <c r="AF4" s="95" t="str">
        <f t="shared" si="1"/>
        <v>Obsidian</v>
      </c>
      <c r="AG4" s="96" t="str">
        <f t="shared" si="1"/>
        <v>Coral fragments</v>
      </c>
      <c r="AH4" s="95" t="str">
        <f t="shared" si="1"/>
        <v>Mafic clasts</v>
      </c>
      <c r="AI4" s="95" t="str">
        <f t="shared" si="1"/>
        <v>Aggregate</v>
      </c>
      <c r="AJ4" s="95" t="str">
        <f t="shared" si="1"/>
        <v>Accretionnary lapilli</v>
      </c>
      <c r="AK4" s="94" t="str">
        <f t="shared" si="1"/>
        <v>Crystals</v>
      </c>
      <c r="AL4" s="94" t="s">
        <v>76</v>
      </c>
    </row>
    <row r="5" spans="1:38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R5" s="77"/>
      <c r="S5" s="85"/>
      <c r="T5" s="84"/>
      <c r="U5" s="83"/>
      <c r="V5" s="84"/>
      <c r="W5" s="84"/>
      <c r="X5" s="84"/>
      <c r="Y5" s="84"/>
      <c r="Z5" s="83"/>
      <c r="AA5" s="82"/>
      <c r="AC5" s="77"/>
      <c r="AD5" s="85"/>
      <c r="AE5" s="84"/>
      <c r="AF5" s="83"/>
      <c r="AG5" s="85"/>
      <c r="AH5" s="84"/>
      <c r="AI5" s="84"/>
      <c r="AJ5" s="84"/>
      <c r="AK5" s="83"/>
      <c r="AL5" s="82"/>
    </row>
    <row r="6" spans="1:38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R6" s="77"/>
      <c r="S6" s="77"/>
      <c r="U6" s="76"/>
      <c r="Z6" s="76"/>
      <c r="AA6" s="49"/>
      <c r="AC6" s="77"/>
      <c r="AD6" s="77"/>
      <c r="AF6" s="76"/>
      <c r="AG6" s="77"/>
      <c r="AK6" s="76"/>
      <c r="AL6" s="49"/>
    </row>
    <row r="7" spans="1:38" x14ac:dyDescent="0.35">
      <c r="A7" s="75" t="s">
        <v>70</v>
      </c>
      <c r="B7" s="74">
        <v>-7.5</v>
      </c>
      <c r="C7" s="72">
        <v>0</v>
      </c>
      <c r="D7" s="55">
        <f t="shared" ref="D7:D33" si="2">(C7/SUM($C$7:$C$33))*100</f>
        <v>0</v>
      </c>
      <c r="E7" s="73">
        <v>0</v>
      </c>
      <c r="G7" s="48">
        <f t="shared" ref="G7:G33" si="3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4">SUM(H7:O7)</f>
        <v>0</v>
      </c>
      <c r="R7" s="48">
        <f t="shared" ref="R7:R33" si="5">G7</f>
        <v>-7.5</v>
      </c>
      <c r="S7" s="47" t="e">
        <f t="shared" ref="S7:Z33" si="6">100*H7/$P7</f>
        <v>#DIV/0!</v>
      </c>
      <c r="T7" s="46" t="e">
        <f t="shared" si="6"/>
        <v>#DIV/0!</v>
      </c>
      <c r="U7" s="45" t="e">
        <f t="shared" si="6"/>
        <v>#DIV/0!</v>
      </c>
      <c r="V7" s="46" t="e">
        <f t="shared" si="6"/>
        <v>#DIV/0!</v>
      </c>
      <c r="W7" s="46" t="e">
        <f t="shared" si="6"/>
        <v>#DIV/0!</v>
      </c>
      <c r="X7" s="46" t="e">
        <f t="shared" si="6"/>
        <v>#DIV/0!</v>
      </c>
      <c r="Y7" s="46" t="e">
        <f t="shared" si="6"/>
        <v>#DIV/0!</v>
      </c>
      <c r="Z7" s="45" t="e">
        <f t="shared" si="6"/>
        <v>#DIV/0!</v>
      </c>
      <c r="AA7" s="49" t="e">
        <f t="shared" ref="AA7:AA33" si="7">SUM(S7:Z7)</f>
        <v>#DIV/0!</v>
      </c>
      <c r="AC7" s="48">
        <f t="shared" ref="AC7:AC33" si="8">R7</f>
        <v>-7.5</v>
      </c>
      <c r="AD7" s="47" t="e">
        <f t="shared" ref="AD7:AK14" si="9">S7*100/(SUM($S7:$W7)+SUM($Y7:$Z7))</f>
        <v>#DIV/0!</v>
      </c>
      <c r="AE7" s="46" t="e">
        <f t="shared" si="9"/>
        <v>#DIV/0!</v>
      </c>
      <c r="AF7" s="45" t="e">
        <f t="shared" si="9"/>
        <v>#DIV/0!</v>
      </c>
      <c r="AG7" s="47" t="e">
        <f t="shared" si="9"/>
        <v>#DIV/0!</v>
      </c>
      <c r="AH7" s="46" t="e">
        <f t="shared" si="9"/>
        <v>#DIV/0!</v>
      </c>
      <c r="AI7" s="46" t="e">
        <f t="shared" si="9"/>
        <v>#DIV/0!</v>
      </c>
      <c r="AJ7" s="46" t="e">
        <f t="shared" si="9"/>
        <v>#DIV/0!</v>
      </c>
      <c r="AK7" s="45" t="e">
        <f t="shared" si="9"/>
        <v>#DIV/0!</v>
      </c>
      <c r="AL7" s="44" t="e">
        <f t="shared" ref="AL7:AL33" si="10">SUM(AD7:AK7)</f>
        <v>#DIV/0!</v>
      </c>
    </row>
    <row r="8" spans="1:38" x14ac:dyDescent="0.35">
      <c r="A8" s="58" t="s">
        <v>69</v>
      </c>
      <c r="B8" s="57">
        <v>-7</v>
      </c>
      <c r="C8" s="72">
        <v>0</v>
      </c>
      <c r="D8" s="55">
        <f t="shared" si="2"/>
        <v>0</v>
      </c>
      <c r="E8" s="73">
        <f>SUM(D6,D8)</f>
        <v>0</v>
      </c>
      <c r="G8" s="48">
        <f t="shared" si="3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4"/>
        <v>0</v>
      </c>
      <c r="R8" s="48">
        <f t="shared" si="5"/>
        <v>-7</v>
      </c>
      <c r="S8" s="47" t="e">
        <f t="shared" si="6"/>
        <v>#DIV/0!</v>
      </c>
      <c r="T8" s="46" t="e">
        <f t="shared" si="6"/>
        <v>#DIV/0!</v>
      </c>
      <c r="U8" s="45" t="e">
        <f t="shared" si="6"/>
        <v>#DIV/0!</v>
      </c>
      <c r="V8" s="46" t="e">
        <f t="shared" si="6"/>
        <v>#DIV/0!</v>
      </c>
      <c r="W8" s="46" t="e">
        <f t="shared" si="6"/>
        <v>#DIV/0!</v>
      </c>
      <c r="X8" s="46" t="e">
        <f t="shared" si="6"/>
        <v>#DIV/0!</v>
      </c>
      <c r="Y8" s="46" t="e">
        <f t="shared" si="6"/>
        <v>#DIV/0!</v>
      </c>
      <c r="Z8" s="45" t="e">
        <f t="shared" si="6"/>
        <v>#DIV/0!</v>
      </c>
      <c r="AA8" s="49" t="e">
        <f t="shared" si="7"/>
        <v>#DIV/0!</v>
      </c>
      <c r="AC8" s="48">
        <f t="shared" si="8"/>
        <v>-7</v>
      </c>
      <c r="AD8" s="47" t="e">
        <f t="shared" si="9"/>
        <v>#DIV/0!</v>
      </c>
      <c r="AE8" s="46" t="e">
        <f t="shared" si="9"/>
        <v>#DIV/0!</v>
      </c>
      <c r="AF8" s="45" t="e">
        <f t="shared" si="9"/>
        <v>#DIV/0!</v>
      </c>
      <c r="AG8" s="47" t="e">
        <f t="shared" si="9"/>
        <v>#DIV/0!</v>
      </c>
      <c r="AH8" s="46" t="e">
        <f t="shared" si="9"/>
        <v>#DIV/0!</v>
      </c>
      <c r="AI8" s="46" t="e">
        <f t="shared" si="9"/>
        <v>#DIV/0!</v>
      </c>
      <c r="AJ8" s="46" t="e">
        <f t="shared" si="9"/>
        <v>#DIV/0!</v>
      </c>
      <c r="AK8" s="45" t="e">
        <f t="shared" si="9"/>
        <v>#DIV/0!</v>
      </c>
      <c r="AL8" s="44" t="e">
        <f t="shared" si="10"/>
        <v>#DIV/0!</v>
      </c>
    </row>
    <row r="9" spans="1:38" x14ac:dyDescent="0.35">
      <c r="A9" s="58" t="s">
        <v>68</v>
      </c>
      <c r="B9" s="57">
        <v>-6.5</v>
      </c>
      <c r="C9" s="72">
        <v>0</v>
      </c>
      <c r="D9" s="55">
        <f t="shared" si="2"/>
        <v>0</v>
      </c>
      <c r="E9" s="73">
        <f>SUM(D6:D9)</f>
        <v>0</v>
      </c>
      <c r="G9" s="48">
        <f t="shared" si="3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4"/>
        <v>0</v>
      </c>
      <c r="R9" s="48">
        <f t="shared" si="5"/>
        <v>-6.5</v>
      </c>
      <c r="S9" s="47" t="e">
        <f t="shared" si="6"/>
        <v>#DIV/0!</v>
      </c>
      <c r="T9" s="46" t="e">
        <f t="shared" si="6"/>
        <v>#DIV/0!</v>
      </c>
      <c r="U9" s="45" t="e">
        <f t="shared" si="6"/>
        <v>#DIV/0!</v>
      </c>
      <c r="V9" s="46" t="e">
        <f t="shared" si="6"/>
        <v>#DIV/0!</v>
      </c>
      <c r="W9" s="46" t="e">
        <f t="shared" si="6"/>
        <v>#DIV/0!</v>
      </c>
      <c r="X9" s="46" t="e">
        <f t="shared" si="6"/>
        <v>#DIV/0!</v>
      </c>
      <c r="Y9" s="46" t="e">
        <f t="shared" si="6"/>
        <v>#DIV/0!</v>
      </c>
      <c r="Z9" s="45" t="e">
        <f t="shared" si="6"/>
        <v>#DIV/0!</v>
      </c>
      <c r="AA9" s="49" t="e">
        <f t="shared" si="7"/>
        <v>#DIV/0!</v>
      </c>
      <c r="AC9" s="48">
        <f t="shared" si="8"/>
        <v>-6.5</v>
      </c>
      <c r="AD9" s="47" t="e">
        <f t="shared" si="9"/>
        <v>#DIV/0!</v>
      </c>
      <c r="AE9" s="46" t="e">
        <f t="shared" si="9"/>
        <v>#DIV/0!</v>
      </c>
      <c r="AF9" s="45" t="e">
        <f t="shared" si="9"/>
        <v>#DIV/0!</v>
      </c>
      <c r="AG9" s="47" t="e">
        <f t="shared" si="9"/>
        <v>#DIV/0!</v>
      </c>
      <c r="AH9" s="46" t="e">
        <f t="shared" si="9"/>
        <v>#DIV/0!</v>
      </c>
      <c r="AI9" s="46" t="e">
        <f t="shared" si="9"/>
        <v>#DIV/0!</v>
      </c>
      <c r="AJ9" s="46" t="e">
        <f t="shared" si="9"/>
        <v>#DIV/0!</v>
      </c>
      <c r="AK9" s="45" t="e">
        <f t="shared" si="9"/>
        <v>#DIV/0!</v>
      </c>
      <c r="AL9" s="44" t="e">
        <f t="shared" si="10"/>
        <v>#DIV/0!</v>
      </c>
    </row>
    <row r="10" spans="1:38" x14ac:dyDescent="0.35">
      <c r="A10" s="58" t="s">
        <v>67</v>
      </c>
      <c r="B10" s="57">
        <v>-6</v>
      </c>
      <c r="C10" s="72">
        <v>0</v>
      </c>
      <c r="D10" s="55">
        <f t="shared" si="2"/>
        <v>0</v>
      </c>
      <c r="E10" s="54">
        <f>SUM(D6:D10)</f>
        <v>0</v>
      </c>
      <c r="G10" s="48">
        <f t="shared" si="3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4"/>
        <v>0</v>
      </c>
      <c r="R10" s="48">
        <f t="shared" si="5"/>
        <v>-6</v>
      </c>
      <c r="S10" s="47" t="e">
        <f t="shared" si="6"/>
        <v>#DIV/0!</v>
      </c>
      <c r="T10" s="46" t="e">
        <f t="shared" si="6"/>
        <v>#DIV/0!</v>
      </c>
      <c r="U10" s="45" t="e">
        <f t="shared" si="6"/>
        <v>#DIV/0!</v>
      </c>
      <c r="V10" s="46" t="e">
        <f t="shared" si="6"/>
        <v>#DIV/0!</v>
      </c>
      <c r="W10" s="46" t="e">
        <f t="shared" si="6"/>
        <v>#DIV/0!</v>
      </c>
      <c r="X10" s="46" t="e">
        <f t="shared" si="6"/>
        <v>#DIV/0!</v>
      </c>
      <c r="Y10" s="46" t="e">
        <f t="shared" si="6"/>
        <v>#DIV/0!</v>
      </c>
      <c r="Z10" s="45" t="e">
        <f t="shared" si="6"/>
        <v>#DIV/0!</v>
      </c>
      <c r="AA10" s="49" t="e">
        <f t="shared" si="7"/>
        <v>#DIV/0!</v>
      </c>
      <c r="AC10" s="48">
        <f t="shared" si="8"/>
        <v>-6</v>
      </c>
      <c r="AD10" s="47" t="e">
        <f t="shared" si="9"/>
        <v>#DIV/0!</v>
      </c>
      <c r="AE10" s="46" t="e">
        <f t="shared" si="9"/>
        <v>#DIV/0!</v>
      </c>
      <c r="AF10" s="45" t="e">
        <f t="shared" si="9"/>
        <v>#DIV/0!</v>
      </c>
      <c r="AG10" s="47" t="e">
        <f t="shared" si="9"/>
        <v>#DIV/0!</v>
      </c>
      <c r="AH10" s="46" t="e">
        <f t="shared" si="9"/>
        <v>#DIV/0!</v>
      </c>
      <c r="AI10" s="46" t="e">
        <f t="shared" si="9"/>
        <v>#DIV/0!</v>
      </c>
      <c r="AJ10" s="46" t="e">
        <f t="shared" si="9"/>
        <v>#DIV/0!</v>
      </c>
      <c r="AK10" s="45" t="e">
        <f t="shared" si="9"/>
        <v>#DIV/0!</v>
      </c>
      <c r="AL10" s="44" t="e">
        <f t="shared" si="10"/>
        <v>#DIV/0!</v>
      </c>
    </row>
    <row r="11" spans="1:38" x14ac:dyDescent="0.35">
      <c r="A11" s="58" t="s">
        <v>66</v>
      </c>
      <c r="B11" s="57">
        <v>-5.5</v>
      </c>
      <c r="C11" s="62">
        <v>0</v>
      </c>
      <c r="D11" s="55">
        <f t="shared" si="2"/>
        <v>0</v>
      </c>
      <c r="E11" s="54">
        <f>SUM(D6:D11)</f>
        <v>0</v>
      </c>
      <c r="G11" s="48">
        <f t="shared" si="3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50">
        <f t="shared" si="4"/>
        <v>0</v>
      </c>
      <c r="R11" s="48">
        <f t="shared" si="5"/>
        <v>-5.5</v>
      </c>
      <c r="S11" s="47" t="e">
        <f t="shared" si="6"/>
        <v>#DIV/0!</v>
      </c>
      <c r="T11" s="46" t="e">
        <f t="shared" si="6"/>
        <v>#DIV/0!</v>
      </c>
      <c r="U11" s="45" t="e">
        <f t="shared" si="6"/>
        <v>#DIV/0!</v>
      </c>
      <c r="V11" s="46" t="e">
        <f t="shared" si="6"/>
        <v>#DIV/0!</v>
      </c>
      <c r="W11" s="46" t="e">
        <f t="shared" si="6"/>
        <v>#DIV/0!</v>
      </c>
      <c r="X11" s="46" t="e">
        <f t="shared" si="6"/>
        <v>#DIV/0!</v>
      </c>
      <c r="Y11" s="46" t="e">
        <f t="shared" si="6"/>
        <v>#DIV/0!</v>
      </c>
      <c r="Z11" s="45" t="e">
        <f t="shared" si="6"/>
        <v>#DIV/0!</v>
      </c>
      <c r="AA11" s="49" t="e">
        <f t="shared" si="7"/>
        <v>#DIV/0!</v>
      </c>
      <c r="AC11" s="48">
        <f t="shared" si="8"/>
        <v>-5.5</v>
      </c>
      <c r="AD11" s="47" t="e">
        <f t="shared" si="9"/>
        <v>#DIV/0!</v>
      </c>
      <c r="AE11" s="46" t="e">
        <f t="shared" si="9"/>
        <v>#DIV/0!</v>
      </c>
      <c r="AF11" s="45" t="e">
        <f t="shared" si="9"/>
        <v>#DIV/0!</v>
      </c>
      <c r="AG11" s="47" t="e">
        <f t="shared" si="9"/>
        <v>#DIV/0!</v>
      </c>
      <c r="AH11" s="46" t="e">
        <f t="shared" si="9"/>
        <v>#DIV/0!</v>
      </c>
      <c r="AI11" s="46" t="e">
        <f t="shared" si="9"/>
        <v>#DIV/0!</v>
      </c>
      <c r="AJ11" s="46" t="e">
        <f t="shared" si="9"/>
        <v>#DIV/0!</v>
      </c>
      <c r="AK11" s="45" t="e">
        <f t="shared" si="9"/>
        <v>#DIV/0!</v>
      </c>
      <c r="AL11" s="44" t="e">
        <f t="shared" si="10"/>
        <v>#DIV/0!</v>
      </c>
    </row>
    <row r="12" spans="1:38" x14ac:dyDescent="0.35">
      <c r="A12" s="58" t="s">
        <v>65</v>
      </c>
      <c r="B12" s="57">
        <v>-5</v>
      </c>
      <c r="C12" s="62">
        <v>0</v>
      </c>
      <c r="D12" s="55">
        <f t="shared" si="2"/>
        <v>0</v>
      </c>
      <c r="E12" s="54">
        <f>SUM(D6:D12)</f>
        <v>0</v>
      </c>
      <c r="G12" s="48">
        <f t="shared" si="3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50">
        <f t="shared" si="4"/>
        <v>0</v>
      </c>
      <c r="R12" s="48">
        <f t="shared" si="5"/>
        <v>-5</v>
      </c>
      <c r="S12" s="47" t="e">
        <f t="shared" si="6"/>
        <v>#DIV/0!</v>
      </c>
      <c r="T12" s="46" t="e">
        <f t="shared" si="6"/>
        <v>#DIV/0!</v>
      </c>
      <c r="U12" s="45" t="e">
        <f t="shared" si="6"/>
        <v>#DIV/0!</v>
      </c>
      <c r="V12" s="46" t="e">
        <f t="shared" si="6"/>
        <v>#DIV/0!</v>
      </c>
      <c r="W12" s="46" t="e">
        <f t="shared" si="6"/>
        <v>#DIV/0!</v>
      </c>
      <c r="X12" s="46" t="e">
        <f t="shared" si="6"/>
        <v>#DIV/0!</v>
      </c>
      <c r="Y12" s="46" t="e">
        <f t="shared" si="6"/>
        <v>#DIV/0!</v>
      </c>
      <c r="Z12" s="45" t="e">
        <f t="shared" si="6"/>
        <v>#DIV/0!</v>
      </c>
      <c r="AA12" s="49" t="e">
        <f t="shared" si="7"/>
        <v>#DIV/0!</v>
      </c>
      <c r="AC12" s="48">
        <f t="shared" si="8"/>
        <v>-5</v>
      </c>
      <c r="AD12" s="47" t="e">
        <f t="shared" si="9"/>
        <v>#DIV/0!</v>
      </c>
      <c r="AE12" s="46" t="e">
        <f t="shared" si="9"/>
        <v>#DIV/0!</v>
      </c>
      <c r="AF12" s="45" t="e">
        <f t="shared" si="9"/>
        <v>#DIV/0!</v>
      </c>
      <c r="AG12" s="47" t="e">
        <f t="shared" si="9"/>
        <v>#DIV/0!</v>
      </c>
      <c r="AH12" s="46" t="e">
        <f t="shared" si="9"/>
        <v>#DIV/0!</v>
      </c>
      <c r="AI12" s="46" t="e">
        <f t="shared" si="9"/>
        <v>#DIV/0!</v>
      </c>
      <c r="AJ12" s="46" t="e">
        <f t="shared" si="9"/>
        <v>#DIV/0!</v>
      </c>
      <c r="AK12" s="45" t="e">
        <f t="shared" si="9"/>
        <v>#DIV/0!</v>
      </c>
      <c r="AL12" s="44" t="e">
        <f t="shared" si="10"/>
        <v>#DIV/0!</v>
      </c>
    </row>
    <row r="13" spans="1:38" x14ac:dyDescent="0.35">
      <c r="A13" s="58" t="s">
        <v>64</v>
      </c>
      <c r="B13" s="57">
        <v>-4.5</v>
      </c>
      <c r="C13" s="62">
        <v>3.65</v>
      </c>
      <c r="D13" s="55">
        <f t="shared" si="2"/>
        <v>0.46903109740426618</v>
      </c>
      <c r="E13" s="54">
        <f>SUM(D7:D13)</f>
        <v>0.46903109740426618</v>
      </c>
      <c r="G13" s="48">
        <f t="shared" si="3"/>
        <v>-4.5</v>
      </c>
      <c r="H13" s="61">
        <v>3.66</v>
      </c>
      <c r="I13" s="60">
        <v>0</v>
      </c>
      <c r="J13" s="59">
        <v>0</v>
      </c>
      <c r="K13" s="60">
        <v>0</v>
      </c>
      <c r="L13" s="60">
        <v>0</v>
      </c>
      <c r="M13" s="60">
        <v>0</v>
      </c>
      <c r="N13" s="60">
        <v>0</v>
      </c>
      <c r="O13" s="60">
        <v>0</v>
      </c>
      <c r="P13" s="50">
        <f t="shared" si="4"/>
        <v>3.66</v>
      </c>
      <c r="R13" s="48">
        <f t="shared" si="5"/>
        <v>-4.5</v>
      </c>
      <c r="S13" s="47">
        <f t="shared" si="6"/>
        <v>100</v>
      </c>
      <c r="T13" s="46">
        <f t="shared" si="6"/>
        <v>0</v>
      </c>
      <c r="U13" s="45">
        <f t="shared" si="6"/>
        <v>0</v>
      </c>
      <c r="V13" s="46">
        <f t="shared" si="6"/>
        <v>0</v>
      </c>
      <c r="W13" s="46">
        <f t="shared" si="6"/>
        <v>0</v>
      </c>
      <c r="X13" s="46">
        <f t="shared" si="6"/>
        <v>0</v>
      </c>
      <c r="Y13" s="46">
        <f t="shared" si="6"/>
        <v>0</v>
      </c>
      <c r="Z13" s="45">
        <f t="shared" si="6"/>
        <v>0</v>
      </c>
      <c r="AA13" s="49">
        <f t="shared" si="7"/>
        <v>100</v>
      </c>
      <c r="AC13" s="48">
        <f t="shared" si="8"/>
        <v>-4.5</v>
      </c>
      <c r="AD13" s="47">
        <f t="shared" si="9"/>
        <v>100</v>
      </c>
      <c r="AE13" s="46">
        <f t="shared" si="9"/>
        <v>0</v>
      </c>
      <c r="AF13" s="45">
        <f t="shared" si="9"/>
        <v>0</v>
      </c>
      <c r="AG13" s="47">
        <f t="shared" si="9"/>
        <v>0</v>
      </c>
      <c r="AH13" s="46">
        <f t="shared" si="9"/>
        <v>0</v>
      </c>
      <c r="AI13" s="46">
        <f t="shared" si="9"/>
        <v>0</v>
      </c>
      <c r="AJ13" s="46">
        <f t="shared" si="9"/>
        <v>0</v>
      </c>
      <c r="AK13" s="45">
        <f t="shared" si="9"/>
        <v>0</v>
      </c>
      <c r="AL13" s="44">
        <f t="shared" si="10"/>
        <v>100</v>
      </c>
    </row>
    <row r="14" spans="1:38" x14ac:dyDescent="0.35">
      <c r="A14" s="58" t="s">
        <v>63</v>
      </c>
      <c r="B14" s="57">
        <v>-4</v>
      </c>
      <c r="C14" s="62">
        <v>7.97</v>
      </c>
      <c r="D14" s="55">
        <f t="shared" si="2"/>
        <v>1.0241583140580828</v>
      </c>
      <c r="E14" s="54">
        <f>SUM(D8:D14)</f>
        <v>1.493189411462349</v>
      </c>
      <c r="G14" s="48">
        <f t="shared" si="3"/>
        <v>-4</v>
      </c>
      <c r="H14" s="61">
        <v>7.9</v>
      </c>
      <c r="I14" s="60">
        <v>0</v>
      </c>
      <c r="J14" s="59">
        <v>0</v>
      </c>
      <c r="K14" s="60">
        <v>0</v>
      </c>
      <c r="L14" s="60">
        <v>0</v>
      </c>
      <c r="M14" s="60">
        <v>0</v>
      </c>
      <c r="N14" s="60">
        <v>0</v>
      </c>
      <c r="O14" s="60">
        <v>0</v>
      </c>
      <c r="P14" s="50">
        <f t="shared" si="4"/>
        <v>7.9</v>
      </c>
      <c r="R14" s="48">
        <f t="shared" si="5"/>
        <v>-4</v>
      </c>
      <c r="S14" s="47">
        <f t="shared" si="6"/>
        <v>100</v>
      </c>
      <c r="T14" s="46">
        <f t="shared" si="6"/>
        <v>0</v>
      </c>
      <c r="U14" s="45">
        <f t="shared" si="6"/>
        <v>0</v>
      </c>
      <c r="V14" s="46">
        <f t="shared" si="6"/>
        <v>0</v>
      </c>
      <c r="W14" s="46">
        <f t="shared" si="6"/>
        <v>0</v>
      </c>
      <c r="X14" s="46">
        <f t="shared" si="6"/>
        <v>0</v>
      </c>
      <c r="Y14" s="46">
        <f t="shared" si="6"/>
        <v>0</v>
      </c>
      <c r="Z14" s="45">
        <f t="shared" si="6"/>
        <v>0</v>
      </c>
      <c r="AA14" s="49">
        <f t="shared" si="7"/>
        <v>100</v>
      </c>
      <c r="AC14" s="48">
        <f t="shared" si="8"/>
        <v>-4</v>
      </c>
      <c r="AD14" s="47">
        <f t="shared" si="9"/>
        <v>100</v>
      </c>
      <c r="AE14" s="46">
        <f t="shared" si="9"/>
        <v>0</v>
      </c>
      <c r="AF14" s="45">
        <f t="shared" si="9"/>
        <v>0</v>
      </c>
      <c r="AG14" s="47">
        <f t="shared" si="9"/>
        <v>0</v>
      </c>
      <c r="AH14" s="46">
        <f t="shared" si="9"/>
        <v>0</v>
      </c>
      <c r="AI14" s="46">
        <f t="shared" si="9"/>
        <v>0</v>
      </c>
      <c r="AJ14" s="46">
        <f t="shared" si="9"/>
        <v>0</v>
      </c>
      <c r="AK14" s="45">
        <f t="shared" si="9"/>
        <v>0</v>
      </c>
      <c r="AL14" s="44">
        <f t="shared" si="10"/>
        <v>100</v>
      </c>
    </row>
    <row r="15" spans="1:38" x14ac:dyDescent="0.35">
      <c r="A15" s="58" t="s">
        <v>62</v>
      </c>
      <c r="B15" s="57">
        <v>-3.5</v>
      </c>
      <c r="C15" s="62">
        <v>32.96</v>
      </c>
      <c r="D15" s="55">
        <f t="shared" si="2"/>
        <v>4.235415060395785</v>
      </c>
      <c r="E15" s="54">
        <f>SUM(D6:D15)</f>
        <v>5.7286044718581337</v>
      </c>
      <c r="G15" s="48">
        <f t="shared" si="3"/>
        <v>-3.5</v>
      </c>
      <c r="H15" s="61">
        <v>28.35</v>
      </c>
      <c r="I15" s="60">
        <v>0</v>
      </c>
      <c r="J15" s="59">
        <v>0</v>
      </c>
      <c r="K15" s="60">
        <v>0</v>
      </c>
      <c r="L15" s="60">
        <v>2.91</v>
      </c>
      <c r="M15" s="60">
        <v>0</v>
      </c>
      <c r="N15" s="60">
        <v>0</v>
      </c>
      <c r="O15" s="59">
        <v>0</v>
      </c>
      <c r="P15" s="50">
        <f t="shared" si="4"/>
        <v>31.26</v>
      </c>
      <c r="R15" s="48">
        <f t="shared" si="5"/>
        <v>-3.5</v>
      </c>
      <c r="S15" s="67">
        <f t="shared" si="6"/>
        <v>90.690978886756227</v>
      </c>
      <c r="T15" s="66">
        <f t="shared" si="6"/>
        <v>0</v>
      </c>
      <c r="U15" s="65">
        <f t="shared" si="6"/>
        <v>0</v>
      </c>
      <c r="V15" s="66">
        <f t="shared" si="6"/>
        <v>0</v>
      </c>
      <c r="W15" s="66">
        <f t="shared" si="6"/>
        <v>9.3090211132437624</v>
      </c>
      <c r="X15" s="66">
        <f t="shared" si="6"/>
        <v>0</v>
      </c>
      <c r="Y15" s="66">
        <f t="shared" si="6"/>
        <v>0</v>
      </c>
      <c r="Z15" s="65">
        <f t="shared" si="6"/>
        <v>0</v>
      </c>
      <c r="AA15" s="50">
        <f t="shared" si="7"/>
        <v>99.999999999999986</v>
      </c>
      <c r="AC15" s="48">
        <f t="shared" si="8"/>
        <v>-3.5</v>
      </c>
      <c r="AD15" s="67">
        <f t="shared" ref="AD15:AH33" si="11">S15*100/(SUM($S15:$W15)+SUM($Y15:$Z15))</f>
        <v>90.690978886756227</v>
      </c>
      <c r="AE15" s="66">
        <f t="shared" si="11"/>
        <v>0</v>
      </c>
      <c r="AF15" s="65">
        <f t="shared" si="11"/>
        <v>0</v>
      </c>
      <c r="AG15" s="67">
        <f t="shared" si="11"/>
        <v>0</v>
      </c>
      <c r="AH15" s="66">
        <f t="shared" si="11"/>
        <v>9.3090211132437641</v>
      </c>
      <c r="AI15" s="66">
        <v>0</v>
      </c>
      <c r="AJ15" s="66">
        <f t="shared" ref="AJ15:AK33" si="12">Y15*100/(SUM($S15:$W15)+SUM($Y15:$Z15))</f>
        <v>0</v>
      </c>
      <c r="AK15" s="65">
        <f t="shared" si="12"/>
        <v>0</v>
      </c>
      <c r="AL15" s="64">
        <f t="shared" si="10"/>
        <v>99.999999999999986</v>
      </c>
    </row>
    <row r="16" spans="1:38" x14ac:dyDescent="0.35">
      <c r="A16" s="71" t="s">
        <v>61</v>
      </c>
      <c r="B16" s="57">
        <v>-3</v>
      </c>
      <c r="C16" s="62">
        <v>62.49</v>
      </c>
      <c r="D16" s="55">
        <f t="shared" si="2"/>
        <v>8.0300693909020815</v>
      </c>
      <c r="E16" s="54">
        <f>SUM(D6:D16)</f>
        <v>13.758673862760215</v>
      </c>
      <c r="G16" s="48">
        <f t="shared" si="3"/>
        <v>-3</v>
      </c>
      <c r="H16" s="61">
        <v>56.98</v>
      </c>
      <c r="I16" s="60">
        <v>5.69</v>
      </c>
      <c r="J16" s="59">
        <v>0</v>
      </c>
      <c r="K16" s="60">
        <v>1.01</v>
      </c>
      <c r="L16" s="60">
        <v>1.88</v>
      </c>
      <c r="M16" s="60">
        <v>0</v>
      </c>
      <c r="N16" s="60">
        <v>0</v>
      </c>
      <c r="O16" s="59">
        <v>0</v>
      </c>
      <c r="P16" s="50">
        <f t="shared" si="4"/>
        <v>65.559999999999988</v>
      </c>
      <c r="R16" s="48">
        <f t="shared" si="5"/>
        <v>-3</v>
      </c>
      <c r="S16" s="67">
        <f t="shared" si="6"/>
        <v>86.91275167785237</v>
      </c>
      <c r="T16" s="66">
        <f t="shared" si="6"/>
        <v>8.6790726052471037</v>
      </c>
      <c r="U16" s="65">
        <f t="shared" si="6"/>
        <v>0</v>
      </c>
      <c r="V16" s="66">
        <f t="shared" si="6"/>
        <v>1.5405735204392925</v>
      </c>
      <c r="W16" s="66">
        <f t="shared" si="6"/>
        <v>2.8676021964612572</v>
      </c>
      <c r="X16" s="66">
        <f t="shared" si="6"/>
        <v>0</v>
      </c>
      <c r="Y16" s="66">
        <f t="shared" si="6"/>
        <v>0</v>
      </c>
      <c r="Z16" s="65">
        <f t="shared" si="6"/>
        <v>0</v>
      </c>
      <c r="AA16" s="50">
        <f t="shared" si="7"/>
        <v>100.00000000000003</v>
      </c>
      <c r="AC16" s="48">
        <f t="shared" si="8"/>
        <v>-3</v>
      </c>
      <c r="AD16" s="67">
        <f t="shared" si="11"/>
        <v>86.912751677852356</v>
      </c>
      <c r="AE16" s="66">
        <f t="shared" si="11"/>
        <v>8.6790726052471019</v>
      </c>
      <c r="AF16" s="65">
        <f t="shared" si="11"/>
        <v>0</v>
      </c>
      <c r="AG16" s="67">
        <f t="shared" si="11"/>
        <v>1.5405735204392921</v>
      </c>
      <c r="AH16" s="66">
        <f t="shared" si="11"/>
        <v>2.8676021964612564</v>
      </c>
      <c r="AI16" s="66">
        <v>0</v>
      </c>
      <c r="AJ16" s="66">
        <f t="shared" si="12"/>
        <v>0</v>
      </c>
      <c r="AK16" s="65">
        <f t="shared" si="12"/>
        <v>0</v>
      </c>
      <c r="AL16" s="64">
        <f t="shared" si="10"/>
        <v>100.00000000000001</v>
      </c>
    </row>
    <row r="17" spans="1:38" x14ac:dyDescent="0.35">
      <c r="A17" s="71" t="s">
        <v>60</v>
      </c>
      <c r="B17" s="57">
        <v>-2.5</v>
      </c>
      <c r="C17" s="62">
        <v>86.5</v>
      </c>
      <c r="D17" s="55">
        <f t="shared" si="2"/>
        <v>11.115394500128501</v>
      </c>
      <c r="E17" s="54">
        <f>SUM(D6:D17)</f>
        <v>24.874068362888714</v>
      </c>
      <c r="G17" s="48">
        <f t="shared" si="3"/>
        <v>-2.5</v>
      </c>
      <c r="H17" s="61">
        <v>70.290000000000006</v>
      </c>
      <c r="I17" s="60">
        <v>7.33</v>
      </c>
      <c r="J17" s="59">
        <v>0</v>
      </c>
      <c r="K17" s="60">
        <v>2.14</v>
      </c>
      <c r="L17" s="60">
        <v>6.35</v>
      </c>
      <c r="M17" s="60">
        <v>0</v>
      </c>
      <c r="N17" s="60">
        <v>0</v>
      </c>
      <c r="O17" s="59">
        <v>0</v>
      </c>
      <c r="P17" s="50">
        <f t="shared" si="4"/>
        <v>86.11</v>
      </c>
      <c r="R17" s="48">
        <f t="shared" si="5"/>
        <v>-2.5</v>
      </c>
      <c r="S17" s="67">
        <f t="shared" si="6"/>
        <v>81.628150040645693</v>
      </c>
      <c r="T17" s="66">
        <f t="shared" si="6"/>
        <v>8.5123679015213103</v>
      </c>
      <c r="U17" s="65">
        <f t="shared" si="6"/>
        <v>0</v>
      </c>
      <c r="V17" s="66">
        <f t="shared" si="6"/>
        <v>2.4851933573336429</v>
      </c>
      <c r="W17" s="66">
        <f t="shared" si="6"/>
        <v>7.3742887004993616</v>
      </c>
      <c r="X17" s="66">
        <f t="shared" si="6"/>
        <v>0</v>
      </c>
      <c r="Y17" s="66">
        <f t="shared" si="6"/>
        <v>0</v>
      </c>
      <c r="Z17" s="65">
        <f t="shared" si="6"/>
        <v>0</v>
      </c>
      <c r="AA17" s="50">
        <f t="shared" si="7"/>
        <v>100.00000000000001</v>
      </c>
      <c r="AC17" s="48">
        <f t="shared" si="8"/>
        <v>-2.5</v>
      </c>
      <c r="AD17" s="67">
        <f t="shared" si="11"/>
        <v>81.628150040645679</v>
      </c>
      <c r="AE17" s="66">
        <f t="shared" si="11"/>
        <v>8.5123679015213085</v>
      </c>
      <c r="AF17" s="65">
        <f t="shared" si="11"/>
        <v>0</v>
      </c>
      <c r="AG17" s="67">
        <f t="shared" si="11"/>
        <v>2.4851933573336424</v>
      </c>
      <c r="AH17" s="66">
        <f t="shared" si="11"/>
        <v>7.3742887004993598</v>
      </c>
      <c r="AI17" s="66">
        <v>0</v>
      </c>
      <c r="AJ17" s="66">
        <f t="shared" si="12"/>
        <v>0</v>
      </c>
      <c r="AK17" s="65">
        <f t="shared" si="12"/>
        <v>0</v>
      </c>
      <c r="AL17" s="64">
        <f t="shared" si="10"/>
        <v>99.999999999999986</v>
      </c>
    </row>
    <row r="18" spans="1:38" x14ac:dyDescent="0.35">
      <c r="A18" s="58" t="s">
        <v>59</v>
      </c>
      <c r="B18" s="57">
        <v>-2</v>
      </c>
      <c r="C18" s="62">
        <v>84.44</v>
      </c>
      <c r="D18" s="55">
        <f t="shared" si="2"/>
        <v>10.850681058853764</v>
      </c>
      <c r="E18" s="54">
        <f>SUM(D6:D18)</f>
        <v>35.72474942174248</v>
      </c>
      <c r="G18" s="48">
        <f t="shared" si="3"/>
        <v>-2</v>
      </c>
      <c r="H18" s="61">
        <v>58.4</v>
      </c>
      <c r="I18" s="60">
        <v>3.2</v>
      </c>
      <c r="J18" s="59">
        <v>0</v>
      </c>
      <c r="K18" s="60">
        <v>0.68</v>
      </c>
      <c r="L18" s="60">
        <v>18.8</v>
      </c>
      <c r="M18" s="60">
        <v>0</v>
      </c>
      <c r="N18" s="60">
        <v>0</v>
      </c>
      <c r="O18" s="59">
        <v>0</v>
      </c>
      <c r="P18" s="50">
        <f t="shared" si="4"/>
        <v>81.08</v>
      </c>
      <c r="R18" s="48">
        <f t="shared" si="5"/>
        <v>-2</v>
      </c>
      <c r="S18" s="67">
        <f t="shared" si="6"/>
        <v>72.027627035027137</v>
      </c>
      <c r="T18" s="66">
        <f t="shared" si="6"/>
        <v>3.9467192895905279</v>
      </c>
      <c r="U18" s="65">
        <f t="shared" si="6"/>
        <v>0</v>
      </c>
      <c r="V18" s="66">
        <f t="shared" si="6"/>
        <v>0.83867784903798714</v>
      </c>
      <c r="W18" s="66">
        <f t="shared" si="6"/>
        <v>23.186975826344352</v>
      </c>
      <c r="X18" s="66">
        <f t="shared" si="6"/>
        <v>0</v>
      </c>
      <c r="Y18" s="66">
        <f t="shared" si="6"/>
        <v>0</v>
      </c>
      <c r="Z18" s="65">
        <f t="shared" si="6"/>
        <v>0</v>
      </c>
      <c r="AA18" s="50">
        <f t="shared" si="7"/>
        <v>100.00000000000001</v>
      </c>
      <c r="AC18" s="48">
        <f t="shared" si="8"/>
        <v>-2</v>
      </c>
      <c r="AD18" s="67">
        <f t="shared" si="11"/>
        <v>72.027627035027123</v>
      </c>
      <c r="AE18" s="66">
        <f t="shared" si="11"/>
        <v>3.946719289590527</v>
      </c>
      <c r="AF18" s="65">
        <f t="shared" si="11"/>
        <v>0</v>
      </c>
      <c r="AG18" s="67">
        <f t="shared" si="11"/>
        <v>0.83867784903798692</v>
      </c>
      <c r="AH18" s="66">
        <f t="shared" si="11"/>
        <v>23.186975826344348</v>
      </c>
      <c r="AI18" s="66">
        <v>0</v>
      </c>
      <c r="AJ18" s="66">
        <f t="shared" si="12"/>
        <v>0</v>
      </c>
      <c r="AK18" s="65">
        <f t="shared" si="12"/>
        <v>0</v>
      </c>
      <c r="AL18" s="64">
        <f t="shared" si="10"/>
        <v>100</v>
      </c>
    </row>
    <row r="19" spans="1:38" x14ac:dyDescent="0.35">
      <c r="A19" s="58" t="s">
        <v>58</v>
      </c>
      <c r="B19" s="57">
        <v>-1.5</v>
      </c>
      <c r="C19" s="62">
        <v>96</v>
      </c>
      <c r="D19" s="55">
        <f t="shared" si="2"/>
        <v>12.33616037008481</v>
      </c>
      <c r="E19" s="54">
        <f>SUM(D6:D19)</f>
        <v>48.060909791827292</v>
      </c>
      <c r="G19" s="48">
        <f t="shared" si="3"/>
        <v>-1.5</v>
      </c>
      <c r="H19" s="61">
        <v>61.08</v>
      </c>
      <c r="I19" s="60">
        <v>5.08</v>
      </c>
      <c r="J19" s="59">
        <v>0</v>
      </c>
      <c r="K19" s="60">
        <v>3.8</v>
      </c>
      <c r="L19" s="60">
        <v>22.52</v>
      </c>
      <c r="M19" s="60">
        <v>0</v>
      </c>
      <c r="N19" s="60">
        <v>0</v>
      </c>
      <c r="O19" s="59">
        <v>0</v>
      </c>
      <c r="P19" s="50">
        <f t="shared" si="4"/>
        <v>92.47999999999999</v>
      </c>
      <c r="R19" s="48">
        <f t="shared" si="5"/>
        <v>-1.5</v>
      </c>
      <c r="S19" s="67">
        <f t="shared" si="6"/>
        <v>66.04671280276817</v>
      </c>
      <c r="T19" s="66">
        <f t="shared" si="6"/>
        <v>5.4930795847750868</v>
      </c>
      <c r="U19" s="65">
        <f t="shared" si="6"/>
        <v>0</v>
      </c>
      <c r="V19" s="66">
        <f t="shared" si="6"/>
        <v>4.108996539792388</v>
      </c>
      <c r="W19" s="66">
        <f t="shared" si="6"/>
        <v>24.351211072664363</v>
      </c>
      <c r="X19" s="66">
        <f t="shared" si="6"/>
        <v>0</v>
      </c>
      <c r="Y19" s="66">
        <f t="shared" si="6"/>
        <v>0</v>
      </c>
      <c r="Z19" s="65">
        <f t="shared" si="6"/>
        <v>0</v>
      </c>
      <c r="AA19" s="50">
        <f t="shared" si="7"/>
        <v>100</v>
      </c>
      <c r="AC19" s="48">
        <f t="shared" si="8"/>
        <v>-1.5</v>
      </c>
      <c r="AD19" s="67">
        <f t="shared" si="11"/>
        <v>66.04671280276817</v>
      </c>
      <c r="AE19" s="66">
        <f t="shared" si="11"/>
        <v>5.4930795847750868</v>
      </c>
      <c r="AF19" s="65">
        <f t="shared" si="11"/>
        <v>0</v>
      </c>
      <c r="AG19" s="67">
        <f t="shared" si="11"/>
        <v>4.108996539792388</v>
      </c>
      <c r="AH19" s="66">
        <f t="shared" si="11"/>
        <v>24.351211072664363</v>
      </c>
      <c r="AI19" s="66">
        <v>0</v>
      </c>
      <c r="AJ19" s="66">
        <f t="shared" si="12"/>
        <v>0</v>
      </c>
      <c r="AK19" s="65">
        <f t="shared" si="12"/>
        <v>0</v>
      </c>
      <c r="AL19" s="64">
        <f t="shared" si="10"/>
        <v>100</v>
      </c>
    </row>
    <row r="20" spans="1:38" x14ac:dyDescent="0.35">
      <c r="A20" s="58" t="s">
        <v>57</v>
      </c>
      <c r="B20" s="57">
        <v>-1</v>
      </c>
      <c r="C20" s="63">
        <v>77.94</v>
      </c>
      <c r="D20" s="55">
        <f t="shared" si="2"/>
        <v>10.015420200462605</v>
      </c>
      <c r="E20" s="54">
        <f>SUM(D6:D20)</f>
        <v>58.076329992289899</v>
      </c>
      <c r="G20" s="48">
        <f t="shared" si="3"/>
        <v>-1</v>
      </c>
      <c r="H20" s="61">
        <v>46.707725631768952</v>
      </c>
      <c r="I20" s="60">
        <v>5.7681227436823113</v>
      </c>
      <c r="J20" s="59">
        <v>0</v>
      </c>
      <c r="K20" s="60">
        <v>5.7681227436823113</v>
      </c>
      <c r="L20" s="60">
        <v>19.696028880866425</v>
      </c>
      <c r="M20" s="60">
        <v>0</v>
      </c>
      <c r="N20" s="60">
        <v>0</v>
      </c>
      <c r="O20" s="59">
        <v>0</v>
      </c>
      <c r="P20" s="50">
        <f t="shared" si="4"/>
        <v>77.94</v>
      </c>
      <c r="Q20" t="s">
        <v>98</v>
      </c>
      <c r="R20" s="48">
        <f t="shared" si="5"/>
        <v>-1</v>
      </c>
      <c r="S20" s="67">
        <f t="shared" si="6"/>
        <v>59.927797833935017</v>
      </c>
      <c r="T20" s="66">
        <f t="shared" si="6"/>
        <v>7.4007220216606511</v>
      </c>
      <c r="U20" s="65">
        <f t="shared" si="6"/>
        <v>0</v>
      </c>
      <c r="V20" s="66">
        <f t="shared" si="6"/>
        <v>7.4007220216606511</v>
      </c>
      <c r="W20" s="66">
        <f t="shared" si="6"/>
        <v>25.270758122743683</v>
      </c>
      <c r="X20" s="66">
        <f t="shared" si="6"/>
        <v>0</v>
      </c>
      <c r="Y20" s="66">
        <f t="shared" si="6"/>
        <v>0</v>
      </c>
      <c r="Z20" s="65">
        <f t="shared" si="6"/>
        <v>0</v>
      </c>
      <c r="AA20" s="50">
        <f t="shared" si="7"/>
        <v>100.00000000000001</v>
      </c>
      <c r="AC20" s="48">
        <f t="shared" si="8"/>
        <v>-1</v>
      </c>
      <c r="AD20" s="67">
        <f t="shared" si="11"/>
        <v>59.92779783393501</v>
      </c>
      <c r="AE20" s="66">
        <f t="shared" si="11"/>
        <v>7.4007220216606502</v>
      </c>
      <c r="AF20" s="65">
        <f t="shared" si="11"/>
        <v>0</v>
      </c>
      <c r="AG20" s="67">
        <f t="shared" si="11"/>
        <v>7.4007220216606502</v>
      </c>
      <c r="AH20" s="66">
        <f t="shared" si="11"/>
        <v>25.270758122743679</v>
      </c>
      <c r="AI20" s="66">
        <v>0</v>
      </c>
      <c r="AJ20" s="66">
        <f t="shared" si="12"/>
        <v>0</v>
      </c>
      <c r="AK20" s="65">
        <f t="shared" si="12"/>
        <v>0</v>
      </c>
      <c r="AL20" s="64">
        <f t="shared" si="10"/>
        <v>100</v>
      </c>
    </row>
    <row r="21" spans="1:38" x14ac:dyDescent="0.35">
      <c r="A21" s="58" t="s">
        <v>56</v>
      </c>
      <c r="B21" s="57">
        <v>-0.5</v>
      </c>
      <c r="C21" s="63">
        <v>64.040000000000006</v>
      </c>
      <c r="D21" s="55">
        <f t="shared" si="2"/>
        <v>8.2292469802107426</v>
      </c>
      <c r="E21" s="54">
        <f>SUM(D6:D21)</f>
        <v>66.305576972500646</v>
      </c>
      <c r="G21" s="70">
        <f t="shared" si="3"/>
        <v>-0.5</v>
      </c>
      <c r="H21" s="53">
        <v>40.105858585858591</v>
      </c>
      <c r="I21" s="52">
        <v>4.2046464646464647</v>
      </c>
      <c r="J21" s="51">
        <v>0</v>
      </c>
      <c r="K21" s="52">
        <v>4.0429292929292933</v>
      </c>
      <c r="L21" s="52">
        <v>15.686565656565659</v>
      </c>
      <c r="M21" s="52">
        <v>0</v>
      </c>
      <c r="N21" s="52">
        <v>0</v>
      </c>
      <c r="O21" s="51">
        <v>0</v>
      </c>
      <c r="P21" s="69">
        <f t="shared" si="4"/>
        <v>64.040000000000006</v>
      </c>
      <c r="Q21" s="68" t="s">
        <v>99</v>
      </c>
      <c r="R21" s="48">
        <f t="shared" si="5"/>
        <v>-0.5</v>
      </c>
      <c r="S21" s="67">
        <f t="shared" si="6"/>
        <v>62.62626262626263</v>
      </c>
      <c r="T21" s="66">
        <f t="shared" si="6"/>
        <v>6.5656565656565649</v>
      </c>
      <c r="U21" s="65">
        <f t="shared" si="6"/>
        <v>0</v>
      </c>
      <c r="V21" s="66">
        <f t="shared" si="6"/>
        <v>6.3131313131313131</v>
      </c>
      <c r="W21" s="66">
        <f t="shared" si="6"/>
        <v>24.494949494949495</v>
      </c>
      <c r="X21" s="66">
        <f t="shared" si="6"/>
        <v>0</v>
      </c>
      <c r="Y21" s="66">
        <f t="shared" si="6"/>
        <v>0</v>
      </c>
      <c r="Z21" s="65">
        <f t="shared" si="6"/>
        <v>0</v>
      </c>
      <c r="AA21" s="50">
        <f t="shared" si="7"/>
        <v>100</v>
      </c>
      <c r="AC21" s="48">
        <f t="shared" si="8"/>
        <v>-0.5</v>
      </c>
      <c r="AD21" s="67">
        <f t="shared" si="11"/>
        <v>62.62626262626263</v>
      </c>
      <c r="AE21" s="66">
        <f t="shared" si="11"/>
        <v>6.5656565656565649</v>
      </c>
      <c r="AF21" s="65">
        <f t="shared" si="11"/>
        <v>0</v>
      </c>
      <c r="AG21" s="67">
        <f t="shared" si="11"/>
        <v>6.3131313131313131</v>
      </c>
      <c r="AH21" s="66">
        <f t="shared" si="11"/>
        <v>24.494949494949495</v>
      </c>
      <c r="AI21" s="66">
        <v>0</v>
      </c>
      <c r="AJ21" s="66">
        <f t="shared" si="12"/>
        <v>0</v>
      </c>
      <c r="AK21" s="65">
        <f t="shared" si="12"/>
        <v>0</v>
      </c>
      <c r="AL21" s="64">
        <f t="shared" si="10"/>
        <v>100</v>
      </c>
    </row>
    <row r="22" spans="1:38" x14ac:dyDescent="0.35">
      <c r="A22" s="58" t="s">
        <v>55</v>
      </c>
      <c r="B22" s="57">
        <v>0</v>
      </c>
      <c r="C22" s="63">
        <v>41.37</v>
      </c>
      <c r="D22" s="55">
        <f t="shared" si="2"/>
        <v>5.316114109483423</v>
      </c>
      <c r="E22" s="54">
        <f>SUM(D6:D22)</f>
        <v>71.621691081984068</v>
      </c>
      <c r="G22" s="48">
        <f t="shared" si="3"/>
        <v>0</v>
      </c>
      <c r="H22" s="61">
        <v>25.039736842105263</v>
      </c>
      <c r="I22" s="60">
        <v>2.1773684210526314</v>
      </c>
      <c r="J22" s="59">
        <v>0</v>
      </c>
      <c r="K22" s="60">
        <v>2.9031578947368422</v>
      </c>
      <c r="L22" s="60">
        <v>11.249736842105264</v>
      </c>
      <c r="M22" s="60">
        <v>0</v>
      </c>
      <c r="N22" s="60">
        <v>0</v>
      </c>
      <c r="O22" s="60">
        <v>0</v>
      </c>
      <c r="P22" s="50">
        <f t="shared" si="4"/>
        <v>41.370000000000005</v>
      </c>
      <c r="Q22" t="s">
        <v>100</v>
      </c>
      <c r="R22" s="48">
        <f t="shared" si="5"/>
        <v>0</v>
      </c>
      <c r="S22" s="47">
        <f t="shared" si="6"/>
        <v>60.526315789473678</v>
      </c>
      <c r="T22" s="46">
        <f t="shared" si="6"/>
        <v>5.2631578947368416</v>
      </c>
      <c r="U22" s="45">
        <f t="shared" si="6"/>
        <v>0</v>
      </c>
      <c r="V22" s="46">
        <f t="shared" si="6"/>
        <v>7.0175438596491224</v>
      </c>
      <c r="W22" s="46">
        <f t="shared" si="6"/>
        <v>27.192982456140353</v>
      </c>
      <c r="X22" s="46">
        <f t="shared" si="6"/>
        <v>0</v>
      </c>
      <c r="Y22" s="46">
        <f t="shared" si="6"/>
        <v>0</v>
      </c>
      <c r="Z22" s="45">
        <f t="shared" si="6"/>
        <v>0</v>
      </c>
      <c r="AA22" s="49">
        <f t="shared" si="7"/>
        <v>100</v>
      </c>
      <c r="AC22" s="48">
        <f t="shared" si="8"/>
        <v>0</v>
      </c>
      <c r="AD22" s="47">
        <f t="shared" si="11"/>
        <v>60.526315789473671</v>
      </c>
      <c r="AE22" s="46">
        <f t="shared" si="11"/>
        <v>5.2631578947368416</v>
      </c>
      <c r="AF22" s="45">
        <f t="shared" si="11"/>
        <v>0</v>
      </c>
      <c r="AG22" s="47">
        <f t="shared" si="11"/>
        <v>7.0175438596491224</v>
      </c>
      <c r="AH22" s="46">
        <f t="shared" si="11"/>
        <v>27.192982456140353</v>
      </c>
      <c r="AI22" s="46">
        <f t="shared" ref="AI22:AI33" si="13">X22*100/(SUM($S22:$W22)+SUM($Y22:$Z22))</f>
        <v>0</v>
      </c>
      <c r="AJ22" s="46">
        <f t="shared" si="12"/>
        <v>0</v>
      </c>
      <c r="AK22" s="45">
        <f t="shared" si="12"/>
        <v>0</v>
      </c>
      <c r="AL22" s="44">
        <f t="shared" si="10"/>
        <v>99.999999999999986</v>
      </c>
    </row>
    <row r="23" spans="1:38" x14ac:dyDescent="0.35">
      <c r="A23" s="58" t="s">
        <v>54</v>
      </c>
      <c r="B23" s="57">
        <v>0.5</v>
      </c>
      <c r="C23" s="63">
        <v>25.82</v>
      </c>
      <c r="D23" s="55">
        <f t="shared" si="2"/>
        <v>3.3179131328707272</v>
      </c>
      <c r="E23" s="54">
        <f>SUM(D6:D23)</f>
        <v>74.939604214854796</v>
      </c>
      <c r="G23" s="48">
        <f t="shared" si="3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4"/>
        <v>0</v>
      </c>
      <c r="R23" s="48">
        <f t="shared" si="5"/>
        <v>0.5</v>
      </c>
      <c r="S23" s="47" t="e">
        <f t="shared" si="6"/>
        <v>#DIV/0!</v>
      </c>
      <c r="T23" s="46" t="e">
        <f t="shared" si="6"/>
        <v>#DIV/0!</v>
      </c>
      <c r="U23" s="45" t="e">
        <f t="shared" si="6"/>
        <v>#DIV/0!</v>
      </c>
      <c r="V23" s="46" t="e">
        <f t="shared" si="6"/>
        <v>#DIV/0!</v>
      </c>
      <c r="W23" s="46" t="e">
        <f t="shared" si="6"/>
        <v>#DIV/0!</v>
      </c>
      <c r="X23" s="46" t="e">
        <f t="shared" si="6"/>
        <v>#DIV/0!</v>
      </c>
      <c r="Y23" s="46" t="e">
        <f t="shared" si="6"/>
        <v>#DIV/0!</v>
      </c>
      <c r="Z23" s="45" t="e">
        <f t="shared" si="6"/>
        <v>#DIV/0!</v>
      </c>
      <c r="AA23" s="49" t="e">
        <f t="shared" si="7"/>
        <v>#DIV/0!</v>
      </c>
      <c r="AC23" s="48">
        <f t="shared" si="8"/>
        <v>0.5</v>
      </c>
      <c r="AD23" s="47" t="e">
        <f t="shared" si="11"/>
        <v>#DIV/0!</v>
      </c>
      <c r="AE23" s="46" t="e">
        <f t="shared" si="11"/>
        <v>#DIV/0!</v>
      </c>
      <c r="AF23" s="45" t="e">
        <f t="shared" si="11"/>
        <v>#DIV/0!</v>
      </c>
      <c r="AG23" s="47" t="e">
        <f t="shared" si="11"/>
        <v>#DIV/0!</v>
      </c>
      <c r="AH23" s="46" t="e">
        <f t="shared" si="11"/>
        <v>#DIV/0!</v>
      </c>
      <c r="AI23" s="46" t="e">
        <f t="shared" si="13"/>
        <v>#DIV/0!</v>
      </c>
      <c r="AJ23" s="46" t="e">
        <f t="shared" si="12"/>
        <v>#DIV/0!</v>
      </c>
      <c r="AK23" s="45" t="e">
        <f t="shared" si="12"/>
        <v>#DIV/0!</v>
      </c>
      <c r="AL23" s="44" t="e">
        <f t="shared" si="10"/>
        <v>#DIV/0!</v>
      </c>
    </row>
    <row r="24" spans="1:38" x14ac:dyDescent="0.35">
      <c r="A24" s="58" t="s">
        <v>53</v>
      </c>
      <c r="B24" s="57">
        <v>1</v>
      </c>
      <c r="C24" s="63">
        <v>14.38</v>
      </c>
      <c r="D24" s="55">
        <f t="shared" si="2"/>
        <v>1.8478540221022872</v>
      </c>
      <c r="E24" s="54">
        <f>SUM(D6:D24)</f>
        <v>76.787458236957079</v>
      </c>
      <c r="G24" s="48">
        <f t="shared" si="3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4"/>
        <v>0</v>
      </c>
      <c r="R24" s="48">
        <f t="shared" si="5"/>
        <v>1</v>
      </c>
      <c r="S24" s="47" t="e">
        <f t="shared" si="6"/>
        <v>#DIV/0!</v>
      </c>
      <c r="T24" s="46" t="e">
        <f t="shared" si="6"/>
        <v>#DIV/0!</v>
      </c>
      <c r="U24" s="45" t="e">
        <f t="shared" si="6"/>
        <v>#DIV/0!</v>
      </c>
      <c r="V24" s="46" t="e">
        <f t="shared" si="6"/>
        <v>#DIV/0!</v>
      </c>
      <c r="W24" s="46" t="e">
        <f t="shared" si="6"/>
        <v>#DIV/0!</v>
      </c>
      <c r="X24" s="46" t="e">
        <f t="shared" si="6"/>
        <v>#DIV/0!</v>
      </c>
      <c r="Y24" s="46" t="e">
        <f t="shared" si="6"/>
        <v>#DIV/0!</v>
      </c>
      <c r="Z24" s="45" t="e">
        <f t="shared" si="6"/>
        <v>#DIV/0!</v>
      </c>
      <c r="AA24" s="49" t="e">
        <f t="shared" si="7"/>
        <v>#DIV/0!</v>
      </c>
      <c r="AC24" s="48">
        <f t="shared" si="8"/>
        <v>1</v>
      </c>
      <c r="AD24" s="47" t="e">
        <f t="shared" si="11"/>
        <v>#DIV/0!</v>
      </c>
      <c r="AE24" s="46" t="e">
        <f t="shared" si="11"/>
        <v>#DIV/0!</v>
      </c>
      <c r="AF24" s="45" t="e">
        <f t="shared" si="11"/>
        <v>#DIV/0!</v>
      </c>
      <c r="AG24" s="47" t="e">
        <f t="shared" si="11"/>
        <v>#DIV/0!</v>
      </c>
      <c r="AH24" s="46" t="e">
        <f t="shared" si="11"/>
        <v>#DIV/0!</v>
      </c>
      <c r="AI24" s="46" t="e">
        <f t="shared" si="13"/>
        <v>#DIV/0!</v>
      </c>
      <c r="AJ24" s="46" t="e">
        <f t="shared" si="12"/>
        <v>#DIV/0!</v>
      </c>
      <c r="AK24" s="45" t="e">
        <f t="shared" si="12"/>
        <v>#DIV/0!</v>
      </c>
      <c r="AL24" s="44" t="e">
        <f t="shared" si="10"/>
        <v>#DIV/0!</v>
      </c>
    </row>
    <row r="25" spans="1:38" x14ac:dyDescent="0.35">
      <c r="A25" s="58" t="s">
        <v>52</v>
      </c>
      <c r="B25" s="57">
        <v>1.5</v>
      </c>
      <c r="C25" s="63">
        <v>6.95</v>
      </c>
      <c r="D25" s="55">
        <f t="shared" si="2"/>
        <v>0.8930866101259316</v>
      </c>
      <c r="E25" s="54">
        <f>SUM(D6:D25)</f>
        <v>77.680544847083013</v>
      </c>
      <c r="G25" s="48">
        <f t="shared" si="3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4"/>
        <v>0</v>
      </c>
      <c r="R25" s="48">
        <f t="shared" si="5"/>
        <v>1.5</v>
      </c>
      <c r="S25" s="47" t="e">
        <f t="shared" si="6"/>
        <v>#DIV/0!</v>
      </c>
      <c r="T25" s="46" t="e">
        <f t="shared" si="6"/>
        <v>#DIV/0!</v>
      </c>
      <c r="U25" s="45" t="e">
        <f t="shared" si="6"/>
        <v>#DIV/0!</v>
      </c>
      <c r="V25" s="46" t="e">
        <f t="shared" si="6"/>
        <v>#DIV/0!</v>
      </c>
      <c r="W25" s="46" t="e">
        <f t="shared" si="6"/>
        <v>#DIV/0!</v>
      </c>
      <c r="X25" s="46" t="e">
        <f t="shared" si="6"/>
        <v>#DIV/0!</v>
      </c>
      <c r="Y25" s="46" t="e">
        <f t="shared" si="6"/>
        <v>#DIV/0!</v>
      </c>
      <c r="Z25" s="45" t="e">
        <f t="shared" si="6"/>
        <v>#DIV/0!</v>
      </c>
      <c r="AA25" s="49" t="e">
        <f t="shared" si="7"/>
        <v>#DIV/0!</v>
      </c>
      <c r="AC25" s="48">
        <f t="shared" si="8"/>
        <v>1.5</v>
      </c>
      <c r="AD25" s="47" t="e">
        <f t="shared" si="11"/>
        <v>#DIV/0!</v>
      </c>
      <c r="AE25" s="46" t="e">
        <f t="shared" si="11"/>
        <v>#DIV/0!</v>
      </c>
      <c r="AF25" s="45" t="e">
        <f t="shared" si="11"/>
        <v>#DIV/0!</v>
      </c>
      <c r="AG25" s="47" t="e">
        <f t="shared" si="11"/>
        <v>#DIV/0!</v>
      </c>
      <c r="AH25" s="46" t="e">
        <f t="shared" si="11"/>
        <v>#DIV/0!</v>
      </c>
      <c r="AI25" s="46" t="e">
        <f t="shared" si="13"/>
        <v>#DIV/0!</v>
      </c>
      <c r="AJ25" s="46" t="e">
        <f t="shared" si="12"/>
        <v>#DIV/0!</v>
      </c>
      <c r="AK25" s="45" t="e">
        <f t="shared" si="12"/>
        <v>#DIV/0!</v>
      </c>
      <c r="AL25" s="44" t="e">
        <f t="shared" si="10"/>
        <v>#DIV/0!</v>
      </c>
    </row>
    <row r="26" spans="1:38" x14ac:dyDescent="0.35">
      <c r="A26" s="58" t="s">
        <v>51</v>
      </c>
      <c r="B26" s="57">
        <v>2</v>
      </c>
      <c r="C26" s="63">
        <v>4.6900000000000004</v>
      </c>
      <c r="D26" s="55">
        <f t="shared" si="2"/>
        <v>0.60267283474685174</v>
      </c>
      <c r="E26" s="54">
        <f>SUM(D6:D26)</f>
        <v>78.283217681829868</v>
      </c>
      <c r="G26" s="48">
        <f t="shared" si="3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4"/>
        <v>0</v>
      </c>
      <c r="R26" s="48">
        <f t="shared" si="5"/>
        <v>2</v>
      </c>
      <c r="S26" s="47" t="e">
        <f t="shared" si="6"/>
        <v>#DIV/0!</v>
      </c>
      <c r="T26" s="46" t="e">
        <f t="shared" si="6"/>
        <v>#DIV/0!</v>
      </c>
      <c r="U26" s="45" t="e">
        <f t="shared" si="6"/>
        <v>#DIV/0!</v>
      </c>
      <c r="V26" s="46" t="e">
        <f t="shared" si="6"/>
        <v>#DIV/0!</v>
      </c>
      <c r="W26" s="46" t="e">
        <f t="shared" si="6"/>
        <v>#DIV/0!</v>
      </c>
      <c r="X26" s="46" t="e">
        <f t="shared" si="6"/>
        <v>#DIV/0!</v>
      </c>
      <c r="Y26" s="46" t="e">
        <f t="shared" si="6"/>
        <v>#DIV/0!</v>
      </c>
      <c r="Z26" s="45" t="e">
        <f t="shared" si="6"/>
        <v>#DIV/0!</v>
      </c>
      <c r="AA26" s="49" t="e">
        <f t="shared" si="7"/>
        <v>#DIV/0!</v>
      </c>
      <c r="AC26" s="48">
        <f t="shared" si="8"/>
        <v>2</v>
      </c>
      <c r="AD26" s="47" t="e">
        <f t="shared" si="11"/>
        <v>#DIV/0!</v>
      </c>
      <c r="AE26" s="46" t="e">
        <f t="shared" si="11"/>
        <v>#DIV/0!</v>
      </c>
      <c r="AF26" s="45" t="e">
        <f t="shared" si="11"/>
        <v>#DIV/0!</v>
      </c>
      <c r="AG26" s="47" t="e">
        <f t="shared" si="11"/>
        <v>#DIV/0!</v>
      </c>
      <c r="AH26" s="46" t="e">
        <f t="shared" si="11"/>
        <v>#DIV/0!</v>
      </c>
      <c r="AI26" s="46" t="e">
        <f t="shared" si="13"/>
        <v>#DIV/0!</v>
      </c>
      <c r="AJ26" s="46" t="e">
        <f t="shared" si="12"/>
        <v>#DIV/0!</v>
      </c>
      <c r="AK26" s="45" t="e">
        <f t="shared" si="12"/>
        <v>#DIV/0!</v>
      </c>
      <c r="AL26" s="44" t="e">
        <f t="shared" si="10"/>
        <v>#DIV/0!</v>
      </c>
    </row>
    <row r="27" spans="1:38" x14ac:dyDescent="0.35">
      <c r="A27" s="58" t="s">
        <v>50</v>
      </c>
      <c r="B27" s="57">
        <v>2.5</v>
      </c>
      <c r="C27" s="63">
        <v>3.76</v>
      </c>
      <c r="D27" s="55">
        <f t="shared" si="2"/>
        <v>0.48316628116165505</v>
      </c>
      <c r="E27" s="54">
        <f>SUM(D7:D27)</f>
        <v>78.766383962991526</v>
      </c>
      <c r="G27" s="48">
        <f t="shared" si="3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4"/>
        <v>0</v>
      </c>
      <c r="R27" s="48">
        <f t="shared" si="5"/>
        <v>2.5</v>
      </c>
      <c r="S27" s="47" t="e">
        <f t="shared" si="6"/>
        <v>#DIV/0!</v>
      </c>
      <c r="T27" s="46" t="e">
        <f t="shared" si="6"/>
        <v>#DIV/0!</v>
      </c>
      <c r="U27" s="45" t="e">
        <f t="shared" si="6"/>
        <v>#DIV/0!</v>
      </c>
      <c r="V27" s="46" t="e">
        <f t="shared" si="6"/>
        <v>#DIV/0!</v>
      </c>
      <c r="W27" s="46" t="e">
        <f t="shared" si="6"/>
        <v>#DIV/0!</v>
      </c>
      <c r="X27" s="46" t="e">
        <f t="shared" si="6"/>
        <v>#DIV/0!</v>
      </c>
      <c r="Y27" s="46" t="e">
        <f t="shared" si="6"/>
        <v>#DIV/0!</v>
      </c>
      <c r="Z27" s="45" t="e">
        <f t="shared" si="6"/>
        <v>#DIV/0!</v>
      </c>
      <c r="AA27" s="49" t="e">
        <f t="shared" si="7"/>
        <v>#DIV/0!</v>
      </c>
      <c r="AC27" s="48">
        <f t="shared" si="8"/>
        <v>2.5</v>
      </c>
      <c r="AD27" s="47" t="e">
        <f t="shared" si="11"/>
        <v>#DIV/0!</v>
      </c>
      <c r="AE27" s="46" t="e">
        <f t="shared" si="11"/>
        <v>#DIV/0!</v>
      </c>
      <c r="AF27" s="45" t="e">
        <f t="shared" si="11"/>
        <v>#DIV/0!</v>
      </c>
      <c r="AG27" s="47" t="e">
        <f t="shared" si="11"/>
        <v>#DIV/0!</v>
      </c>
      <c r="AH27" s="46" t="e">
        <f t="shared" si="11"/>
        <v>#DIV/0!</v>
      </c>
      <c r="AI27" s="46" t="e">
        <f t="shared" si="13"/>
        <v>#DIV/0!</v>
      </c>
      <c r="AJ27" s="46" t="e">
        <f t="shared" si="12"/>
        <v>#DIV/0!</v>
      </c>
      <c r="AK27" s="45" t="e">
        <f t="shared" si="12"/>
        <v>#DIV/0!</v>
      </c>
      <c r="AL27" s="44" t="e">
        <f t="shared" si="10"/>
        <v>#DIV/0!</v>
      </c>
    </row>
    <row r="28" spans="1:38" x14ac:dyDescent="0.35">
      <c r="A28" s="58" t="s">
        <v>49</v>
      </c>
      <c r="B28" s="57">
        <v>3</v>
      </c>
      <c r="C28" s="63">
        <v>4.8099999999999996</v>
      </c>
      <c r="D28" s="55">
        <f t="shared" si="2"/>
        <v>0.61809303520945758</v>
      </c>
      <c r="E28" s="54">
        <f>SUM(D7:D28)</f>
        <v>79.384476998200981</v>
      </c>
      <c r="G28" s="48">
        <f t="shared" si="3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4"/>
        <v>0</v>
      </c>
      <c r="R28" s="48">
        <f t="shared" si="5"/>
        <v>3</v>
      </c>
      <c r="S28" s="47" t="e">
        <f t="shared" si="6"/>
        <v>#DIV/0!</v>
      </c>
      <c r="T28" s="46" t="e">
        <f t="shared" si="6"/>
        <v>#DIV/0!</v>
      </c>
      <c r="U28" s="45" t="e">
        <f t="shared" si="6"/>
        <v>#DIV/0!</v>
      </c>
      <c r="V28" s="46" t="e">
        <f t="shared" si="6"/>
        <v>#DIV/0!</v>
      </c>
      <c r="W28" s="46" t="e">
        <f t="shared" si="6"/>
        <v>#DIV/0!</v>
      </c>
      <c r="X28" s="46" t="e">
        <f t="shared" si="6"/>
        <v>#DIV/0!</v>
      </c>
      <c r="Y28" s="46" t="e">
        <f t="shared" si="6"/>
        <v>#DIV/0!</v>
      </c>
      <c r="Z28" s="45" t="e">
        <f t="shared" si="6"/>
        <v>#DIV/0!</v>
      </c>
      <c r="AA28" s="49" t="e">
        <f t="shared" si="7"/>
        <v>#DIV/0!</v>
      </c>
      <c r="AC28" s="48">
        <f t="shared" si="8"/>
        <v>3</v>
      </c>
      <c r="AD28" s="47" t="e">
        <f t="shared" si="11"/>
        <v>#DIV/0!</v>
      </c>
      <c r="AE28" s="46" t="e">
        <f t="shared" si="11"/>
        <v>#DIV/0!</v>
      </c>
      <c r="AF28" s="45" t="e">
        <f t="shared" si="11"/>
        <v>#DIV/0!</v>
      </c>
      <c r="AG28" s="47" t="e">
        <f t="shared" si="11"/>
        <v>#DIV/0!</v>
      </c>
      <c r="AH28" s="46" t="e">
        <f t="shared" si="11"/>
        <v>#DIV/0!</v>
      </c>
      <c r="AI28" s="46" t="e">
        <f t="shared" si="13"/>
        <v>#DIV/0!</v>
      </c>
      <c r="AJ28" s="46" t="e">
        <f t="shared" si="12"/>
        <v>#DIV/0!</v>
      </c>
      <c r="AK28" s="45" t="e">
        <f t="shared" si="12"/>
        <v>#DIV/0!</v>
      </c>
      <c r="AL28" s="44" t="e">
        <f t="shared" si="10"/>
        <v>#DIV/0!</v>
      </c>
    </row>
    <row r="29" spans="1:38" x14ac:dyDescent="0.35">
      <c r="A29" s="58" t="s">
        <v>48</v>
      </c>
      <c r="B29" s="57">
        <v>3.5</v>
      </c>
      <c r="C29" s="63">
        <v>10.06</v>
      </c>
      <c r="D29" s="55">
        <f t="shared" si="2"/>
        <v>1.2927268054484709</v>
      </c>
      <c r="E29" s="54">
        <f>SUM(D7:D29)</f>
        <v>80.677203803649448</v>
      </c>
      <c r="G29" s="48">
        <f t="shared" si="3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59">
        <v>0</v>
      </c>
      <c r="P29" s="50">
        <f t="shared" si="4"/>
        <v>0</v>
      </c>
      <c r="R29" s="48">
        <f t="shared" si="5"/>
        <v>3.5</v>
      </c>
      <c r="S29" s="47" t="e">
        <f t="shared" si="6"/>
        <v>#DIV/0!</v>
      </c>
      <c r="T29" s="46" t="e">
        <f t="shared" si="6"/>
        <v>#DIV/0!</v>
      </c>
      <c r="U29" s="45" t="e">
        <f t="shared" si="6"/>
        <v>#DIV/0!</v>
      </c>
      <c r="V29" s="46" t="e">
        <f t="shared" si="6"/>
        <v>#DIV/0!</v>
      </c>
      <c r="W29" s="46" t="e">
        <f t="shared" si="6"/>
        <v>#DIV/0!</v>
      </c>
      <c r="X29" s="46" t="e">
        <f t="shared" si="6"/>
        <v>#DIV/0!</v>
      </c>
      <c r="Y29" s="46" t="e">
        <f t="shared" si="6"/>
        <v>#DIV/0!</v>
      </c>
      <c r="Z29" s="45" t="e">
        <f t="shared" si="6"/>
        <v>#DIV/0!</v>
      </c>
      <c r="AA29" s="49" t="e">
        <f t="shared" si="7"/>
        <v>#DIV/0!</v>
      </c>
      <c r="AC29" s="48">
        <f t="shared" si="8"/>
        <v>3.5</v>
      </c>
      <c r="AD29" s="47" t="e">
        <f t="shared" si="11"/>
        <v>#DIV/0!</v>
      </c>
      <c r="AE29" s="46" t="e">
        <f t="shared" si="11"/>
        <v>#DIV/0!</v>
      </c>
      <c r="AF29" s="45" t="e">
        <f t="shared" si="11"/>
        <v>#DIV/0!</v>
      </c>
      <c r="AG29" s="47" t="e">
        <f t="shared" si="11"/>
        <v>#DIV/0!</v>
      </c>
      <c r="AH29" s="46" t="e">
        <f t="shared" si="11"/>
        <v>#DIV/0!</v>
      </c>
      <c r="AI29" s="46" t="e">
        <f t="shared" si="13"/>
        <v>#DIV/0!</v>
      </c>
      <c r="AJ29" s="46" t="e">
        <f t="shared" si="12"/>
        <v>#DIV/0!</v>
      </c>
      <c r="AK29" s="45" t="e">
        <f t="shared" si="12"/>
        <v>#DIV/0!</v>
      </c>
      <c r="AL29" s="44" t="e">
        <f t="shared" si="10"/>
        <v>#DIV/0!</v>
      </c>
    </row>
    <row r="30" spans="1:38" x14ac:dyDescent="0.35">
      <c r="A30" s="58" t="s">
        <v>47</v>
      </c>
      <c r="B30" s="57">
        <v>4</v>
      </c>
      <c r="C30" s="63">
        <v>14.46</v>
      </c>
      <c r="D30" s="55">
        <f t="shared" si="2"/>
        <v>1.8581341557440247</v>
      </c>
      <c r="E30" s="54">
        <f>SUM(D7:D30)</f>
        <v>82.535337959393473</v>
      </c>
      <c r="G30" s="48">
        <f t="shared" si="3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59">
        <v>0</v>
      </c>
      <c r="P30" s="50">
        <f t="shared" si="4"/>
        <v>0</v>
      </c>
      <c r="R30" s="48">
        <f t="shared" si="5"/>
        <v>4</v>
      </c>
      <c r="S30" s="47" t="e">
        <f t="shared" si="6"/>
        <v>#DIV/0!</v>
      </c>
      <c r="T30" s="46" t="e">
        <f t="shared" si="6"/>
        <v>#DIV/0!</v>
      </c>
      <c r="U30" s="45" t="e">
        <f t="shared" si="6"/>
        <v>#DIV/0!</v>
      </c>
      <c r="V30" s="46" t="e">
        <f t="shared" si="6"/>
        <v>#DIV/0!</v>
      </c>
      <c r="W30" s="46" t="e">
        <f t="shared" si="6"/>
        <v>#DIV/0!</v>
      </c>
      <c r="X30" s="46" t="e">
        <f t="shared" si="6"/>
        <v>#DIV/0!</v>
      </c>
      <c r="Y30" s="46" t="e">
        <f t="shared" si="6"/>
        <v>#DIV/0!</v>
      </c>
      <c r="Z30" s="45" t="e">
        <f t="shared" si="6"/>
        <v>#DIV/0!</v>
      </c>
      <c r="AA30" s="49" t="e">
        <f t="shared" si="7"/>
        <v>#DIV/0!</v>
      </c>
      <c r="AC30" s="48">
        <f t="shared" si="8"/>
        <v>4</v>
      </c>
      <c r="AD30" s="47" t="e">
        <f t="shared" si="11"/>
        <v>#DIV/0!</v>
      </c>
      <c r="AE30" s="46" t="e">
        <f t="shared" si="11"/>
        <v>#DIV/0!</v>
      </c>
      <c r="AF30" s="45" t="e">
        <f t="shared" si="11"/>
        <v>#DIV/0!</v>
      </c>
      <c r="AG30" s="47" t="e">
        <f t="shared" si="11"/>
        <v>#DIV/0!</v>
      </c>
      <c r="AH30" s="46" t="e">
        <f t="shared" si="11"/>
        <v>#DIV/0!</v>
      </c>
      <c r="AI30" s="46" t="e">
        <f t="shared" si="13"/>
        <v>#DIV/0!</v>
      </c>
      <c r="AJ30" s="46" t="e">
        <f t="shared" si="12"/>
        <v>#DIV/0!</v>
      </c>
      <c r="AK30" s="45" t="e">
        <f t="shared" si="12"/>
        <v>#DIV/0!</v>
      </c>
      <c r="AL30" s="44" t="e">
        <f t="shared" si="10"/>
        <v>#DIV/0!</v>
      </c>
    </row>
    <row r="31" spans="1:38" x14ac:dyDescent="0.35">
      <c r="A31" s="58" t="s">
        <v>46</v>
      </c>
      <c r="B31" s="57">
        <v>4.5</v>
      </c>
      <c r="C31" s="63">
        <v>135.91</v>
      </c>
      <c r="D31" s="55">
        <f t="shared" si="2"/>
        <v>17.464662040606527</v>
      </c>
      <c r="E31" s="54">
        <f>SUM(D7:D31)</f>
        <v>100</v>
      </c>
      <c r="G31" s="48">
        <f t="shared" si="3"/>
        <v>4.5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59">
        <v>0</v>
      </c>
      <c r="P31" s="50">
        <f t="shared" si="4"/>
        <v>0</v>
      </c>
      <c r="R31" s="48">
        <f t="shared" si="5"/>
        <v>4.5</v>
      </c>
      <c r="S31" s="47" t="e">
        <f t="shared" si="6"/>
        <v>#DIV/0!</v>
      </c>
      <c r="T31" s="46" t="e">
        <f t="shared" si="6"/>
        <v>#DIV/0!</v>
      </c>
      <c r="U31" s="45" t="e">
        <f t="shared" si="6"/>
        <v>#DIV/0!</v>
      </c>
      <c r="V31" s="46" t="e">
        <f t="shared" si="6"/>
        <v>#DIV/0!</v>
      </c>
      <c r="W31" s="46" t="e">
        <f t="shared" si="6"/>
        <v>#DIV/0!</v>
      </c>
      <c r="X31" s="46" t="e">
        <f t="shared" si="6"/>
        <v>#DIV/0!</v>
      </c>
      <c r="Y31" s="46" t="e">
        <f t="shared" si="6"/>
        <v>#DIV/0!</v>
      </c>
      <c r="Z31" s="45" t="e">
        <f t="shared" si="6"/>
        <v>#DIV/0!</v>
      </c>
      <c r="AA31" s="49" t="e">
        <f t="shared" si="7"/>
        <v>#DIV/0!</v>
      </c>
      <c r="AC31" s="48">
        <f t="shared" si="8"/>
        <v>4.5</v>
      </c>
      <c r="AD31" s="47" t="e">
        <f t="shared" si="11"/>
        <v>#DIV/0!</v>
      </c>
      <c r="AE31" s="46" t="e">
        <f t="shared" si="11"/>
        <v>#DIV/0!</v>
      </c>
      <c r="AF31" s="45" t="e">
        <f t="shared" si="11"/>
        <v>#DIV/0!</v>
      </c>
      <c r="AG31" s="47" t="e">
        <f t="shared" si="11"/>
        <v>#DIV/0!</v>
      </c>
      <c r="AH31" s="46" t="e">
        <f t="shared" si="11"/>
        <v>#DIV/0!</v>
      </c>
      <c r="AI31" s="46" t="e">
        <f t="shared" si="13"/>
        <v>#DIV/0!</v>
      </c>
      <c r="AJ31" s="46" t="e">
        <f t="shared" si="12"/>
        <v>#DIV/0!</v>
      </c>
      <c r="AK31" s="45" t="e">
        <f t="shared" si="12"/>
        <v>#DIV/0!</v>
      </c>
      <c r="AL31" s="44" t="e">
        <f t="shared" si="10"/>
        <v>#DIV/0!</v>
      </c>
    </row>
    <row r="32" spans="1:38" x14ac:dyDescent="0.35">
      <c r="A32" s="58" t="s">
        <v>45</v>
      </c>
      <c r="B32" s="57">
        <v>5</v>
      </c>
      <c r="C32" s="62">
        <v>0</v>
      </c>
      <c r="D32" s="55">
        <f t="shared" si="2"/>
        <v>0</v>
      </c>
      <c r="E32" s="54">
        <f>SUM(D7:D32)</f>
        <v>100</v>
      </c>
      <c r="G32" s="48">
        <f t="shared" si="3"/>
        <v>5</v>
      </c>
      <c r="H32" s="53">
        <v>0</v>
      </c>
      <c r="I32" s="52">
        <v>0</v>
      </c>
      <c r="J32" s="51">
        <v>0</v>
      </c>
      <c r="K32" s="52">
        <v>0</v>
      </c>
      <c r="L32" s="52">
        <v>0</v>
      </c>
      <c r="M32" s="52">
        <v>0</v>
      </c>
      <c r="N32" s="52">
        <v>0</v>
      </c>
      <c r="O32" s="51">
        <v>0</v>
      </c>
      <c r="P32" s="50">
        <f t="shared" si="4"/>
        <v>0</v>
      </c>
      <c r="R32" s="48">
        <f t="shared" si="5"/>
        <v>5</v>
      </c>
      <c r="S32" s="47" t="e">
        <f t="shared" si="6"/>
        <v>#DIV/0!</v>
      </c>
      <c r="T32" s="46" t="e">
        <f t="shared" si="6"/>
        <v>#DIV/0!</v>
      </c>
      <c r="U32" s="45" t="e">
        <f t="shared" si="6"/>
        <v>#DIV/0!</v>
      </c>
      <c r="V32" s="46" t="e">
        <f t="shared" si="6"/>
        <v>#DIV/0!</v>
      </c>
      <c r="W32" s="46" t="e">
        <f t="shared" si="6"/>
        <v>#DIV/0!</v>
      </c>
      <c r="X32" s="46" t="e">
        <f t="shared" si="6"/>
        <v>#DIV/0!</v>
      </c>
      <c r="Y32" s="46" t="e">
        <f t="shared" si="6"/>
        <v>#DIV/0!</v>
      </c>
      <c r="Z32" s="45" t="e">
        <f t="shared" si="6"/>
        <v>#DIV/0!</v>
      </c>
      <c r="AA32" s="49" t="e">
        <f t="shared" si="7"/>
        <v>#DIV/0!</v>
      </c>
      <c r="AC32" s="48">
        <f t="shared" si="8"/>
        <v>5</v>
      </c>
      <c r="AD32" s="47" t="e">
        <f t="shared" si="11"/>
        <v>#DIV/0!</v>
      </c>
      <c r="AE32" s="46" t="e">
        <f t="shared" si="11"/>
        <v>#DIV/0!</v>
      </c>
      <c r="AF32" s="45" t="e">
        <f t="shared" si="11"/>
        <v>#DIV/0!</v>
      </c>
      <c r="AG32" s="47" t="e">
        <f t="shared" si="11"/>
        <v>#DIV/0!</v>
      </c>
      <c r="AH32" s="46" t="e">
        <f t="shared" si="11"/>
        <v>#DIV/0!</v>
      </c>
      <c r="AI32" s="46" t="e">
        <f t="shared" si="13"/>
        <v>#DIV/0!</v>
      </c>
      <c r="AJ32" s="46" t="e">
        <f t="shared" si="12"/>
        <v>#DIV/0!</v>
      </c>
      <c r="AK32" s="45" t="e">
        <f t="shared" si="12"/>
        <v>#DIV/0!</v>
      </c>
      <c r="AL32" s="44" t="e">
        <f t="shared" si="10"/>
        <v>#DIV/0!</v>
      </c>
    </row>
    <row r="33" spans="1:38" ht="15" thickBot="1" x14ac:dyDescent="0.4">
      <c r="A33" s="43" t="s">
        <v>44</v>
      </c>
      <c r="B33" s="42" t="s">
        <v>43</v>
      </c>
      <c r="C33" s="41">
        <v>0</v>
      </c>
      <c r="D33" s="40">
        <f t="shared" si="2"/>
        <v>0</v>
      </c>
      <c r="E33" s="39">
        <f>SUM(D7:D33)</f>
        <v>100</v>
      </c>
      <c r="G33" s="33" t="str">
        <f t="shared" si="3"/>
        <v>&gt;6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4"/>
        <v>0</v>
      </c>
      <c r="R33" s="33" t="str">
        <f t="shared" si="5"/>
        <v>&gt;6</v>
      </c>
      <c r="S33" s="32" t="e">
        <f t="shared" si="6"/>
        <v>#DIV/0!</v>
      </c>
      <c r="T33" s="31" t="e">
        <f t="shared" si="6"/>
        <v>#DIV/0!</v>
      </c>
      <c r="U33" s="30" t="e">
        <f t="shared" si="6"/>
        <v>#DIV/0!</v>
      </c>
      <c r="V33" s="31" t="e">
        <f t="shared" si="6"/>
        <v>#DIV/0!</v>
      </c>
      <c r="W33" s="31" t="e">
        <f t="shared" si="6"/>
        <v>#DIV/0!</v>
      </c>
      <c r="X33" s="31" t="e">
        <f t="shared" si="6"/>
        <v>#DIV/0!</v>
      </c>
      <c r="Y33" s="31" t="e">
        <f t="shared" si="6"/>
        <v>#DIV/0!</v>
      </c>
      <c r="Z33" s="30" t="e">
        <f t="shared" si="6"/>
        <v>#DIV/0!</v>
      </c>
      <c r="AA33" s="34" t="e">
        <f t="shared" si="7"/>
        <v>#DIV/0!</v>
      </c>
      <c r="AC33" s="33" t="str">
        <f t="shared" si="8"/>
        <v>&gt;6</v>
      </c>
      <c r="AD33" s="32" t="e">
        <f t="shared" si="11"/>
        <v>#DIV/0!</v>
      </c>
      <c r="AE33" s="31" t="e">
        <f t="shared" si="11"/>
        <v>#DIV/0!</v>
      </c>
      <c r="AF33" s="30" t="e">
        <f t="shared" si="11"/>
        <v>#DIV/0!</v>
      </c>
      <c r="AG33" s="32" t="e">
        <f t="shared" si="11"/>
        <v>#DIV/0!</v>
      </c>
      <c r="AH33" s="31" t="e">
        <f t="shared" si="11"/>
        <v>#DIV/0!</v>
      </c>
      <c r="AI33" s="31" t="e">
        <f t="shared" si="13"/>
        <v>#DIV/0!</v>
      </c>
      <c r="AJ33" s="31" t="e">
        <f t="shared" si="12"/>
        <v>#DIV/0!</v>
      </c>
      <c r="AK33" s="30" t="e">
        <f t="shared" si="12"/>
        <v>#DIV/0!</v>
      </c>
      <c r="AL33" s="29" t="e">
        <f t="shared" si="10"/>
        <v>#DIV/0!</v>
      </c>
    </row>
    <row r="34" spans="1:38" x14ac:dyDescent="0.35">
      <c r="G34" t="s">
        <v>114</v>
      </c>
      <c r="H34">
        <f>SUM(H7:H33)</f>
        <v>398.51332105973279</v>
      </c>
      <c r="I34">
        <f t="shared" ref="I34:O34" si="14">SUM(I7:I33)</f>
        <v>33.450137629381409</v>
      </c>
      <c r="J34">
        <f t="shared" si="14"/>
        <v>0</v>
      </c>
      <c r="K34">
        <f t="shared" si="14"/>
        <v>20.344209931348448</v>
      </c>
      <c r="L34">
        <f t="shared" si="14"/>
        <v>99.092331379537356</v>
      </c>
      <c r="M34">
        <f t="shared" si="14"/>
        <v>0</v>
      </c>
      <c r="N34">
        <f t="shared" si="14"/>
        <v>0</v>
      </c>
      <c r="O34">
        <f t="shared" si="14"/>
        <v>0</v>
      </c>
      <c r="R34" s="28"/>
    </row>
    <row r="40" spans="1:38" x14ac:dyDescent="0.35">
      <c r="H40" s="27"/>
    </row>
    <row r="41" spans="1:38" x14ac:dyDescent="0.35">
      <c r="H41" s="27"/>
    </row>
    <row r="42" spans="1:38" x14ac:dyDescent="0.35">
      <c r="H42" s="27"/>
    </row>
    <row r="67" spans="1:5" x14ac:dyDescent="0.35">
      <c r="A67" s="5" t="s">
        <v>27</v>
      </c>
      <c r="B67" s="26"/>
      <c r="C67" s="2"/>
      <c r="D67" s="2"/>
    </row>
    <row r="68" spans="1:5" x14ac:dyDescent="0.35">
      <c r="A68" s="25" t="s">
        <v>42</v>
      </c>
      <c r="B68" s="25"/>
      <c r="C68" s="2"/>
      <c r="D68" s="2"/>
    </row>
    <row r="69" spans="1:5" x14ac:dyDescent="0.35">
      <c r="A69" s="24" t="s">
        <v>41</v>
      </c>
      <c r="B69" s="23">
        <v>5</v>
      </c>
      <c r="C69" s="18">
        <f t="shared" ref="C69:C75" si="15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-3.586013349514563</v>
      </c>
      <c r="D69" s="2"/>
    </row>
    <row r="70" spans="1:5" x14ac:dyDescent="0.35">
      <c r="A70" s="24" t="s">
        <v>41</v>
      </c>
      <c r="B70" s="23">
        <v>16</v>
      </c>
      <c r="C70" s="18">
        <f t="shared" si="15"/>
        <v>-2.899179190751445</v>
      </c>
      <c r="D70" s="2"/>
    </row>
    <row r="71" spans="1:5" x14ac:dyDescent="0.35">
      <c r="A71" s="24" t="s">
        <v>41</v>
      </c>
      <c r="B71" s="23">
        <v>25</v>
      </c>
      <c r="C71" s="18">
        <f t="shared" si="15"/>
        <v>-2.4941970630033157</v>
      </c>
      <c r="D71" s="2"/>
    </row>
    <row r="72" spans="1:5" x14ac:dyDescent="0.35">
      <c r="A72" s="24" t="s">
        <v>41</v>
      </c>
      <c r="B72" s="23">
        <v>50</v>
      </c>
      <c r="C72" s="18">
        <f t="shared" si="15"/>
        <v>-1.4031947652040031</v>
      </c>
      <c r="D72" s="2"/>
    </row>
    <row r="73" spans="1:5" x14ac:dyDescent="0.35">
      <c r="A73" s="24" t="s">
        <v>41</v>
      </c>
      <c r="B73" s="23">
        <v>75</v>
      </c>
      <c r="C73" s="18">
        <f t="shared" si="15"/>
        <v>0.51634214186369876</v>
      </c>
      <c r="D73" s="2"/>
    </row>
    <row r="74" spans="1:5" x14ac:dyDescent="0.35">
      <c r="A74" s="24" t="s">
        <v>41</v>
      </c>
      <c r="B74" s="23">
        <v>84</v>
      </c>
      <c r="C74" s="18">
        <f t="shared" si="15"/>
        <v>4.0419321609888899</v>
      </c>
      <c r="D74" s="2"/>
    </row>
    <row r="75" spans="1:5" x14ac:dyDescent="0.35">
      <c r="A75" s="24" t="s">
        <v>41</v>
      </c>
      <c r="B75" s="23">
        <v>95</v>
      </c>
      <c r="C75" s="18">
        <f t="shared" si="15"/>
        <v>4.356853800309028</v>
      </c>
      <c r="D75" s="2"/>
    </row>
    <row r="76" spans="1:5" x14ac:dyDescent="0.35">
      <c r="A76" s="18"/>
      <c r="B76" s="22"/>
      <c r="C76" s="2"/>
      <c r="D76" s="2"/>
    </row>
    <row r="77" spans="1:5" x14ac:dyDescent="0.35">
      <c r="A77" s="21" t="s">
        <v>40</v>
      </c>
      <c r="B77">
        <f>SUM(C7:C10)/SUM(C7:C33)</f>
        <v>0</v>
      </c>
      <c r="D77" s="19" t="s">
        <v>7</v>
      </c>
      <c r="E77" s="18">
        <f>SUM($D$7:$D$20)</f>
        <v>58.076329992289899</v>
      </c>
    </row>
    <row r="78" spans="1:5" x14ac:dyDescent="0.35">
      <c r="A78" s="20" t="s">
        <v>39</v>
      </c>
      <c r="B78">
        <f>SUM(C11:C20)/SUM(C7:C33)</f>
        <v>0.58076329992289899</v>
      </c>
      <c r="D78" s="19" t="s">
        <v>6</v>
      </c>
      <c r="E78" s="18">
        <f>SUM($D$21:$D$30)</f>
        <v>24.45900796710357</v>
      </c>
    </row>
    <row r="79" spans="1:5" x14ac:dyDescent="0.35">
      <c r="A79" s="20" t="s">
        <v>38</v>
      </c>
      <c r="B79">
        <f>SUM(C21:C33)/SUM(C7:C33)</f>
        <v>0.41923670007710095</v>
      </c>
      <c r="D79" s="19" t="s">
        <v>5</v>
      </c>
      <c r="E79" s="18">
        <f>SUM($D$31:$D$33)</f>
        <v>17.464662040606527</v>
      </c>
    </row>
    <row r="80" spans="1:5" x14ac:dyDescent="0.35">
      <c r="A80" s="11"/>
      <c r="B80" s="8"/>
      <c r="D80" s="2"/>
      <c r="E80" s="2"/>
    </row>
    <row r="81" spans="1:8" x14ac:dyDescent="0.35">
      <c r="A81" s="16" t="s">
        <v>4</v>
      </c>
      <c r="B81">
        <f>100*SUM(H7:J33)/SUM(P7:P33)</f>
        <v>78.33940128565726</v>
      </c>
      <c r="D81" s="16" t="s">
        <v>4</v>
      </c>
      <c r="E81">
        <f>100*SUM(H7:J33)/SUM(P7:P33)</f>
        <v>78.33940128565726</v>
      </c>
      <c r="G81" s="17" t="s">
        <v>2</v>
      </c>
      <c r="H81">
        <f>100*SUM(H7:H33)/(SUM(P7:P33)-SUM(M7:N33))</f>
        <v>72.27299982947639</v>
      </c>
    </row>
    <row r="82" spans="1:8" x14ac:dyDescent="0.35">
      <c r="A82" s="16" t="s">
        <v>0</v>
      </c>
      <c r="B82">
        <f>100*SUM(K7:L33)/SUM(P7:P33)</f>
        <v>21.660598714342722</v>
      </c>
      <c r="D82" s="16" t="s">
        <v>0</v>
      </c>
      <c r="E82">
        <f>100*SUM(K7:L33)/SUM(P7:P33)</f>
        <v>21.660598714342722</v>
      </c>
      <c r="G82" s="17" t="s">
        <v>1</v>
      </c>
      <c r="H82">
        <f>100*SUM(I7:J33)/(SUM(P7:P33)-SUM(M7:N33))</f>
        <v>6.0664014561808877</v>
      </c>
    </row>
    <row r="83" spans="1:8" x14ac:dyDescent="0.35">
      <c r="A83" s="16" t="s">
        <v>3</v>
      </c>
      <c r="B83">
        <f>100*SUM(O7:O33)/SUM(P7:P33)</f>
        <v>0</v>
      </c>
      <c r="D83" s="16" t="s">
        <v>37</v>
      </c>
      <c r="E83">
        <f>100*SUM(M7:N33)/SUM(P7:P33)</f>
        <v>0</v>
      </c>
      <c r="G83" s="17" t="s">
        <v>0</v>
      </c>
      <c r="H83">
        <f>100*SUM(K7:L33)/(SUM(P7:P33)-SUM(M7:N33))</f>
        <v>21.660598714342722</v>
      </c>
    </row>
    <row r="85" spans="1:8" x14ac:dyDescent="0.35">
      <c r="A85" s="16" t="s">
        <v>36</v>
      </c>
      <c r="B85" s="2"/>
      <c r="C85" s="2"/>
      <c r="D85" s="13">
        <f>(C70+C74+C72)/3</f>
        <v>-8.6813931655519427E-2</v>
      </c>
    </row>
    <row r="86" spans="1:8" x14ac:dyDescent="0.35">
      <c r="A86" s="14" t="s">
        <v>35</v>
      </c>
      <c r="B86" s="14"/>
      <c r="C86" s="14"/>
      <c r="D86" s="7">
        <f>C72</f>
        <v>-1.4031947652040031</v>
      </c>
    </row>
    <row r="87" spans="1:8" x14ac:dyDescent="0.35">
      <c r="A87" s="14" t="s">
        <v>34</v>
      </c>
      <c r="B87" s="14"/>
      <c r="C87" s="14"/>
      <c r="D87" s="7">
        <f>(C74-C70)/2</f>
        <v>3.4705556758701674</v>
      </c>
    </row>
    <row r="88" spans="1:8" x14ac:dyDescent="0.35">
      <c r="A88" s="15" t="s">
        <v>33</v>
      </c>
      <c r="B88" s="14"/>
      <c r="C88" s="14"/>
      <c r="D88" s="13">
        <f>(C74+C70-D86)/D87</f>
        <v>0.73358504320870932</v>
      </c>
    </row>
    <row r="89" spans="1:8" x14ac:dyDescent="0.35">
      <c r="A89" s="3" t="s">
        <v>32</v>
      </c>
      <c r="B89" s="12"/>
      <c r="C89" s="11"/>
      <c r="D89" s="7">
        <f>((C74-C70)/4)+((C75-C69)/6.6)</f>
        <v>2.938742557605325</v>
      </c>
    </row>
    <row r="90" spans="1:8" x14ac:dyDescent="0.35">
      <c r="A90" s="3" t="s">
        <v>31</v>
      </c>
      <c r="B90" s="10"/>
      <c r="C90" s="10"/>
      <c r="D90" s="7">
        <f>((C70+C74-(2*C72))/(2*(C74-C70)))+((C69+C75-(2*C72))/(2*(C75-C69)))</f>
        <v>0.50965985493178323</v>
      </c>
    </row>
    <row r="91" spans="1:8" x14ac:dyDescent="0.35">
      <c r="A91" s="3" t="s">
        <v>30</v>
      </c>
      <c r="B91" s="9"/>
      <c r="C91" s="8"/>
      <c r="D91" s="7">
        <f>(C74-C69)/(2.44*(C73-C71))</f>
        <v>1.0384210148739572</v>
      </c>
    </row>
    <row r="92" spans="1:8" x14ac:dyDescent="0.35">
      <c r="A92" s="6" t="s">
        <v>29</v>
      </c>
      <c r="B92" s="6"/>
      <c r="C92" s="5"/>
      <c r="D92" s="7">
        <f>(C70+C72+C74)/3</f>
        <v>-8.6813931655519497E-2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0.57137648511872241</v>
      </c>
    </row>
    <row r="95" spans="1:8" x14ac:dyDescent="0.35">
      <c r="A95" s="2" t="s">
        <v>9</v>
      </c>
      <c r="B95" s="2"/>
      <c r="C95" s="2"/>
      <c r="D95" s="1">
        <f>100-E23</f>
        <v>25.060395785145204</v>
      </c>
    </row>
    <row r="96" spans="1:8" x14ac:dyDescent="0.35">
      <c r="A96" s="2" t="s">
        <v>8</v>
      </c>
      <c r="B96" s="2"/>
      <c r="C96" s="2"/>
      <c r="D96" s="1">
        <f>100-E30</f>
        <v>17.464662040606527</v>
      </c>
    </row>
    <row r="98" spans="1:3" x14ac:dyDescent="0.35">
      <c r="A98" t="s">
        <v>101</v>
      </c>
      <c r="C98" t="str">
        <f>IF(SUM(M7:N33)&gt;0,"Mixed","No Mixed")</f>
        <v>No Mixed</v>
      </c>
    </row>
    <row r="99" spans="1:3" x14ac:dyDescent="0.35">
      <c r="A99" t="s">
        <v>102</v>
      </c>
      <c r="C99" t="str">
        <f>IF(SUM(J7:J33)&gt;0,"Obsidian","No obsidian")</f>
        <v>No obsidian</v>
      </c>
    </row>
  </sheetData>
  <mergeCells count="9">
    <mergeCell ref="V3:Z3"/>
    <mergeCell ref="AD3:AF3"/>
    <mergeCell ref="AG3:AK3"/>
    <mergeCell ref="A2:C2"/>
    <mergeCell ref="D2:E2"/>
    <mergeCell ref="K2:O2"/>
    <mergeCell ref="H3:J3"/>
    <mergeCell ref="K3:O3"/>
    <mergeCell ref="S3:U3"/>
  </mergeCells>
  <pageMargins left="0.7" right="0.7" top="0.75" bottom="0.75" header="0.3" footer="0.3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L99"/>
  <sheetViews>
    <sheetView tabSelected="1" zoomScale="63" zoomScaleNormal="100" workbookViewId="0">
      <selection activeCell="M28" sqref="M28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14.1796875" bestFit="1" customWidth="1"/>
    <col min="18" max="18" width="14.1796875" bestFit="1" customWidth="1"/>
    <col min="23" max="23" width="11.453125" customWidth="1"/>
  </cols>
  <sheetData>
    <row r="1" spans="1:38" ht="15" thickBot="1" x14ac:dyDescent="0.4">
      <c r="A1" s="111"/>
      <c r="F1" s="110"/>
    </row>
    <row r="2" spans="1:38" ht="15" thickBot="1" x14ac:dyDescent="0.4">
      <c r="A2" s="157" t="s">
        <v>91</v>
      </c>
      <c r="B2" s="158"/>
      <c r="C2" s="158"/>
      <c r="D2" s="159" t="str">
        <f ca="1">RIGHT(CELL("nomfichier",A1),LEN(CELL("nomfichier",A1))-FIND("]",CELL("nomfichier",A1)))</f>
        <v>MAY190407_5</v>
      </c>
      <c r="E2" s="160"/>
      <c r="G2" s="109" t="s">
        <v>90</v>
      </c>
      <c r="H2" s="108" t="str">
        <f ca="1">D2</f>
        <v>MAY190407_5</v>
      </c>
      <c r="I2" s="108"/>
      <c r="J2" s="107"/>
      <c r="K2" s="161"/>
      <c r="L2" s="162"/>
      <c r="M2" s="162"/>
      <c r="N2" s="162"/>
      <c r="O2" s="163"/>
    </row>
    <row r="3" spans="1:38" ht="15" thickBot="1" x14ac:dyDescent="0.4">
      <c r="A3" s="106"/>
      <c r="B3" s="105"/>
      <c r="C3" s="105"/>
      <c r="D3" s="105"/>
      <c r="E3" s="104"/>
      <c r="G3" s="103"/>
      <c r="H3" s="154" t="s">
        <v>88</v>
      </c>
      <c r="I3" s="155"/>
      <c r="J3" s="156"/>
      <c r="K3" s="154" t="s">
        <v>87</v>
      </c>
      <c r="L3" s="155"/>
      <c r="M3" s="155"/>
      <c r="N3" s="155"/>
      <c r="O3" s="156"/>
      <c r="S3" s="154" t="s">
        <v>88</v>
      </c>
      <c r="T3" s="155"/>
      <c r="U3" s="156"/>
      <c r="V3" s="154" t="s">
        <v>87</v>
      </c>
      <c r="W3" s="155"/>
      <c r="X3" s="155"/>
      <c r="Y3" s="155"/>
      <c r="Z3" s="156"/>
      <c r="AD3" s="154" t="s">
        <v>88</v>
      </c>
      <c r="AE3" s="155"/>
      <c r="AF3" s="156"/>
      <c r="AG3" s="154" t="s">
        <v>87</v>
      </c>
      <c r="AH3" s="155"/>
      <c r="AI3" s="155"/>
      <c r="AJ3" s="155"/>
      <c r="AK3" s="156"/>
    </row>
    <row r="4" spans="1:38" ht="15" thickBot="1" x14ac:dyDescent="0.4">
      <c r="A4" s="102" t="s">
        <v>86</v>
      </c>
      <c r="B4" s="101">
        <f>SUM(C7:C33)</f>
        <v>328.90235486473819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77</v>
      </c>
      <c r="P4" s="94" t="s">
        <v>76</v>
      </c>
      <c r="R4" s="97" t="str">
        <f t="shared" ref="R4:Z4" si="0">G4</f>
        <v>Grain size (phi)</v>
      </c>
      <c r="S4" s="95" t="str">
        <f t="shared" si="0"/>
        <v>Pumices</v>
      </c>
      <c r="T4" s="95" t="str">
        <f t="shared" si="0"/>
        <v>Dense juveniles</v>
      </c>
      <c r="U4" s="95" t="str">
        <f t="shared" si="0"/>
        <v>Obsidian</v>
      </c>
      <c r="V4" s="96" t="str">
        <f t="shared" si="0"/>
        <v>Coral fragments</v>
      </c>
      <c r="W4" s="95" t="str">
        <f t="shared" si="0"/>
        <v>Mafic clasts</v>
      </c>
      <c r="X4" s="95" t="str">
        <f t="shared" si="0"/>
        <v>Aggregate</v>
      </c>
      <c r="Y4" s="95" t="str">
        <f t="shared" si="0"/>
        <v>Accretionnary lapilli</v>
      </c>
      <c r="Z4" s="94" t="str">
        <f t="shared" si="0"/>
        <v>Crystals</v>
      </c>
      <c r="AA4" s="94" t="s">
        <v>76</v>
      </c>
      <c r="AC4" s="97" t="str">
        <f t="shared" ref="AC4:AK4" si="1">R4</f>
        <v>Grain size (phi)</v>
      </c>
      <c r="AD4" s="95" t="str">
        <f t="shared" si="1"/>
        <v>Pumices</v>
      </c>
      <c r="AE4" s="95" t="str">
        <f t="shared" si="1"/>
        <v>Dense juveniles</v>
      </c>
      <c r="AF4" s="95" t="str">
        <f t="shared" si="1"/>
        <v>Obsidian</v>
      </c>
      <c r="AG4" s="96" t="str">
        <f t="shared" si="1"/>
        <v>Coral fragments</v>
      </c>
      <c r="AH4" s="95" t="str">
        <f t="shared" si="1"/>
        <v>Mafic clasts</v>
      </c>
      <c r="AI4" s="95" t="str">
        <f t="shared" si="1"/>
        <v>Aggregate</v>
      </c>
      <c r="AJ4" s="95" t="str">
        <f t="shared" si="1"/>
        <v>Accretionnary lapilli</v>
      </c>
      <c r="AK4" s="94" t="str">
        <f t="shared" si="1"/>
        <v>Crystals</v>
      </c>
      <c r="AL4" s="94" t="s">
        <v>76</v>
      </c>
    </row>
    <row r="5" spans="1:38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R5" s="77"/>
      <c r="S5" s="85"/>
      <c r="T5" s="84"/>
      <c r="U5" s="83"/>
      <c r="V5" s="84"/>
      <c r="W5" s="84"/>
      <c r="X5" s="84"/>
      <c r="Y5" s="84"/>
      <c r="Z5" s="83"/>
      <c r="AA5" s="82"/>
      <c r="AC5" s="77"/>
      <c r="AD5" s="85"/>
      <c r="AE5" s="84"/>
      <c r="AF5" s="83"/>
      <c r="AG5" s="85"/>
      <c r="AH5" s="84"/>
      <c r="AI5" s="84"/>
      <c r="AJ5" s="84"/>
      <c r="AK5" s="83"/>
      <c r="AL5" s="82"/>
    </row>
    <row r="6" spans="1:38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R6" s="77"/>
      <c r="S6" s="77"/>
      <c r="U6" s="76"/>
      <c r="Z6" s="76"/>
      <c r="AA6" s="49"/>
      <c r="AC6" s="77"/>
      <c r="AD6" s="77"/>
      <c r="AF6" s="76"/>
      <c r="AG6" s="77"/>
      <c r="AK6" s="76"/>
      <c r="AL6" s="49"/>
    </row>
    <row r="7" spans="1:38" x14ac:dyDescent="0.35">
      <c r="A7" s="75" t="s">
        <v>70</v>
      </c>
      <c r="B7" s="74">
        <v>-7.5</v>
      </c>
      <c r="C7" s="130">
        <v>0</v>
      </c>
      <c r="D7" s="55">
        <f t="shared" ref="D7:D33" si="2">(C7/SUM($C$7:$C$33))*100</f>
        <v>0</v>
      </c>
      <c r="E7" s="73">
        <v>0</v>
      </c>
      <c r="G7" s="48">
        <f t="shared" ref="G7:G33" si="3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4">SUM(H7:O7)</f>
        <v>0</v>
      </c>
      <c r="R7" s="48">
        <f t="shared" ref="R7:R33" si="5">G7</f>
        <v>-7.5</v>
      </c>
      <c r="S7" s="47" t="e">
        <f t="shared" ref="S7:Z33" si="6">100*H7/$P7</f>
        <v>#DIV/0!</v>
      </c>
      <c r="T7" s="46" t="e">
        <f t="shared" si="6"/>
        <v>#DIV/0!</v>
      </c>
      <c r="U7" s="45" t="e">
        <f t="shared" si="6"/>
        <v>#DIV/0!</v>
      </c>
      <c r="V7" s="46" t="e">
        <f t="shared" si="6"/>
        <v>#DIV/0!</v>
      </c>
      <c r="W7" s="46" t="e">
        <f t="shared" si="6"/>
        <v>#DIV/0!</v>
      </c>
      <c r="X7" s="46" t="e">
        <f t="shared" si="6"/>
        <v>#DIV/0!</v>
      </c>
      <c r="Y7" s="46" t="e">
        <f t="shared" si="6"/>
        <v>#DIV/0!</v>
      </c>
      <c r="Z7" s="45" t="e">
        <f t="shared" si="6"/>
        <v>#DIV/0!</v>
      </c>
      <c r="AA7" s="49" t="e">
        <f t="shared" ref="AA7:AA33" si="7">SUM(S7:Z7)</f>
        <v>#DIV/0!</v>
      </c>
      <c r="AC7" s="48">
        <f t="shared" ref="AC7:AC33" si="8">R7</f>
        <v>-7.5</v>
      </c>
      <c r="AD7" s="47" t="e">
        <f t="shared" ref="AD7:AK14" si="9">S7*100/(SUM($S7:$W7)+SUM($Y7:$Z7))</f>
        <v>#DIV/0!</v>
      </c>
      <c r="AE7" s="46" t="e">
        <f t="shared" si="9"/>
        <v>#DIV/0!</v>
      </c>
      <c r="AF7" s="45" t="e">
        <f t="shared" si="9"/>
        <v>#DIV/0!</v>
      </c>
      <c r="AG7" s="47" t="e">
        <f t="shared" si="9"/>
        <v>#DIV/0!</v>
      </c>
      <c r="AH7" s="46" t="e">
        <f t="shared" si="9"/>
        <v>#DIV/0!</v>
      </c>
      <c r="AI7" s="46" t="e">
        <f t="shared" si="9"/>
        <v>#DIV/0!</v>
      </c>
      <c r="AJ7" s="46" t="e">
        <f t="shared" si="9"/>
        <v>#DIV/0!</v>
      </c>
      <c r="AK7" s="45" t="e">
        <f t="shared" si="9"/>
        <v>#DIV/0!</v>
      </c>
      <c r="AL7" s="44" t="e">
        <f t="shared" ref="AL7:AL33" si="10">SUM(AD7:AK7)</f>
        <v>#DIV/0!</v>
      </c>
    </row>
    <row r="8" spans="1:38" x14ac:dyDescent="0.35">
      <c r="A8" s="58" t="s">
        <v>69</v>
      </c>
      <c r="B8" s="57">
        <v>-7</v>
      </c>
      <c r="C8" s="130">
        <v>0</v>
      </c>
      <c r="D8" s="55">
        <f t="shared" si="2"/>
        <v>0</v>
      </c>
      <c r="E8" s="73">
        <f>SUM(D6,D8)</f>
        <v>0</v>
      </c>
      <c r="G8" s="48">
        <f t="shared" si="3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4"/>
        <v>0</v>
      </c>
      <c r="R8" s="48">
        <f t="shared" si="5"/>
        <v>-7</v>
      </c>
      <c r="S8" s="47" t="e">
        <f t="shared" si="6"/>
        <v>#DIV/0!</v>
      </c>
      <c r="T8" s="46" t="e">
        <f t="shared" si="6"/>
        <v>#DIV/0!</v>
      </c>
      <c r="U8" s="45" t="e">
        <f t="shared" si="6"/>
        <v>#DIV/0!</v>
      </c>
      <c r="V8" s="46" t="e">
        <f t="shared" si="6"/>
        <v>#DIV/0!</v>
      </c>
      <c r="W8" s="46" t="e">
        <f t="shared" si="6"/>
        <v>#DIV/0!</v>
      </c>
      <c r="X8" s="46" t="e">
        <f t="shared" si="6"/>
        <v>#DIV/0!</v>
      </c>
      <c r="Y8" s="46" t="e">
        <f t="shared" si="6"/>
        <v>#DIV/0!</v>
      </c>
      <c r="Z8" s="45" t="e">
        <f t="shared" si="6"/>
        <v>#DIV/0!</v>
      </c>
      <c r="AA8" s="49" t="e">
        <f t="shared" si="7"/>
        <v>#DIV/0!</v>
      </c>
      <c r="AC8" s="48">
        <f t="shared" si="8"/>
        <v>-7</v>
      </c>
      <c r="AD8" s="47" t="e">
        <f t="shared" si="9"/>
        <v>#DIV/0!</v>
      </c>
      <c r="AE8" s="46" t="e">
        <f t="shared" si="9"/>
        <v>#DIV/0!</v>
      </c>
      <c r="AF8" s="45" t="e">
        <f t="shared" si="9"/>
        <v>#DIV/0!</v>
      </c>
      <c r="AG8" s="47" t="e">
        <f t="shared" si="9"/>
        <v>#DIV/0!</v>
      </c>
      <c r="AH8" s="46" t="e">
        <f t="shared" si="9"/>
        <v>#DIV/0!</v>
      </c>
      <c r="AI8" s="46" t="e">
        <f t="shared" si="9"/>
        <v>#DIV/0!</v>
      </c>
      <c r="AJ8" s="46" t="e">
        <f t="shared" si="9"/>
        <v>#DIV/0!</v>
      </c>
      <c r="AK8" s="45" t="e">
        <f t="shared" si="9"/>
        <v>#DIV/0!</v>
      </c>
      <c r="AL8" s="44" t="e">
        <f t="shared" si="10"/>
        <v>#DIV/0!</v>
      </c>
    </row>
    <row r="9" spans="1:38" x14ac:dyDescent="0.35">
      <c r="A9" s="58" t="s">
        <v>68</v>
      </c>
      <c r="B9" s="57">
        <v>-6.5</v>
      </c>
      <c r="C9" s="130">
        <v>0</v>
      </c>
      <c r="D9" s="55">
        <f t="shared" si="2"/>
        <v>0</v>
      </c>
      <c r="E9" s="73">
        <f>SUM(D6:D9)</f>
        <v>0</v>
      </c>
      <c r="G9" s="48">
        <f t="shared" si="3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4"/>
        <v>0</v>
      </c>
      <c r="R9" s="48">
        <f t="shared" si="5"/>
        <v>-6.5</v>
      </c>
      <c r="S9" s="47" t="e">
        <f t="shared" si="6"/>
        <v>#DIV/0!</v>
      </c>
      <c r="T9" s="46" t="e">
        <f t="shared" si="6"/>
        <v>#DIV/0!</v>
      </c>
      <c r="U9" s="45" t="e">
        <f t="shared" si="6"/>
        <v>#DIV/0!</v>
      </c>
      <c r="V9" s="46" t="e">
        <f t="shared" si="6"/>
        <v>#DIV/0!</v>
      </c>
      <c r="W9" s="46" t="e">
        <f t="shared" si="6"/>
        <v>#DIV/0!</v>
      </c>
      <c r="X9" s="46" t="e">
        <f t="shared" si="6"/>
        <v>#DIV/0!</v>
      </c>
      <c r="Y9" s="46" t="e">
        <f t="shared" si="6"/>
        <v>#DIV/0!</v>
      </c>
      <c r="Z9" s="45" t="e">
        <f t="shared" si="6"/>
        <v>#DIV/0!</v>
      </c>
      <c r="AA9" s="49" t="e">
        <f t="shared" si="7"/>
        <v>#DIV/0!</v>
      </c>
      <c r="AC9" s="48">
        <f t="shared" si="8"/>
        <v>-6.5</v>
      </c>
      <c r="AD9" s="47" t="e">
        <f t="shared" si="9"/>
        <v>#DIV/0!</v>
      </c>
      <c r="AE9" s="46" t="e">
        <f t="shared" si="9"/>
        <v>#DIV/0!</v>
      </c>
      <c r="AF9" s="45" t="e">
        <f t="shared" si="9"/>
        <v>#DIV/0!</v>
      </c>
      <c r="AG9" s="47" t="e">
        <f t="shared" si="9"/>
        <v>#DIV/0!</v>
      </c>
      <c r="AH9" s="46" t="e">
        <f t="shared" si="9"/>
        <v>#DIV/0!</v>
      </c>
      <c r="AI9" s="46" t="e">
        <f t="shared" si="9"/>
        <v>#DIV/0!</v>
      </c>
      <c r="AJ9" s="46" t="e">
        <f t="shared" si="9"/>
        <v>#DIV/0!</v>
      </c>
      <c r="AK9" s="45" t="e">
        <f t="shared" si="9"/>
        <v>#DIV/0!</v>
      </c>
      <c r="AL9" s="44" t="e">
        <f t="shared" si="10"/>
        <v>#DIV/0!</v>
      </c>
    </row>
    <row r="10" spans="1:38" x14ac:dyDescent="0.35">
      <c r="A10" s="58" t="s">
        <v>67</v>
      </c>
      <c r="B10" s="57">
        <v>-6</v>
      </c>
      <c r="C10" s="130">
        <v>0</v>
      </c>
      <c r="D10" s="55">
        <f t="shared" si="2"/>
        <v>0</v>
      </c>
      <c r="E10" s="54">
        <f>SUM(D6:D10)</f>
        <v>0</v>
      </c>
      <c r="G10" s="48">
        <f t="shared" si="3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4"/>
        <v>0</v>
      </c>
      <c r="R10" s="48">
        <f t="shared" si="5"/>
        <v>-6</v>
      </c>
      <c r="S10" s="47" t="e">
        <f t="shared" si="6"/>
        <v>#DIV/0!</v>
      </c>
      <c r="T10" s="46" t="e">
        <f t="shared" si="6"/>
        <v>#DIV/0!</v>
      </c>
      <c r="U10" s="45" t="e">
        <f t="shared" si="6"/>
        <v>#DIV/0!</v>
      </c>
      <c r="V10" s="46" t="e">
        <f t="shared" si="6"/>
        <v>#DIV/0!</v>
      </c>
      <c r="W10" s="46" t="e">
        <f t="shared" si="6"/>
        <v>#DIV/0!</v>
      </c>
      <c r="X10" s="46" t="e">
        <f t="shared" si="6"/>
        <v>#DIV/0!</v>
      </c>
      <c r="Y10" s="46" t="e">
        <f t="shared" si="6"/>
        <v>#DIV/0!</v>
      </c>
      <c r="Z10" s="45" t="e">
        <f t="shared" si="6"/>
        <v>#DIV/0!</v>
      </c>
      <c r="AA10" s="49" t="e">
        <f t="shared" si="7"/>
        <v>#DIV/0!</v>
      </c>
      <c r="AC10" s="48">
        <f t="shared" si="8"/>
        <v>-6</v>
      </c>
      <c r="AD10" s="47" t="e">
        <f t="shared" si="9"/>
        <v>#DIV/0!</v>
      </c>
      <c r="AE10" s="46" t="e">
        <f t="shared" si="9"/>
        <v>#DIV/0!</v>
      </c>
      <c r="AF10" s="45" t="e">
        <f t="shared" si="9"/>
        <v>#DIV/0!</v>
      </c>
      <c r="AG10" s="47" t="e">
        <f t="shared" si="9"/>
        <v>#DIV/0!</v>
      </c>
      <c r="AH10" s="46" t="e">
        <f t="shared" si="9"/>
        <v>#DIV/0!</v>
      </c>
      <c r="AI10" s="46" t="e">
        <f t="shared" si="9"/>
        <v>#DIV/0!</v>
      </c>
      <c r="AJ10" s="46" t="e">
        <f t="shared" si="9"/>
        <v>#DIV/0!</v>
      </c>
      <c r="AK10" s="45" t="e">
        <f t="shared" si="9"/>
        <v>#DIV/0!</v>
      </c>
      <c r="AL10" s="44" t="e">
        <f t="shared" si="10"/>
        <v>#DIV/0!</v>
      </c>
    </row>
    <row r="11" spans="1:38" x14ac:dyDescent="0.35">
      <c r="A11" s="58" t="s">
        <v>66</v>
      </c>
      <c r="B11" s="57">
        <v>-5.5</v>
      </c>
      <c r="C11" s="130">
        <v>0</v>
      </c>
      <c r="D11" s="55">
        <f t="shared" si="2"/>
        <v>0</v>
      </c>
      <c r="E11" s="54">
        <f>SUM(D6:D11)</f>
        <v>0</v>
      </c>
      <c r="G11" s="48">
        <f t="shared" si="3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50">
        <f t="shared" si="4"/>
        <v>0</v>
      </c>
      <c r="R11" s="48">
        <f t="shared" si="5"/>
        <v>-5.5</v>
      </c>
      <c r="S11" s="47" t="e">
        <f t="shared" si="6"/>
        <v>#DIV/0!</v>
      </c>
      <c r="T11" s="46" t="e">
        <f t="shared" si="6"/>
        <v>#DIV/0!</v>
      </c>
      <c r="U11" s="45" t="e">
        <f t="shared" si="6"/>
        <v>#DIV/0!</v>
      </c>
      <c r="V11" s="46" t="e">
        <f t="shared" si="6"/>
        <v>#DIV/0!</v>
      </c>
      <c r="W11" s="46" t="e">
        <f t="shared" si="6"/>
        <v>#DIV/0!</v>
      </c>
      <c r="X11" s="46" t="e">
        <f t="shared" si="6"/>
        <v>#DIV/0!</v>
      </c>
      <c r="Y11" s="46" t="e">
        <f t="shared" si="6"/>
        <v>#DIV/0!</v>
      </c>
      <c r="Z11" s="45" t="e">
        <f t="shared" si="6"/>
        <v>#DIV/0!</v>
      </c>
      <c r="AA11" s="49" t="e">
        <f t="shared" si="7"/>
        <v>#DIV/0!</v>
      </c>
      <c r="AC11" s="48">
        <f t="shared" si="8"/>
        <v>-5.5</v>
      </c>
      <c r="AD11" s="47" t="e">
        <f t="shared" si="9"/>
        <v>#DIV/0!</v>
      </c>
      <c r="AE11" s="46" t="e">
        <f t="shared" si="9"/>
        <v>#DIV/0!</v>
      </c>
      <c r="AF11" s="45" t="e">
        <f t="shared" si="9"/>
        <v>#DIV/0!</v>
      </c>
      <c r="AG11" s="47" t="e">
        <f t="shared" si="9"/>
        <v>#DIV/0!</v>
      </c>
      <c r="AH11" s="46" t="e">
        <f t="shared" si="9"/>
        <v>#DIV/0!</v>
      </c>
      <c r="AI11" s="46" t="e">
        <f t="shared" si="9"/>
        <v>#DIV/0!</v>
      </c>
      <c r="AJ11" s="46" t="e">
        <f t="shared" si="9"/>
        <v>#DIV/0!</v>
      </c>
      <c r="AK11" s="45" t="e">
        <f t="shared" si="9"/>
        <v>#DIV/0!</v>
      </c>
      <c r="AL11" s="44" t="e">
        <f t="shared" si="10"/>
        <v>#DIV/0!</v>
      </c>
    </row>
    <row r="12" spans="1:38" x14ac:dyDescent="0.35">
      <c r="A12" s="58" t="s">
        <v>65</v>
      </c>
      <c r="B12" s="57">
        <v>-5</v>
      </c>
      <c r="C12" s="130">
        <v>0</v>
      </c>
      <c r="D12" s="55">
        <f t="shared" si="2"/>
        <v>0</v>
      </c>
      <c r="E12" s="54">
        <f>SUM(D6:D12)</f>
        <v>0</v>
      </c>
      <c r="G12" s="48">
        <f t="shared" si="3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50">
        <f t="shared" si="4"/>
        <v>0</v>
      </c>
      <c r="R12" s="48">
        <f t="shared" si="5"/>
        <v>-5</v>
      </c>
      <c r="S12" s="47" t="e">
        <f t="shared" si="6"/>
        <v>#DIV/0!</v>
      </c>
      <c r="T12" s="46" t="e">
        <f t="shared" si="6"/>
        <v>#DIV/0!</v>
      </c>
      <c r="U12" s="45" t="e">
        <f t="shared" si="6"/>
        <v>#DIV/0!</v>
      </c>
      <c r="V12" s="46" t="e">
        <f t="shared" si="6"/>
        <v>#DIV/0!</v>
      </c>
      <c r="W12" s="46" t="e">
        <f t="shared" si="6"/>
        <v>#DIV/0!</v>
      </c>
      <c r="X12" s="46" t="e">
        <f t="shared" si="6"/>
        <v>#DIV/0!</v>
      </c>
      <c r="Y12" s="46" t="e">
        <f t="shared" si="6"/>
        <v>#DIV/0!</v>
      </c>
      <c r="Z12" s="45" t="e">
        <f t="shared" si="6"/>
        <v>#DIV/0!</v>
      </c>
      <c r="AA12" s="49" t="e">
        <f t="shared" si="7"/>
        <v>#DIV/0!</v>
      </c>
      <c r="AC12" s="48">
        <f t="shared" si="8"/>
        <v>-5</v>
      </c>
      <c r="AD12" s="47" t="e">
        <f t="shared" si="9"/>
        <v>#DIV/0!</v>
      </c>
      <c r="AE12" s="46" t="e">
        <f t="shared" si="9"/>
        <v>#DIV/0!</v>
      </c>
      <c r="AF12" s="45" t="e">
        <f t="shared" si="9"/>
        <v>#DIV/0!</v>
      </c>
      <c r="AG12" s="47" t="e">
        <f t="shared" si="9"/>
        <v>#DIV/0!</v>
      </c>
      <c r="AH12" s="46" t="e">
        <f t="shared" si="9"/>
        <v>#DIV/0!</v>
      </c>
      <c r="AI12" s="46" t="e">
        <f t="shared" si="9"/>
        <v>#DIV/0!</v>
      </c>
      <c r="AJ12" s="46" t="e">
        <f t="shared" si="9"/>
        <v>#DIV/0!</v>
      </c>
      <c r="AK12" s="45" t="e">
        <f t="shared" si="9"/>
        <v>#DIV/0!</v>
      </c>
      <c r="AL12" s="44" t="e">
        <f t="shared" si="10"/>
        <v>#DIV/0!</v>
      </c>
    </row>
    <row r="13" spans="1:38" x14ac:dyDescent="0.35">
      <c r="A13" s="58" t="s">
        <v>64</v>
      </c>
      <c r="B13" s="57">
        <v>-4.5</v>
      </c>
      <c r="C13" s="130">
        <v>0</v>
      </c>
      <c r="D13" s="55">
        <f t="shared" si="2"/>
        <v>0</v>
      </c>
      <c r="E13" s="54">
        <f>SUM(D7:D13)</f>
        <v>0</v>
      </c>
      <c r="G13" s="48">
        <f t="shared" si="3"/>
        <v>-4.5</v>
      </c>
      <c r="H13" s="61">
        <v>0</v>
      </c>
      <c r="I13" s="60">
        <v>0</v>
      </c>
      <c r="J13" s="59">
        <v>0</v>
      </c>
      <c r="K13" s="60">
        <v>0</v>
      </c>
      <c r="L13" s="60">
        <v>0</v>
      </c>
      <c r="M13" s="60">
        <v>0</v>
      </c>
      <c r="N13" s="60">
        <v>0</v>
      </c>
      <c r="O13" s="60">
        <v>0</v>
      </c>
      <c r="P13" s="50">
        <f t="shared" si="4"/>
        <v>0</v>
      </c>
      <c r="R13" s="48">
        <f t="shared" si="5"/>
        <v>-4.5</v>
      </c>
      <c r="S13" s="47" t="e">
        <f t="shared" si="6"/>
        <v>#DIV/0!</v>
      </c>
      <c r="T13" s="46" t="e">
        <f t="shared" si="6"/>
        <v>#DIV/0!</v>
      </c>
      <c r="U13" s="45" t="e">
        <f t="shared" si="6"/>
        <v>#DIV/0!</v>
      </c>
      <c r="V13" s="46" t="e">
        <f t="shared" si="6"/>
        <v>#DIV/0!</v>
      </c>
      <c r="W13" s="46" t="e">
        <f t="shared" si="6"/>
        <v>#DIV/0!</v>
      </c>
      <c r="X13" s="46" t="e">
        <f t="shared" si="6"/>
        <v>#DIV/0!</v>
      </c>
      <c r="Y13" s="46" t="e">
        <f t="shared" si="6"/>
        <v>#DIV/0!</v>
      </c>
      <c r="Z13" s="45" t="e">
        <f t="shared" si="6"/>
        <v>#DIV/0!</v>
      </c>
      <c r="AA13" s="49" t="e">
        <f t="shared" si="7"/>
        <v>#DIV/0!</v>
      </c>
      <c r="AC13" s="48">
        <f t="shared" si="8"/>
        <v>-4.5</v>
      </c>
      <c r="AD13" s="47" t="e">
        <f t="shared" si="9"/>
        <v>#DIV/0!</v>
      </c>
      <c r="AE13" s="46" t="e">
        <f t="shared" si="9"/>
        <v>#DIV/0!</v>
      </c>
      <c r="AF13" s="45" t="e">
        <f t="shared" si="9"/>
        <v>#DIV/0!</v>
      </c>
      <c r="AG13" s="47" t="e">
        <f t="shared" si="9"/>
        <v>#DIV/0!</v>
      </c>
      <c r="AH13" s="46" t="e">
        <f t="shared" si="9"/>
        <v>#DIV/0!</v>
      </c>
      <c r="AI13" s="46" t="e">
        <f t="shared" si="9"/>
        <v>#DIV/0!</v>
      </c>
      <c r="AJ13" s="46" t="e">
        <f t="shared" si="9"/>
        <v>#DIV/0!</v>
      </c>
      <c r="AK13" s="45" t="e">
        <f t="shared" si="9"/>
        <v>#DIV/0!</v>
      </c>
      <c r="AL13" s="44" t="e">
        <f t="shared" si="10"/>
        <v>#DIV/0!</v>
      </c>
    </row>
    <row r="14" spans="1:38" x14ac:dyDescent="0.35">
      <c r="A14" s="58" t="s">
        <v>63</v>
      </c>
      <c r="B14" s="57">
        <v>-4</v>
      </c>
      <c r="C14" s="130">
        <v>0</v>
      </c>
      <c r="D14" s="55">
        <f t="shared" si="2"/>
        <v>0</v>
      </c>
      <c r="E14" s="54">
        <f>SUM(D8:D14)</f>
        <v>0</v>
      </c>
      <c r="G14" s="48">
        <f t="shared" si="3"/>
        <v>-4</v>
      </c>
      <c r="H14" s="61">
        <v>0</v>
      </c>
      <c r="I14" s="60">
        <v>0</v>
      </c>
      <c r="J14" s="59">
        <v>0</v>
      </c>
      <c r="K14" s="60">
        <v>0</v>
      </c>
      <c r="L14" s="60">
        <v>0</v>
      </c>
      <c r="M14" s="60">
        <v>0</v>
      </c>
      <c r="N14" s="60">
        <v>0</v>
      </c>
      <c r="O14" s="60">
        <v>0</v>
      </c>
      <c r="P14" s="50">
        <f t="shared" si="4"/>
        <v>0</v>
      </c>
      <c r="R14" s="48">
        <f t="shared" si="5"/>
        <v>-4</v>
      </c>
      <c r="S14" s="47" t="e">
        <f t="shared" si="6"/>
        <v>#DIV/0!</v>
      </c>
      <c r="T14" s="46" t="e">
        <f t="shared" si="6"/>
        <v>#DIV/0!</v>
      </c>
      <c r="U14" s="45" t="e">
        <f t="shared" si="6"/>
        <v>#DIV/0!</v>
      </c>
      <c r="V14" s="46" t="e">
        <f t="shared" si="6"/>
        <v>#DIV/0!</v>
      </c>
      <c r="W14" s="46" t="e">
        <f t="shared" si="6"/>
        <v>#DIV/0!</v>
      </c>
      <c r="X14" s="46" t="e">
        <f t="shared" si="6"/>
        <v>#DIV/0!</v>
      </c>
      <c r="Y14" s="46" t="e">
        <f t="shared" si="6"/>
        <v>#DIV/0!</v>
      </c>
      <c r="Z14" s="45" t="e">
        <f t="shared" si="6"/>
        <v>#DIV/0!</v>
      </c>
      <c r="AA14" s="49" t="e">
        <f t="shared" si="7"/>
        <v>#DIV/0!</v>
      </c>
      <c r="AC14" s="48">
        <f t="shared" si="8"/>
        <v>-4</v>
      </c>
      <c r="AD14" s="47" t="e">
        <f t="shared" si="9"/>
        <v>#DIV/0!</v>
      </c>
      <c r="AE14" s="46" t="e">
        <f t="shared" si="9"/>
        <v>#DIV/0!</v>
      </c>
      <c r="AF14" s="45" t="e">
        <f t="shared" si="9"/>
        <v>#DIV/0!</v>
      </c>
      <c r="AG14" s="47" t="e">
        <f t="shared" si="9"/>
        <v>#DIV/0!</v>
      </c>
      <c r="AH14" s="46" t="e">
        <f t="shared" si="9"/>
        <v>#DIV/0!</v>
      </c>
      <c r="AI14" s="46" t="e">
        <f t="shared" si="9"/>
        <v>#DIV/0!</v>
      </c>
      <c r="AJ14" s="46" t="e">
        <f t="shared" si="9"/>
        <v>#DIV/0!</v>
      </c>
      <c r="AK14" s="45" t="e">
        <f t="shared" si="9"/>
        <v>#DIV/0!</v>
      </c>
      <c r="AL14" s="44" t="e">
        <f t="shared" si="10"/>
        <v>#DIV/0!</v>
      </c>
    </row>
    <row r="15" spans="1:38" x14ac:dyDescent="0.35">
      <c r="A15" s="58" t="s">
        <v>62</v>
      </c>
      <c r="B15" s="57">
        <v>-3.5</v>
      </c>
      <c r="C15" s="131">
        <v>0</v>
      </c>
      <c r="D15" s="55">
        <f t="shared" si="2"/>
        <v>0</v>
      </c>
      <c r="E15" s="54">
        <f>SUM(D6:D15)</f>
        <v>0</v>
      </c>
      <c r="G15" s="48">
        <f t="shared" si="3"/>
        <v>-3.5</v>
      </c>
      <c r="H15" s="61">
        <v>0</v>
      </c>
      <c r="I15" s="60">
        <v>0</v>
      </c>
      <c r="J15" s="59">
        <v>0</v>
      </c>
      <c r="K15" s="60">
        <v>0</v>
      </c>
      <c r="L15" s="60">
        <v>0</v>
      </c>
      <c r="M15" s="60">
        <v>0</v>
      </c>
      <c r="N15" s="60">
        <v>0</v>
      </c>
      <c r="O15" s="59">
        <v>0</v>
      </c>
      <c r="P15" s="50">
        <f t="shared" si="4"/>
        <v>0</v>
      </c>
      <c r="R15" s="48">
        <f t="shared" si="5"/>
        <v>-3.5</v>
      </c>
      <c r="S15" s="67" t="e">
        <f t="shared" si="6"/>
        <v>#DIV/0!</v>
      </c>
      <c r="T15" s="66" t="e">
        <f t="shared" si="6"/>
        <v>#DIV/0!</v>
      </c>
      <c r="U15" s="65" t="e">
        <f t="shared" si="6"/>
        <v>#DIV/0!</v>
      </c>
      <c r="V15" s="66" t="e">
        <f t="shared" si="6"/>
        <v>#DIV/0!</v>
      </c>
      <c r="W15" s="66" t="e">
        <f t="shared" si="6"/>
        <v>#DIV/0!</v>
      </c>
      <c r="X15" s="66" t="e">
        <f t="shared" si="6"/>
        <v>#DIV/0!</v>
      </c>
      <c r="Y15" s="66" t="e">
        <f t="shared" si="6"/>
        <v>#DIV/0!</v>
      </c>
      <c r="Z15" s="65" t="e">
        <f t="shared" si="6"/>
        <v>#DIV/0!</v>
      </c>
      <c r="AA15" s="50" t="e">
        <f t="shared" si="7"/>
        <v>#DIV/0!</v>
      </c>
      <c r="AC15" s="48">
        <f t="shared" si="8"/>
        <v>-3.5</v>
      </c>
      <c r="AD15" s="67" t="e">
        <f t="shared" ref="AD15:AH33" si="11">S15*100/(SUM($S15:$W15)+SUM($Y15:$Z15))</f>
        <v>#DIV/0!</v>
      </c>
      <c r="AE15" s="66" t="e">
        <f t="shared" si="11"/>
        <v>#DIV/0!</v>
      </c>
      <c r="AF15" s="65" t="e">
        <f t="shared" si="11"/>
        <v>#DIV/0!</v>
      </c>
      <c r="AG15" s="67" t="e">
        <f t="shared" si="11"/>
        <v>#DIV/0!</v>
      </c>
      <c r="AH15" s="66" t="e">
        <f t="shared" si="11"/>
        <v>#DIV/0!</v>
      </c>
      <c r="AI15" s="66">
        <v>0</v>
      </c>
      <c r="AJ15" s="66" t="e">
        <f t="shared" ref="AJ15:AK33" si="12">Y15*100/(SUM($S15:$W15)+SUM($Y15:$Z15))</f>
        <v>#DIV/0!</v>
      </c>
      <c r="AK15" s="65" t="e">
        <f t="shared" si="12"/>
        <v>#DIV/0!</v>
      </c>
      <c r="AL15" s="64" t="e">
        <f t="shared" si="10"/>
        <v>#DIV/0!</v>
      </c>
    </row>
    <row r="16" spans="1:38" x14ac:dyDescent="0.35">
      <c r="A16" s="71" t="s">
        <v>61</v>
      </c>
      <c r="B16" s="57">
        <v>-3</v>
      </c>
      <c r="C16" s="131">
        <v>4.044667879890806</v>
      </c>
      <c r="D16" s="55">
        <f t="shared" si="2"/>
        <v>1.2297473155989365</v>
      </c>
      <c r="E16" s="54">
        <f>SUM(D6:D16)</f>
        <v>1.2297473155989365</v>
      </c>
      <c r="G16" s="48">
        <f t="shared" si="3"/>
        <v>-3</v>
      </c>
      <c r="H16" s="61">
        <v>0.54196542311191997</v>
      </c>
      <c r="I16" s="60">
        <v>0</v>
      </c>
      <c r="J16" s="59">
        <v>0</v>
      </c>
      <c r="K16" s="60">
        <v>0</v>
      </c>
      <c r="L16" s="60">
        <v>0</v>
      </c>
      <c r="M16" s="60">
        <v>0</v>
      </c>
      <c r="N16" s="60">
        <v>3.5027024567788905</v>
      </c>
      <c r="O16" s="59">
        <v>0</v>
      </c>
      <c r="P16" s="50">
        <f t="shared" si="4"/>
        <v>4.0446678798908104</v>
      </c>
      <c r="R16" s="48">
        <f t="shared" si="5"/>
        <v>-3</v>
      </c>
      <c r="S16" s="67">
        <f t="shared" si="6"/>
        <v>13.399503722084367</v>
      </c>
      <c r="T16" s="66">
        <f t="shared" si="6"/>
        <v>0</v>
      </c>
      <c r="U16" s="65">
        <f t="shared" si="6"/>
        <v>0</v>
      </c>
      <c r="V16" s="66">
        <f t="shared" si="6"/>
        <v>0</v>
      </c>
      <c r="W16" s="66">
        <f t="shared" si="6"/>
        <v>0</v>
      </c>
      <c r="X16" s="66">
        <f t="shared" si="6"/>
        <v>0</v>
      </c>
      <c r="Y16" s="66">
        <f t="shared" si="6"/>
        <v>86.600496277915624</v>
      </c>
      <c r="Z16" s="65">
        <f t="shared" si="6"/>
        <v>0</v>
      </c>
      <c r="AA16" s="50">
        <f t="shared" si="7"/>
        <v>99.999999999999986</v>
      </c>
      <c r="AC16" s="48">
        <f t="shared" si="8"/>
        <v>-3</v>
      </c>
      <c r="AD16" s="67">
        <f t="shared" si="11"/>
        <v>13.399503722084368</v>
      </c>
      <c r="AE16" s="66">
        <f t="shared" si="11"/>
        <v>0</v>
      </c>
      <c r="AF16" s="65">
        <f t="shared" si="11"/>
        <v>0</v>
      </c>
      <c r="AG16" s="67">
        <f t="shared" si="11"/>
        <v>0</v>
      </c>
      <c r="AH16" s="66">
        <f t="shared" si="11"/>
        <v>0</v>
      </c>
      <c r="AI16" s="66">
        <v>0</v>
      </c>
      <c r="AJ16" s="66">
        <f t="shared" si="12"/>
        <v>86.600496277915639</v>
      </c>
      <c r="AK16" s="65">
        <f t="shared" si="12"/>
        <v>0</v>
      </c>
      <c r="AL16" s="64">
        <f t="shared" si="10"/>
        <v>100</v>
      </c>
    </row>
    <row r="17" spans="1:38" x14ac:dyDescent="0.35">
      <c r="A17" s="71" t="s">
        <v>60</v>
      </c>
      <c r="B17" s="57">
        <v>-2.5</v>
      </c>
      <c r="C17" s="131">
        <v>11.140006752194459</v>
      </c>
      <c r="D17" s="55">
        <f t="shared" si="2"/>
        <v>3.3870255373439977</v>
      </c>
      <c r="E17" s="54">
        <f>SUM(D6:D17)</f>
        <v>4.6167728529429342</v>
      </c>
      <c r="G17" s="48">
        <f t="shared" si="3"/>
        <v>-2.5</v>
      </c>
      <c r="H17" s="61">
        <v>2.3162390276839973</v>
      </c>
      <c r="I17" s="60">
        <v>2.1156988521269411</v>
      </c>
      <c r="J17" s="59">
        <v>0</v>
      </c>
      <c r="K17" s="60">
        <v>0</v>
      </c>
      <c r="L17" s="60">
        <v>0</v>
      </c>
      <c r="M17" s="60">
        <v>0</v>
      </c>
      <c r="N17" s="60">
        <v>6.7080688723835245</v>
      </c>
      <c r="O17" s="59">
        <v>0</v>
      </c>
      <c r="P17" s="50">
        <f t="shared" si="4"/>
        <v>11.140006752194463</v>
      </c>
      <c r="R17" s="48">
        <f t="shared" si="5"/>
        <v>-2.5</v>
      </c>
      <c r="S17" s="67">
        <f t="shared" si="6"/>
        <v>20.792079207920793</v>
      </c>
      <c r="T17" s="66">
        <f t="shared" si="6"/>
        <v>18.991899189918993</v>
      </c>
      <c r="U17" s="65">
        <f t="shared" si="6"/>
        <v>0</v>
      </c>
      <c r="V17" s="66">
        <f t="shared" si="6"/>
        <v>0</v>
      </c>
      <c r="W17" s="66">
        <f t="shared" si="6"/>
        <v>0</v>
      </c>
      <c r="X17" s="66">
        <f t="shared" si="6"/>
        <v>0</v>
      </c>
      <c r="Y17" s="66">
        <f t="shared" si="6"/>
        <v>60.216021602160218</v>
      </c>
      <c r="Z17" s="65">
        <f t="shared" si="6"/>
        <v>0</v>
      </c>
      <c r="AA17" s="50">
        <f t="shared" si="7"/>
        <v>100</v>
      </c>
      <c r="AC17" s="48">
        <f t="shared" si="8"/>
        <v>-2.5</v>
      </c>
      <c r="AD17" s="67">
        <f t="shared" si="11"/>
        <v>20.792079207920793</v>
      </c>
      <c r="AE17" s="66">
        <f t="shared" si="11"/>
        <v>18.991899189918993</v>
      </c>
      <c r="AF17" s="65">
        <f t="shared" si="11"/>
        <v>0</v>
      </c>
      <c r="AG17" s="67">
        <f t="shared" si="11"/>
        <v>0</v>
      </c>
      <c r="AH17" s="66">
        <f t="shared" si="11"/>
        <v>0</v>
      </c>
      <c r="AI17" s="66">
        <v>0</v>
      </c>
      <c r="AJ17" s="66">
        <f t="shared" si="12"/>
        <v>60.216021602160218</v>
      </c>
      <c r="AK17" s="65">
        <f t="shared" si="12"/>
        <v>0</v>
      </c>
      <c r="AL17" s="64">
        <f t="shared" si="10"/>
        <v>100</v>
      </c>
    </row>
    <row r="18" spans="1:38" x14ac:dyDescent="0.35">
      <c r="A18" s="58" t="s">
        <v>59</v>
      </c>
      <c r="B18" s="57">
        <v>-2</v>
      </c>
      <c r="C18" s="131">
        <v>27.00575471698113</v>
      </c>
      <c r="D18" s="55">
        <f t="shared" si="2"/>
        <v>8.2108730197712649</v>
      </c>
      <c r="E18" s="54">
        <f>SUM(D6:D18)</f>
        <v>12.8276458727142</v>
      </c>
      <c r="G18" s="48">
        <f t="shared" si="3"/>
        <v>-2</v>
      </c>
      <c r="H18" s="61">
        <v>2.5807547169811329</v>
      </c>
      <c r="I18" s="60">
        <v>21.014716981132075</v>
      </c>
      <c r="J18" s="59">
        <v>0</v>
      </c>
      <c r="K18" s="60">
        <v>1.5668867924528305</v>
      </c>
      <c r="L18" s="60">
        <v>0</v>
      </c>
      <c r="M18" s="60">
        <v>0</v>
      </c>
      <c r="N18" s="60">
        <v>1.8433962264150945</v>
      </c>
      <c r="O18" s="59">
        <v>0</v>
      </c>
      <c r="P18" s="50">
        <f t="shared" si="4"/>
        <v>27.005754716981134</v>
      </c>
      <c r="R18" s="48">
        <f t="shared" si="5"/>
        <v>-2</v>
      </c>
      <c r="S18" s="67">
        <f t="shared" si="6"/>
        <v>9.5563139931740633</v>
      </c>
      <c r="T18" s="66">
        <f t="shared" si="6"/>
        <v>77.815699658703068</v>
      </c>
      <c r="U18" s="65">
        <f t="shared" si="6"/>
        <v>0</v>
      </c>
      <c r="V18" s="66">
        <f t="shared" si="6"/>
        <v>5.8020477815699669</v>
      </c>
      <c r="W18" s="66">
        <f t="shared" si="6"/>
        <v>0</v>
      </c>
      <c r="X18" s="66">
        <f t="shared" si="6"/>
        <v>0</v>
      </c>
      <c r="Y18" s="66">
        <f t="shared" si="6"/>
        <v>6.8259385665529004</v>
      </c>
      <c r="Z18" s="65">
        <f t="shared" si="6"/>
        <v>0</v>
      </c>
      <c r="AA18" s="50">
        <f t="shared" si="7"/>
        <v>100</v>
      </c>
      <c r="AC18" s="48">
        <f t="shared" si="8"/>
        <v>-2</v>
      </c>
      <c r="AD18" s="67">
        <f t="shared" si="11"/>
        <v>9.5563139931740633</v>
      </c>
      <c r="AE18" s="66">
        <f t="shared" si="11"/>
        <v>77.815699658703068</v>
      </c>
      <c r="AF18" s="65">
        <f t="shared" si="11"/>
        <v>0</v>
      </c>
      <c r="AG18" s="67">
        <f t="shared" si="11"/>
        <v>5.8020477815699669</v>
      </c>
      <c r="AH18" s="66">
        <f t="shared" si="11"/>
        <v>0</v>
      </c>
      <c r="AI18" s="66">
        <v>0</v>
      </c>
      <c r="AJ18" s="66">
        <f t="shared" si="12"/>
        <v>6.8259385665529013</v>
      </c>
      <c r="AK18" s="65">
        <f t="shared" si="12"/>
        <v>0</v>
      </c>
      <c r="AL18" s="64">
        <f t="shared" si="10"/>
        <v>100</v>
      </c>
    </row>
    <row r="19" spans="1:38" x14ac:dyDescent="0.35">
      <c r="A19" s="58" t="s">
        <v>58</v>
      </c>
      <c r="B19" s="57">
        <v>-1.5</v>
      </c>
      <c r="C19" s="131">
        <v>39.214989293361889</v>
      </c>
      <c r="D19" s="55">
        <f t="shared" si="2"/>
        <v>11.922988301342246</v>
      </c>
      <c r="E19" s="54">
        <f>SUM(D6:D19)</f>
        <v>24.750634174056444</v>
      </c>
      <c r="G19" s="48">
        <f t="shared" si="3"/>
        <v>-1.5</v>
      </c>
      <c r="H19" s="61">
        <v>2.8672376873661674</v>
      </c>
      <c r="I19" s="60">
        <v>27.26081370449679</v>
      </c>
      <c r="J19" s="59">
        <v>0</v>
      </c>
      <c r="K19" s="60">
        <v>4.5434689507494657</v>
      </c>
      <c r="L19" s="60">
        <v>0.61755888650963608</v>
      </c>
      <c r="M19" s="60">
        <v>0</v>
      </c>
      <c r="N19" s="60">
        <v>3.9259100642398295</v>
      </c>
      <c r="O19" s="59">
        <v>0</v>
      </c>
      <c r="P19" s="50">
        <f t="shared" si="4"/>
        <v>39.214989293361889</v>
      </c>
      <c r="R19" s="48">
        <f t="shared" si="5"/>
        <v>-1.5</v>
      </c>
      <c r="S19" s="67">
        <f t="shared" si="6"/>
        <v>7.3115860517435332</v>
      </c>
      <c r="T19" s="66">
        <f t="shared" si="6"/>
        <v>69.516310461192347</v>
      </c>
      <c r="U19" s="65">
        <f t="shared" si="6"/>
        <v>0</v>
      </c>
      <c r="V19" s="66">
        <f t="shared" si="6"/>
        <v>11.58605174353206</v>
      </c>
      <c r="W19" s="66">
        <f t="shared" si="6"/>
        <v>1.5748031496062993</v>
      </c>
      <c r="X19" s="66">
        <f t="shared" si="6"/>
        <v>0</v>
      </c>
      <c r="Y19" s="66">
        <f t="shared" si="6"/>
        <v>10.01124859392576</v>
      </c>
      <c r="Z19" s="65">
        <f t="shared" si="6"/>
        <v>0</v>
      </c>
      <c r="AA19" s="50">
        <f t="shared" si="7"/>
        <v>99.999999999999986</v>
      </c>
      <c r="AC19" s="48">
        <f t="shared" si="8"/>
        <v>-1.5</v>
      </c>
      <c r="AD19" s="67">
        <f t="shared" si="11"/>
        <v>7.311586051743534</v>
      </c>
      <c r="AE19" s="66">
        <f t="shared" si="11"/>
        <v>69.516310461192361</v>
      </c>
      <c r="AF19" s="65">
        <f t="shared" si="11"/>
        <v>0</v>
      </c>
      <c r="AG19" s="67">
        <f t="shared" si="11"/>
        <v>11.58605174353206</v>
      </c>
      <c r="AH19" s="66">
        <f t="shared" si="11"/>
        <v>1.5748031496062995</v>
      </c>
      <c r="AI19" s="66">
        <v>0</v>
      </c>
      <c r="AJ19" s="66">
        <f t="shared" si="12"/>
        <v>10.011248593925762</v>
      </c>
      <c r="AK19" s="65">
        <f t="shared" si="12"/>
        <v>0</v>
      </c>
      <c r="AL19" s="64">
        <f t="shared" si="10"/>
        <v>100.00000000000001</v>
      </c>
    </row>
    <row r="20" spans="1:38" x14ac:dyDescent="0.35">
      <c r="A20" s="58" t="s">
        <v>57</v>
      </c>
      <c r="B20" s="57">
        <v>-1</v>
      </c>
      <c r="C20" s="131">
        <v>49.247368040491686</v>
      </c>
      <c r="D20" s="55">
        <f t="shared" si="2"/>
        <v>14.973248841816526</v>
      </c>
      <c r="E20" s="54">
        <f>SUM(D6:D20)</f>
        <v>39.723883015872971</v>
      </c>
      <c r="G20" s="48">
        <f t="shared" si="3"/>
        <v>-1</v>
      </c>
      <c r="H20" s="61">
        <v>2.9989226319595081</v>
      </c>
      <c r="I20" s="60">
        <v>41.515206073752715</v>
      </c>
      <c r="J20" s="59">
        <v>0.79489515545914669</v>
      </c>
      <c r="K20" s="60">
        <v>1.4452639190166305</v>
      </c>
      <c r="L20" s="60">
        <v>1.2284743311641362</v>
      </c>
      <c r="M20" s="60">
        <v>0</v>
      </c>
      <c r="N20" s="60">
        <v>1.2646059291395517</v>
      </c>
      <c r="O20" s="59">
        <v>0</v>
      </c>
      <c r="P20" s="50">
        <f t="shared" si="4"/>
        <v>49.247368040491686</v>
      </c>
      <c r="R20" s="48">
        <f t="shared" si="5"/>
        <v>-1</v>
      </c>
      <c r="S20" s="67">
        <f t="shared" si="6"/>
        <v>6.0895084372707258</v>
      </c>
      <c r="T20" s="66">
        <f t="shared" si="6"/>
        <v>84.299339691856204</v>
      </c>
      <c r="U20" s="65">
        <f t="shared" si="6"/>
        <v>1.6140865737344092</v>
      </c>
      <c r="V20" s="66">
        <f t="shared" si="6"/>
        <v>2.9347028613352899</v>
      </c>
      <c r="W20" s="66">
        <f t="shared" si="6"/>
        <v>2.4944974321349966</v>
      </c>
      <c r="X20" s="66">
        <f t="shared" si="6"/>
        <v>0</v>
      </c>
      <c r="Y20" s="66">
        <f t="shared" si="6"/>
        <v>2.5678650036683783</v>
      </c>
      <c r="Z20" s="65">
        <f t="shared" si="6"/>
        <v>0</v>
      </c>
      <c r="AA20" s="50">
        <f t="shared" si="7"/>
        <v>100</v>
      </c>
      <c r="AC20" s="48">
        <f t="shared" si="8"/>
        <v>-1</v>
      </c>
      <c r="AD20" s="67">
        <f t="shared" si="11"/>
        <v>6.0895084372707258</v>
      </c>
      <c r="AE20" s="66">
        <f t="shared" si="11"/>
        <v>84.299339691856204</v>
      </c>
      <c r="AF20" s="65">
        <f t="shared" si="11"/>
        <v>1.6140865737344092</v>
      </c>
      <c r="AG20" s="67">
        <f t="shared" si="11"/>
        <v>2.9347028613352899</v>
      </c>
      <c r="AH20" s="66">
        <f t="shared" si="11"/>
        <v>2.4944974321349966</v>
      </c>
      <c r="AI20" s="66">
        <v>0</v>
      </c>
      <c r="AJ20" s="66">
        <f t="shared" si="12"/>
        <v>2.5678650036683788</v>
      </c>
      <c r="AK20" s="65">
        <f t="shared" si="12"/>
        <v>0</v>
      </c>
      <c r="AL20" s="64">
        <f t="shared" si="10"/>
        <v>100</v>
      </c>
    </row>
    <row r="21" spans="1:38" x14ac:dyDescent="0.35">
      <c r="A21" s="58" t="s">
        <v>56</v>
      </c>
      <c r="B21" s="57">
        <v>-0.5</v>
      </c>
      <c r="C21" s="131">
        <v>17.749568181818173</v>
      </c>
      <c r="D21" s="55">
        <f t="shared" si="2"/>
        <v>5.3966072055390795</v>
      </c>
      <c r="E21" s="54">
        <f>SUM(D6:D21)</f>
        <v>45.120490221412048</v>
      </c>
      <c r="G21" s="70">
        <f t="shared" si="3"/>
        <v>-0.5</v>
      </c>
      <c r="H21" s="53">
        <v>0.60647727272727248</v>
      </c>
      <c r="I21" s="52">
        <v>15.525818181818176</v>
      </c>
      <c r="J21" s="51">
        <v>0.62669318181818157</v>
      </c>
      <c r="K21" s="52">
        <v>0.46496590909090896</v>
      </c>
      <c r="L21" s="52">
        <v>0.52561363636363623</v>
      </c>
      <c r="M21" s="60">
        <v>0</v>
      </c>
      <c r="N21" s="52">
        <v>0</v>
      </c>
      <c r="O21" s="51">
        <v>0</v>
      </c>
      <c r="P21" s="69">
        <f t="shared" si="4"/>
        <v>17.74956818181818</v>
      </c>
      <c r="Q21" s="68"/>
      <c r="R21" s="48">
        <f t="shared" si="5"/>
        <v>-0.5</v>
      </c>
      <c r="S21" s="67">
        <f t="shared" si="6"/>
        <v>3.4168564920273337</v>
      </c>
      <c r="T21" s="66">
        <f t="shared" si="6"/>
        <v>87.471526195899756</v>
      </c>
      <c r="U21" s="65">
        <f t="shared" si="6"/>
        <v>3.5307517084282449</v>
      </c>
      <c r="V21" s="66">
        <f t="shared" si="6"/>
        <v>2.6195899772209565</v>
      </c>
      <c r="W21" s="66">
        <f t="shared" si="6"/>
        <v>2.9612756264236899</v>
      </c>
      <c r="X21" s="66">
        <f t="shared" si="6"/>
        <v>0</v>
      </c>
      <c r="Y21" s="66">
        <f t="shared" si="6"/>
        <v>0</v>
      </c>
      <c r="Z21" s="65">
        <f t="shared" si="6"/>
        <v>0</v>
      </c>
      <c r="AA21" s="50">
        <f t="shared" si="7"/>
        <v>99.999999999999972</v>
      </c>
      <c r="AC21" s="48">
        <f t="shared" si="8"/>
        <v>-0.5</v>
      </c>
      <c r="AD21" s="67">
        <f t="shared" si="11"/>
        <v>3.4168564920273345</v>
      </c>
      <c r="AE21" s="66">
        <f t="shared" si="11"/>
        <v>87.47152619589977</v>
      </c>
      <c r="AF21" s="65">
        <f t="shared" si="11"/>
        <v>3.5307517084282458</v>
      </c>
      <c r="AG21" s="67">
        <f t="shared" si="11"/>
        <v>2.6195899772209574</v>
      </c>
      <c r="AH21" s="66">
        <f t="shared" si="11"/>
        <v>2.9612756264236908</v>
      </c>
      <c r="AI21" s="66">
        <v>0</v>
      </c>
      <c r="AJ21" s="66">
        <f t="shared" si="12"/>
        <v>0</v>
      </c>
      <c r="AK21" s="65">
        <f t="shared" si="12"/>
        <v>0</v>
      </c>
      <c r="AL21" s="64">
        <f t="shared" si="10"/>
        <v>99.999999999999986</v>
      </c>
    </row>
    <row r="22" spans="1:38" x14ac:dyDescent="0.35">
      <c r="A22" s="58" t="s">
        <v>55</v>
      </c>
      <c r="B22" s="57">
        <v>0</v>
      </c>
      <c r="C22" s="131">
        <v>17.96</v>
      </c>
      <c r="D22" s="55">
        <f t="shared" si="2"/>
        <v>5.4605872333708554</v>
      </c>
      <c r="E22" s="54">
        <f>SUM(D6:D22)</f>
        <v>50.5810774547829</v>
      </c>
      <c r="G22" s="48">
        <f t="shared" si="3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>SUM(H22:O22)</f>
        <v>0</v>
      </c>
      <c r="R22" s="48">
        <f t="shared" si="5"/>
        <v>0</v>
      </c>
      <c r="S22" s="47" t="e">
        <f t="shared" si="6"/>
        <v>#DIV/0!</v>
      </c>
      <c r="T22" s="46" t="e">
        <f t="shared" si="6"/>
        <v>#DIV/0!</v>
      </c>
      <c r="U22" s="45" t="e">
        <f t="shared" si="6"/>
        <v>#DIV/0!</v>
      </c>
      <c r="V22" s="46" t="e">
        <f t="shared" si="6"/>
        <v>#DIV/0!</v>
      </c>
      <c r="W22" s="46" t="e">
        <f t="shared" si="6"/>
        <v>#DIV/0!</v>
      </c>
      <c r="X22" s="46" t="e">
        <f t="shared" si="6"/>
        <v>#DIV/0!</v>
      </c>
      <c r="Y22" s="46" t="e">
        <f t="shared" si="6"/>
        <v>#DIV/0!</v>
      </c>
      <c r="Z22" s="45" t="e">
        <f t="shared" si="6"/>
        <v>#DIV/0!</v>
      </c>
      <c r="AA22" s="49" t="e">
        <f t="shared" si="7"/>
        <v>#DIV/0!</v>
      </c>
      <c r="AC22" s="48">
        <f t="shared" si="8"/>
        <v>0</v>
      </c>
      <c r="AD22" s="47" t="e">
        <f t="shared" si="11"/>
        <v>#DIV/0!</v>
      </c>
      <c r="AE22" s="46" t="e">
        <f t="shared" si="11"/>
        <v>#DIV/0!</v>
      </c>
      <c r="AF22" s="45" t="e">
        <f t="shared" si="11"/>
        <v>#DIV/0!</v>
      </c>
      <c r="AG22" s="47" t="e">
        <f t="shared" si="11"/>
        <v>#DIV/0!</v>
      </c>
      <c r="AH22" s="46" t="e">
        <f t="shared" si="11"/>
        <v>#DIV/0!</v>
      </c>
      <c r="AI22" s="46" t="e">
        <f t="shared" ref="AI22:AI33" si="13">X22*100/(SUM($S22:$W22)+SUM($Y22:$Z22))</f>
        <v>#DIV/0!</v>
      </c>
      <c r="AJ22" s="46" t="e">
        <f t="shared" si="12"/>
        <v>#DIV/0!</v>
      </c>
      <c r="AK22" s="45" t="e">
        <f t="shared" si="12"/>
        <v>#DIV/0!</v>
      </c>
      <c r="AL22" s="44" t="e">
        <f t="shared" si="10"/>
        <v>#DIV/0!</v>
      </c>
    </row>
    <row r="23" spans="1:38" x14ac:dyDescent="0.35">
      <c r="A23" s="58" t="s">
        <v>54</v>
      </c>
      <c r="B23" s="57">
        <v>0.5</v>
      </c>
      <c r="C23" s="131">
        <v>14.39</v>
      </c>
      <c r="D23" s="55">
        <f t="shared" si="2"/>
        <v>4.3751587020159581</v>
      </c>
      <c r="E23" s="54">
        <f>SUM(D6:D23)</f>
        <v>54.956236156798859</v>
      </c>
      <c r="G23" s="48">
        <f t="shared" si="3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4"/>
        <v>0</v>
      </c>
      <c r="R23" s="48">
        <f t="shared" si="5"/>
        <v>0.5</v>
      </c>
      <c r="S23" s="47" t="e">
        <f t="shared" si="6"/>
        <v>#DIV/0!</v>
      </c>
      <c r="T23" s="46" t="e">
        <f t="shared" si="6"/>
        <v>#DIV/0!</v>
      </c>
      <c r="U23" s="45" t="e">
        <f t="shared" si="6"/>
        <v>#DIV/0!</v>
      </c>
      <c r="V23" s="46" t="e">
        <f t="shared" si="6"/>
        <v>#DIV/0!</v>
      </c>
      <c r="W23" s="46" t="e">
        <f t="shared" si="6"/>
        <v>#DIV/0!</v>
      </c>
      <c r="X23" s="46" t="e">
        <f t="shared" si="6"/>
        <v>#DIV/0!</v>
      </c>
      <c r="Y23" s="46" t="e">
        <f t="shared" si="6"/>
        <v>#DIV/0!</v>
      </c>
      <c r="Z23" s="45" t="e">
        <f t="shared" si="6"/>
        <v>#DIV/0!</v>
      </c>
      <c r="AA23" s="49" t="e">
        <f t="shared" si="7"/>
        <v>#DIV/0!</v>
      </c>
      <c r="AC23" s="48">
        <f t="shared" si="8"/>
        <v>0.5</v>
      </c>
      <c r="AD23" s="47" t="e">
        <f t="shared" si="11"/>
        <v>#DIV/0!</v>
      </c>
      <c r="AE23" s="46" t="e">
        <f t="shared" si="11"/>
        <v>#DIV/0!</v>
      </c>
      <c r="AF23" s="45" t="e">
        <f t="shared" si="11"/>
        <v>#DIV/0!</v>
      </c>
      <c r="AG23" s="47" t="e">
        <f t="shared" si="11"/>
        <v>#DIV/0!</v>
      </c>
      <c r="AH23" s="46" t="e">
        <f t="shared" si="11"/>
        <v>#DIV/0!</v>
      </c>
      <c r="AI23" s="46" t="e">
        <f t="shared" si="13"/>
        <v>#DIV/0!</v>
      </c>
      <c r="AJ23" s="46" t="e">
        <f t="shared" si="12"/>
        <v>#DIV/0!</v>
      </c>
      <c r="AK23" s="45" t="e">
        <f t="shared" si="12"/>
        <v>#DIV/0!</v>
      </c>
      <c r="AL23" s="44" t="e">
        <f t="shared" si="10"/>
        <v>#DIV/0!</v>
      </c>
    </row>
    <row r="24" spans="1:38" x14ac:dyDescent="0.35">
      <c r="A24" s="58" t="s">
        <v>53</v>
      </c>
      <c r="B24" s="57">
        <v>1</v>
      </c>
      <c r="C24" s="131">
        <v>9.93</v>
      </c>
      <c r="D24" s="55">
        <f t="shared" si="2"/>
        <v>3.0191331418358907</v>
      </c>
      <c r="E24" s="54">
        <f>SUM(D6:D24)</f>
        <v>57.975369298634746</v>
      </c>
      <c r="G24" s="48">
        <f t="shared" si="3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4"/>
        <v>0</v>
      </c>
      <c r="R24" s="48">
        <f t="shared" si="5"/>
        <v>1</v>
      </c>
      <c r="S24" s="47" t="e">
        <f t="shared" si="6"/>
        <v>#DIV/0!</v>
      </c>
      <c r="T24" s="46" t="e">
        <f t="shared" si="6"/>
        <v>#DIV/0!</v>
      </c>
      <c r="U24" s="45" t="e">
        <f t="shared" si="6"/>
        <v>#DIV/0!</v>
      </c>
      <c r="V24" s="46" t="e">
        <f t="shared" si="6"/>
        <v>#DIV/0!</v>
      </c>
      <c r="W24" s="46" t="e">
        <f t="shared" si="6"/>
        <v>#DIV/0!</v>
      </c>
      <c r="X24" s="46" t="e">
        <f t="shared" si="6"/>
        <v>#DIV/0!</v>
      </c>
      <c r="Y24" s="46" t="e">
        <f t="shared" si="6"/>
        <v>#DIV/0!</v>
      </c>
      <c r="Z24" s="45" t="e">
        <f t="shared" si="6"/>
        <v>#DIV/0!</v>
      </c>
      <c r="AA24" s="49" t="e">
        <f t="shared" si="7"/>
        <v>#DIV/0!</v>
      </c>
      <c r="AC24" s="48">
        <f t="shared" si="8"/>
        <v>1</v>
      </c>
      <c r="AD24" s="47" t="e">
        <f t="shared" si="11"/>
        <v>#DIV/0!</v>
      </c>
      <c r="AE24" s="46" t="e">
        <f t="shared" si="11"/>
        <v>#DIV/0!</v>
      </c>
      <c r="AF24" s="45" t="e">
        <f t="shared" si="11"/>
        <v>#DIV/0!</v>
      </c>
      <c r="AG24" s="47" t="e">
        <f t="shared" si="11"/>
        <v>#DIV/0!</v>
      </c>
      <c r="AH24" s="46" t="e">
        <f t="shared" si="11"/>
        <v>#DIV/0!</v>
      </c>
      <c r="AI24" s="46" t="e">
        <f t="shared" si="13"/>
        <v>#DIV/0!</v>
      </c>
      <c r="AJ24" s="46" t="e">
        <f t="shared" si="12"/>
        <v>#DIV/0!</v>
      </c>
      <c r="AK24" s="45" t="e">
        <f t="shared" si="12"/>
        <v>#DIV/0!</v>
      </c>
      <c r="AL24" s="44" t="e">
        <f t="shared" si="10"/>
        <v>#DIV/0!</v>
      </c>
    </row>
    <row r="25" spans="1:38" x14ac:dyDescent="0.35">
      <c r="A25" s="58" t="s">
        <v>52</v>
      </c>
      <c r="B25" s="57">
        <v>1.5</v>
      </c>
      <c r="C25" s="130">
        <v>8.93</v>
      </c>
      <c r="D25" s="55">
        <f t="shared" si="2"/>
        <v>2.7150915364143504</v>
      </c>
      <c r="E25" s="54">
        <f>SUM(D6:D25)</f>
        <v>60.690460835049095</v>
      </c>
      <c r="G25" s="48">
        <f t="shared" si="3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4"/>
        <v>0</v>
      </c>
      <c r="R25" s="48">
        <f t="shared" si="5"/>
        <v>1.5</v>
      </c>
      <c r="S25" s="47" t="e">
        <f t="shared" si="6"/>
        <v>#DIV/0!</v>
      </c>
      <c r="T25" s="46" t="e">
        <f t="shared" si="6"/>
        <v>#DIV/0!</v>
      </c>
      <c r="U25" s="45" t="e">
        <f t="shared" si="6"/>
        <v>#DIV/0!</v>
      </c>
      <c r="V25" s="46" t="e">
        <f t="shared" si="6"/>
        <v>#DIV/0!</v>
      </c>
      <c r="W25" s="46" t="e">
        <f t="shared" si="6"/>
        <v>#DIV/0!</v>
      </c>
      <c r="X25" s="46" t="e">
        <f t="shared" si="6"/>
        <v>#DIV/0!</v>
      </c>
      <c r="Y25" s="46" t="e">
        <f t="shared" si="6"/>
        <v>#DIV/0!</v>
      </c>
      <c r="Z25" s="45" t="e">
        <f t="shared" si="6"/>
        <v>#DIV/0!</v>
      </c>
      <c r="AA25" s="49" t="e">
        <f t="shared" si="7"/>
        <v>#DIV/0!</v>
      </c>
      <c r="AC25" s="48">
        <f t="shared" si="8"/>
        <v>1.5</v>
      </c>
      <c r="AD25" s="47" t="e">
        <f t="shared" si="11"/>
        <v>#DIV/0!</v>
      </c>
      <c r="AE25" s="46" t="e">
        <f t="shared" si="11"/>
        <v>#DIV/0!</v>
      </c>
      <c r="AF25" s="45" t="e">
        <f t="shared" si="11"/>
        <v>#DIV/0!</v>
      </c>
      <c r="AG25" s="47" t="e">
        <f t="shared" si="11"/>
        <v>#DIV/0!</v>
      </c>
      <c r="AH25" s="46" t="e">
        <f t="shared" si="11"/>
        <v>#DIV/0!</v>
      </c>
      <c r="AI25" s="46" t="e">
        <f t="shared" si="13"/>
        <v>#DIV/0!</v>
      </c>
      <c r="AJ25" s="46" t="e">
        <f t="shared" si="12"/>
        <v>#DIV/0!</v>
      </c>
      <c r="AK25" s="45" t="e">
        <f t="shared" si="12"/>
        <v>#DIV/0!</v>
      </c>
      <c r="AL25" s="44" t="e">
        <f t="shared" si="10"/>
        <v>#DIV/0!</v>
      </c>
    </row>
    <row r="26" spans="1:38" x14ac:dyDescent="0.35">
      <c r="A26" s="58" t="s">
        <v>51</v>
      </c>
      <c r="B26" s="57">
        <v>2</v>
      </c>
      <c r="C26" s="130">
        <v>7.64</v>
      </c>
      <c r="D26" s="55">
        <f t="shared" si="2"/>
        <v>2.3228778654205642</v>
      </c>
      <c r="E26" s="54">
        <f>SUM(D6:D26)</f>
        <v>63.01333870046966</v>
      </c>
      <c r="G26" s="48">
        <f t="shared" si="3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4"/>
        <v>0</v>
      </c>
      <c r="R26" s="48">
        <f t="shared" si="5"/>
        <v>2</v>
      </c>
      <c r="S26" s="47" t="e">
        <f t="shared" si="6"/>
        <v>#DIV/0!</v>
      </c>
      <c r="T26" s="46" t="e">
        <f t="shared" si="6"/>
        <v>#DIV/0!</v>
      </c>
      <c r="U26" s="45" t="e">
        <f t="shared" si="6"/>
        <v>#DIV/0!</v>
      </c>
      <c r="V26" s="46" t="e">
        <f t="shared" si="6"/>
        <v>#DIV/0!</v>
      </c>
      <c r="W26" s="46" t="e">
        <f t="shared" si="6"/>
        <v>#DIV/0!</v>
      </c>
      <c r="X26" s="46" t="e">
        <f t="shared" si="6"/>
        <v>#DIV/0!</v>
      </c>
      <c r="Y26" s="46" t="e">
        <f t="shared" si="6"/>
        <v>#DIV/0!</v>
      </c>
      <c r="Z26" s="45" t="e">
        <f t="shared" si="6"/>
        <v>#DIV/0!</v>
      </c>
      <c r="AA26" s="49" t="e">
        <f t="shared" si="7"/>
        <v>#DIV/0!</v>
      </c>
      <c r="AC26" s="48">
        <f t="shared" si="8"/>
        <v>2</v>
      </c>
      <c r="AD26" s="47" t="e">
        <f t="shared" si="11"/>
        <v>#DIV/0!</v>
      </c>
      <c r="AE26" s="46" t="e">
        <f t="shared" si="11"/>
        <v>#DIV/0!</v>
      </c>
      <c r="AF26" s="45" t="e">
        <f t="shared" si="11"/>
        <v>#DIV/0!</v>
      </c>
      <c r="AG26" s="47" t="e">
        <f t="shared" si="11"/>
        <v>#DIV/0!</v>
      </c>
      <c r="AH26" s="46" t="e">
        <f t="shared" si="11"/>
        <v>#DIV/0!</v>
      </c>
      <c r="AI26" s="46" t="e">
        <f t="shared" si="13"/>
        <v>#DIV/0!</v>
      </c>
      <c r="AJ26" s="46" t="e">
        <f t="shared" si="12"/>
        <v>#DIV/0!</v>
      </c>
      <c r="AK26" s="45" t="e">
        <f t="shared" si="12"/>
        <v>#DIV/0!</v>
      </c>
      <c r="AL26" s="44" t="e">
        <f t="shared" si="10"/>
        <v>#DIV/0!</v>
      </c>
    </row>
    <row r="27" spans="1:38" x14ac:dyDescent="0.35">
      <c r="A27" s="58" t="s">
        <v>50</v>
      </c>
      <c r="B27" s="57">
        <v>2.5</v>
      </c>
      <c r="C27" s="130">
        <v>7.13</v>
      </c>
      <c r="D27" s="55">
        <f t="shared" si="2"/>
        <v>2.167816646655579</v>
      </c>
      <c r="E27" s="54">
        <f>SUM(D7:D27)</f>
        <v>65.181155347125241</v>
      </c>
      <c r="G27" s="48">
        <f t="shared" si="3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4"/>
        <v>0</v>
      </c>
      <c r="R27" s="48">
        <f t="shared" si="5"/>
        <v>2.5</v>
      </c>
      <c r="S27" s="47" t="e">
        <f t="shared" si="6"/>
        <v>#DIV/0!</v>
      </c>
      <c r="T27" s="46" t="e">
        <f t="shared" si="6"/>
        <v>#DIV/0!</v>
      </c>
      <c r="U27" s="45" t="e">
        <f t="shared" si="6"/>
        <v>#DIV/0!</v>
      </c>
      <c r="V27" s="46" t="e">
        <f t="shared" si="6"/>
        <v>#DIV/0!</v>
      </c>
      <c r="W27" s="46" t="e">
        <f t="shared" si="6"/>
        <v>#DIV/0!</v>
      </c>
      <c r="X27" s="46" t="e">
        <f t="shared" si="6"/>
        <v>#DIV/0!</v>
      </c>
      <c r="Y27" s="46" t="e">
        <f t="shared" si="6"/>
        <v>#DIV/0!</v>
      </c>
      <c r="Z27" s="45" t="e">
        <f t="shared" si="6"/>
        <v>#DIV/0!</v>
      </c>
      <c r="AA27" s="49" t="e">
        <f t="shared" si="7"/>
        <v>#DIV/0!</v>
      </c>
      <c r="AC27" s="48">
        <f t="shared" si="8"/>
        <v>2.5</v>
      </c>
      <c r="AD27" s="47" t="e">
        <f t="shared" si="11"/>
        <v>#DIV/0!</v>
      </c>
      <c r="AE27" s="46" t="e">
        <f t="shared" si="11"/>
        <v>#DIV/0!</v>
      </c>
      <c r="AF27" s="45" t="e">
        <f t="shared" si="11"/>
        <v>#DIV/0!</v>
      </c>
      <c r="AG27" s="47" t="e">
        <f t="shared" si="11"/>
        <v>#DIV/0!</v>
      </c>
      <c r="AH27" s="46" t="e">
        <f t="shared" si="11"/>
        <v>#DIV/0!</v>
      </c>
      <c r="AI27" s="46" t="e">
        <f t="shared" si="13"/>
        <v>#DIV/0!</v>
      </c>
      <c r="AJ27" s="46" t="e">
        <f t="shared" si="12"/>
        <v>#DIV/0!</v>
      </c>
      <c r="AK27" s="45" t="e">
        <f t="shared" si="12"/>
        <v>#DIV/0!</v>
      </c>
      <c r="AL27" s="44" t="e">
        <f t="shared" si="10"/>
        <v>#DIV/0!</v>
      </c>
    </row>
    <row r="28" spans="1:38" x14ac:dyDescent="0.35">
      <c r="A28" s="58" t="s">
        <v>49</v>
      </c>
      <c r="B28" s="57">
        <v>3</v>
      </c>
      <c r="C28" s="132">
        <v>8.2100000000000009</v>
      </c>
      <c r="D28" s="55">
        <f t="shared" si="2"/>
        <v>2.496181580510842</v>
      </c>
      <c r="E28" s="54">
        <f>SUM(D7:D28)</f>
        <v>67.677336927636077</v>
      </c>
      <c r="G28" s="48">
        <f t="shared" si="3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4"/>
        <v>0</v>
      </c>
      <c r="R28" s="48">
        <f t="shared" si="5"/>
        <v>3</v>
      </c>
      <c r="S28" s="47" t="e">
        <f t="shared" si="6"/>
        <v>#DIV/0!</v>
      </c>
      <c r="T28" s="46" t="e">
        <f t="shared" si="6"/>
        <v>#DIV/0!</v>
      </c>
      <c r="U28" s="45" t="e">
        <f t="shared" si="6"/>
        <v>#DIV/0!</v>
      </c>
      <c r="V28" s="46" t="e">
        <f t="shared" si="6"/>
        <v>#DIV/0!</v>
      </c>
      <c r="W28" s="46" t="e">
        <f t="shared" si="6"/>
        <v>#DIV/0!</v>
      </c>
      <c r="X28" s="46" t="e">
        <f t="shared" si="6"/>
        <v>#DIV/0!</v>
      </c>
      <c r="Y28" s="46" t="e">
        <f t="shared" si="6"/>
        <v>#DIV/0!</v>
      </c>
      <c r="Z28" s="45" t="e">
        <f t="shared" si="6"/>
        <v>#DIV/0!</v>
      </c>
      <c r="AA28" s="49" t="e">
        <f t="shared" si="7"/>
        <v>#DIV/0!</v>
      </c>
      <c r="AC28" s="48">
        <f t="shared" si="8"/>
        <v>3</v>
      </c>
      <c r="AD28" s="47" t="e">
        <f t="shared" si="11"/>
        <v>#DIV/0!</v>
      </c>
      <c r="AE28" s="46" t="e">
        <f t="shared" si="11"/>
        <v>#DIV/0!</v>
      </c>
      <c r="AF28" s="45" t="e">
        <f t="shared" si="11"/>
        <v>#DIV/0!</v>
      </c>
      <c r="AG28" s="47" t="e">
        <f t="shared" si="11"/>
        <v>#DIV/0!</v>
      </c>
      <c r="AH28" s="46" t="e">
        <f t="shared" si="11"/>
        <v>#DIV/0!</v>
      </c>
      <c r="AI28" s="46" t="e">
        <f t="shared" si="13"/>
        <v>#DIV/0!</v>
      </c>
      <c r="AJ28" s="46" t="e">
        <f t="shared" si="12"/>
        <v>#DIV/0!</v>
      </c>
      <c r="AK28" s="45" t="e">
        <f t="shared" si="12"/>
        <v>#DIV/0!</v>
      </c>
      <c r="AL28" s="44" t="e">
        <f t="shared" si="10"/>
        <v>#DIV/0!</v>
      </c>
    </row>
    <row r="29" spans="1:38" x14ac:dyDescent="0.35">
      <c r="A29" s="58" t="s">
        <v>48</v>
      </c>
      <c r="B29" s="57">
        <v>3.5</v>
      </c>
      <c r="C29" s="132">
        <v>9.64</v>
      </c>
      <c r="D29" s="55">
        <f t="shared" si="2"/>
        <v>2.9309610762636442</v>
      </c>
      <c r="E29" s="54">
        <f>SUM(D7:D29)</f>
        <v>70.608298003899719</v>
      </c>
      <c r="G29" s="48">
        <f t="shared" si="3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59">
        <v>0</v>
      </c>
      <c r="P29" s="50">
        <f t="shared" si="4"/>
        <v>0</v>
      </c>
      <c r="R29" s="48">
        <f t="shared" si="5"/>
        <v>3.5</v>
      </c>
      <c r="S29" s="47" t="e">
        <f t="shared" si="6"/>
        <v>#DIV/0!</v>
      </c>
      <c r="T29" s="46" t="e">
        <f t="shared" si="6"/>
        <v>#DIV/0!</v>
      </c>
      <c r="U29" s="45" t="e">
        <f t="shared" si="6"/>
        <v>#DIV/0!</v>
      </c>
      <c r="V29" s="46" t="e">
        <f t="shared" si="6"/>
        <v>#DIV/0!</v>
      </c>
      <c r="W29" s="46" t="e">
        <f t="shared" si="6"/>
        <v>#DIV/0!</v>
      </c>
      <c r="X29" s="46" t="e">
        <f t="shared" si="6"/>
        <v>#DIV/0!</v>
      </c>
      <c r="Y29" s="46" t="e">
        <f t="shared" si="6"/>
        <v>#DIV/0!</v>
      </c>
      <c r="Z29" s="45" t="e">
        <f t="shared" si="6"/>
        <v>#DIV/0!</v>
      </c>
      <c r="AA29" s="49" t="e">
        <f t="shared" si="7"/>
        <v>#DIV/0!</v>
      </c>
      <c r="AC29" s="48">
        <f t="shared" si="8"/>
        <v>3.5</v>
      </c>
      <c r="AD29" s="47" t="e">
        <f t="shared" si="11"/>
        <v>#DIV/0!</v>
      </c>
      <c r="AE29" s="46" t="e">
        <f t="shared" si="11"/>
        <v>#DIV/0!</v>
      </c>
      <c r="AF29" s="45" t="e">
        <f t="shared" si="11"/>
        <v>#DIV/0!</v>
      </c>
      <c r="AG29" s="47" t="e">
        <f t="shared" si="11"/>
        <v>#DIV/0!</v>
      </c>
      <c r="AH29" s="46" t="e">
        <f t="shared" si="11"/>
        <v>#DIV/0!</v>
      </c>
      <c r="AI29" s="46" t="e">
        <f t="shared" si="13"/>
        <v>#DIV/0!</v>
      </c>
      <c r="AJ29" s="46" t="e">
        <f t="shared" si="12"/>
        <v>#DIV/0!</v>
      </c>
      <c r="AK29" s="45" t="e">
        <f t="shared" si="12"/>
        <v>#DIV/0!</v>
      </c>
      <c r="AL29" s="44" t="e">
        <f t="shared" si="10"/>
        <v>#DIV/0!</v>
      </c>
    </row>
    <row r="30" spans="1:38" x14ac:dyDescent="0.35">
      <c r="A30" s="58" t="s">
        <v>47</v>
      </c>
      <c r="B30" s="57">
        <v>4</v>
      </c>
      <c r="C30" s="132">
        <v>10.65</v>
      </c>
      <c r="D30" s="55">
        <f t="shared" si="2"/>
        <v>3.2380430977393995</v>
      </c>
      <c r="E30" s="54">
        <f>SUM(D7:D30)</f>
        <v>73.846341101639112</v>
      </c>
      <c r="G30" s="48">
        <f t="shared" si="3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59">
        <v>0</v>
      </c>
      <c r="P30" s="50">
        <f t="shared" si="4"/>
        <v>0</v>
      </c>
      <c r="R30" s="48">
        <f t="shared" si="5"/>
        <v>4</v>
      </c>
      <c r="S30" s="47" t="e">
        <f t="shared" si="6"/>
        <v>#DIV/0!</v>
      </c>
      <c r="T30" s="46" t="e">
        <f t="shared" si="6"/>
        <v>#DIV/0!</v>
      </c>
      <c r="U30" s="45" t="e">
        <f t="shared" si="6"/>
        <v>#DIV/0!</v>
      </c>
      <c r="V30" s="46" t="e">
        <f t="shared" si="6"/>
        <v>#DIV/0!</v>
      </c>
      <c r="W30" s="46" t="e">
        <f t="shared" si="6"/>
        <v>#DIV/0!</v>
      </c>
      <c r="X30" s="46" t="e">
        <f t="shared" si="6"/>
        <v>#DIV/0!</v>
      </c>
      <c r="Y30" s="46" t="e">
        <f t="shared" si="6"/>
        <v>#DIV/0!</v>
      </c>
      <c r="Z30" s="45" t="e">
        <f t="shared" si="6"/>
        <v>#DIV/0!</v>
      </c>
      <c r="AA30" s="49" t="e">
        <f t="shared" si="7"/>
        <v>#DIV/0!</v>
      </c>
      <c r="AC30" s="48">
        <f t="shared" si="8"/>
        <v>4</v>
      </c>
      <c r="AD30" s="47" t="e">
        <f t="shared" si="11"/>
        <v>#DIV/0!</v>
      </c>
      <c r="AE30" s="46" t="e">
        <f t="shared" si="11"/>
        <v>#DIV/0!</v>
      </c>
      <c r="AF30" s="45" t="e">
        <f t="shared" si="11"/>
        <v>#DIV/0!</v>
      </c>
      <c r="AG30" s="47" t="e">
        <f t="shared" si="11"/>
        <v>#DIV/0!</v>
      </c>
      <c r="AH30" s="46" t="e">
        <f t="shared" si="11"/>
        <v>#DIV/0!</v>
      </c>
      <c r="AI30" s="46" t="e">
        <f t="shared" si="13"/>
        <v>#DIV/0!</v>
      </c>
      <c r="AJ30" s="46" t="e">
        <f t="shared" si="12"/>
        <v>#DIV/0!</v>
      </c>
      <c r="AK30" s="45" t="e">
        <f t="shared" si="12"/>
        <v>#DIV/0!</v>
      </c>
      <c r="AL30" s="44" t="e">
        <f t="shared" si="10"/>
        <v>#DIV/0!</v>
      </c>
    </row>
    <row r="31" spans="1:38" x14ac:dyDescent="0.35">
      <c r="A31" s="58" t="s">
        <v>46</v>
      </c>
      <c r="B31" s="57">
        <v>4.5</v>
      </c>
      <c r="C31" s="132">
        <v>86.02</v>
      </c>
      <c r="D31" s="55">
        <f t="shared" si="2"/>
        <v>26.153658898360852</v>
      </c>
      <c r="E31" s="54">
        <f>SUM(D7:D31)</f>
        <v>99.999999999999972</v>
      </c>
      <c r="G31" s="48">
        <f t="shared" si="3"/>
        <v>4.5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59">
        <v>0</v>
      </c>
      <c r="P31" s="50">
        <f t="shared" si="4"/>
        <v>0</v>
      </c>
      <c r="R31" s="48">
        <f t="shared" si="5"/>
        <v>4.5</v>
      </c>
      <c r="S31" s="47" t="e">
        <f t="shared" si="6"/>
        <v>#DIV/0!</v>
      </c>
      <c r="T31" s="46" t="e">
        <f t="shared" si="6"/>
        <v>#DIV/0!</v>
      </c>
      <c r="U31" s="45" t="e">
        <f t="shared" si="6"/>
        <v>#DIV/0!</v>
      </c>
      <c r="V31" s="46" t="e">
        <f t="shared" si="6"/>
        <v>#DIV/0!</v>
      </c>
      <c r="W31" s="46" t="e">
        <f t="shared" si="6"/>
        <v>#DIV/0!</v>
      </c>
      <c r="X31" s="46" t="e">
        <f t="shared" si="6"/>
        <v>#DIV/0!</v>
      </c>
      <c r="Y31" s="46" t="e">
        <f t="shared" si="6"/>
        <v>#DIV/0!</v>
      </c>
      <c r="Z31" s="45" t="e">
        <f t="shared" si="6"/>
        <v>#DIV/0!</v>
      </c>
      <c r="AA31" s="49" t="e">
        <f t="shared" si="7"/>
        <v>#DIV/0!</v>
      </c>
      <c r="AC31" s="48">
        <f t="shared" si="8"/>
        <v>4.5</v>
      </c>
      <c r="AD31" s="47" t="e">
        <f t="shared" si="11"/>
        <v>#DIV/0!</v>
      </c>
      <c r="AE31" s="46" t="e">
        <f t="shared" si="11"/>
        <v>#DIV/0!</v>
      </c>
      <c r="AF31" s="45" t="e">
        <f t="shared" si="11"/>
        <v>#DIV/0!</v>
      </c>
      <c r="AG31" s="47" t="e">
        <f t="shared" si="11"/>
        <v>#DIV/0!</v>
      </c>
      <c r="AH31" s="46" t="e">
        <f t="shared" si="11"/>
        <v>#DIV/0!</v>
      </c>
      <c r="AI31" s="46" t="e">
        <f t="shared" si="13"/>
        <v>#DIV/0!</v>
      </c>
      <c r="AJ31" s="46" t="e">
        <f t="shared" si="12"/>
        <v>#DIV/0!</v>
      </c>
      <c r="AK31" s="45" t="e">
        <f t="shared" si="12"/>
        <v>#DIV/0!</v>
      </c>
      <c r="AL31" s="44" t="e">
        <f t="shared" si="10"/>
        <v>#DIV/0!</v>
      </c>
    </row>
    <row r="32" spans="1:38" x14ac:dyDescent="0.35">
      <c r="A32" s="58" t="s">
        <v>45</v>
      </c>
      <c r="B32" s="57">
        <v>5</v>
      </c>
      <c r="C32" s="132">
        <v>0</v>
      </c>
      <c r="D32" s="55">
        <f t="shared" si="2"/>
        <v>0</v>
      </c>
      <c r="E32" s="54">
        <f>SUM(D7:D32)</f>
        <v>99.999999999999972</v>
      </c>
      <c r="G32" s="48">
        <f t="shared" si="3"/>
        <v>5</v>
      </c>
      <c r="H32" s="53">
        <v>0</v>
      </c>
      <c r="I32" s="52">
        <v>0</v>
      </c>
      <c r="J32" s="51">
        <v>0</v>
      </c>
      <c r="K32" s="52">
        <v>0</v>
      </c>
      <c r="L32" s="52">
        <v>0</v>
      </c>
      <c r="M32" s="52">
        <v>0</v>
      </c>
      <c r="N32" s="52">
        <v>0</v>
      </c>
      <c r="O32" s="51">
        <v>0</v>
      </c>
      <c r="P32" s="50">
        <f t="shared" si="4"/>
        <v>0</v>
      </c>
      <c r="R32" s="48">
        <f t="shared" si="5"/>
        <v>5</v>
      </c>
      <c r="S32" s="47" t="e">
        <f t="shared" si="6"/>
        <v>#DIV/0!</v>
      </c>
      <c r="T32" s="46" t="e">
        <f t="shared" si="6"/>
        <v>#DIV/0!</v>
      </c>
      <c r="U32" s="45" t="e">
        <f t="shared" si="6"/>
        <v>#DIV/0!</v>
      </c>
      <c r="V32" s="46" t="e">
        <f t="shared" si="6"/>
        <v>#DIV/0!</v>
      </c>
      <c r="W32" s="46" t="e">
        <f t="shared" si="6"/>
        <v>#DIV/0!</v>
      </c>
      <c r="X32" s="46" t="e">
        <f t="shared" si="6"/>
        <v>#DIV/0!</v>
      </c>
      <c r="Y32" s="46" t="e">
        <f t="shared" si="6"/>
        <v>#DIV/0!</v>
      </c>
      <c r="Z32" s="45" t="e">
        <f t="shared" si="6"/>
        <v>#DIV/0!</v>
      </c>
      <c r="AA32" s="49" t="e">
        <f t="shared" si="7"/>
        <v>#DIV/0!</v>
      </c>
      <c r="AC32" s="48">
        <f t="shared" si="8"/>
        <v>5</v>
      </c>
      <c r="AD32" s="47" t="e">
        <f t="shared" si="11"/>
        <v>#DIV/0!</v>
      </c>
      <c r="AE32" s="46" t="e">
        <f t="shared" si="11"/>
        <v>#DIV/0!</v>
      </c>
      <c r="AF32" s="45" t="e">
        <f t="shared" si="11"/>
        <v>#DIV/0!</v>
      </c>
      <c r="AG32" s="47" t="e">
        <f t="shared" si="11"/>
        <v>#DIV/0!</v>
      </c>
      <c r="AH32" s="46" t="e">
        <f t="shared" si="11"/>
        <v>#DIV/0!</v>
      </c>
      <c r="AI32" s="46" t="e">
        <f t="shared" si="13"/>
        <v>#DIV/0!</v>
      </c>
      <c r="AJ32" s="46" t="e">
        <f t="shared" si="12"/>
        <v>#DIV/0!</v>
      </c>
      <c r="AK32" s="45" t="e">
        <f t="shared" si="12"/>
        <v>#DIV/0!</v>
      </c>
      <c r="AL32" s="44" t="e">
        <f t="shared" si="10"/>
        <v>#DIV/0!</v>
      </c>
    </row>
    <row r="33" spans="1:38" ht="15" thickBot="1" x14ac:dyDescent="0.4">
      <c r="A33" s="43" t="s">
        <v>44</v>
      </c>
      <c r="B33" s="42" t="s">
        <v>43</v>
      </c>
      <c r="C33" s="133">
        <v>0</v>
      </c>
      <c r="D33" s="40">
        <f t="shared" si="2"/>
        <v>0</v>
      </c>
      <c r="E33" s="39">
        <f>SUM(D7:D33)</f>
        <v>99.999999999999972</v>
      </c>
      <c r="G33" s="33" t="str">
        <f t="shared" si="3"/>
        <v>&gt;6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4"/>
        <v>0</v>
      </c>
      <c r="R33" s="33" t="str">
        <f t="shared" si="5"/>
        <v>&gt;6</v>
      </c>
      <c r="S33" s="32" t="e">
        <f t="shared" si="6"/>
        <v>#DIV/0!</v>
      </c>
      <c r="T33" s="31" t="e">
        <f t="shared" si="6"/>
        <v>#DIV/0!</v>
      </c>
      <c r="U33" s="30" t="e">
        <f t="shared" si="6"/>
        <v>#DIV/0!</v>
      </c>
      <c r="V33" s="31" t="e">
        <f t="shared" si="6"/>
        <v>#DIV/0!</v>
      </c>
      <c r="W33" s="31" t="e">
        <f t="shared" si="6"/>
        <v>#DIV/0!</v>
      </c>
      <c r="X33" s="31" t="e">
        <f t="shared" si="6"/>
        <v>#DIV/0!</v>
      </c>
      <c r="Y33" s="31" t="e">
        <f t="shared" si="6"/>
        <v>#DIV/0!</v>
      </c>
      <c r="Z33" s="30" t="e">
        <f t="shared" si="6"/>
        <v>#DIV/0!</v>
      </c>
      <c r="AA33" s="34" t="e">
        <f t="shared" si="7"/>
        <v>#DIV/0!</v>
      </c>
      <c r="AC33" s="33" t="str">
        <f t="shared" si="8"/>
        <v>&gt;6</v>
      </c>
      <c r="AD33" s="32" t="e">
        <f t="shared" si="11"/>
        <v>#DIV/0!</v>
      </c>
      <c r="AE33" s="31" t="e">
        <f t="shared" si="11"/>
        <v>#DIV/0!</v>
      </c>
      <c r="AF33" s="30" t="e">
        <f t="shared" si="11"/>
        <v>#DIV/0!</v>
      </c>
      <c r="AG33" s="32" t="e">
        <f t="shared" si="11"/>
        <v>#DIV/0!</v>
      </c>
      <c r="AH33" s="31" t="e">
        <f t="shared" si="11"/>
        <v>#DIV/0!</v>
      </c>
      <c r="AI33" s="31" t="e">
        <f t="shared" si="13"/>
        <v>#DIV/0!</v>
      </c>
      <c r="AJ33" s="31" t="e">
        <f t="shared" si="12"/>
        <v>#DIV/0!</v>
      </c>
      <c r="AK33" s="30" t="e">
        <f t="shared" si="12"/>
        <v>#DIV/0!</v>
      </c>
      <c r="AL33" s="29" t="e">
        <f t="shared" si="10"/>
        <v>#DIV/0!</v>
      </c>
    </row>
    <row r="34" spans="1:38" x14ac:dyDescent="0.35">
      <c r="G34" t="s">
        <v>114</v>
      </c>
      <c r="H34">
        <f>SUM(H7:H33)</f>
        <v>11.911596759829997</v>
      </c>
      <c r="I34">
        <f t="shared" ref="I34:O34" si="14">SUM(I7:I33)</f>
        <v>107.43225379332671</v>
      </c>
      <c r="J34">
        <f t="shared" si="14"/>
        <v>1.4215883372773281</v>
      </c>
      <c r="K34">
        <f t="shared" si="14"/>
        <v>8.0205855713098355</v>
      </c>
      <c r="L34">
        <f t="shared" si="14"/>
        <v>2.3716468540374085</v>
      </c>
      <c r="M34">
        <f t="shared" si="14"/>
        <v>0</v>
      </c>
      <c r="N34">
        <f t="shared" si="14"/>
        <v>17.244683548956893</v>
      </c>
      <c r="O34">
        <f t="shared" si="14"/>
        <v>0</v>
      </c>
      <c r="R34" s="28"/>
    </row>
    <row r="40" spans="1:38" x14ac:dyDescent="0.35">
      <c r="H40" s="27"/>
    </row>
    <row r="41" spans="1:38" x14ac:dyDescent="0.35">
      <c r="H41" s="27"/>
    </row>
    <row r="42" spans="1:38" x14ac:dyDescent="0.35">
      <c r="H42" s="27"/>
    </row>
    <row r="57" spans="10:10" x14ac:dyDescent="0.35">
      <c r="J57" s="134"/>
    </row>
    <row r="58" spans="10:10" x14ac:dyDescent="0.35">
      <c r="J58" s="134"/>
    </row>
    <row r="59" spans="10:10" x14ac:dyDescent="0.35">
      <c r="J59" s="134"/>
    </row>
    <row r="60" spans="10:10" x14ac:dyDescent="0.35">
      <c r="J60" s="134"/>
    </row>
    <row r="61" spans="10:10" x14ac:dyDescent="0.35">
      <c r="J61" s="134"/>
    </row>
    <row r="62" spans="10:10" x14ac:dyDescent="0.35">
      <c r="J62" s="134"/>
    </row>
    <row r="63" spans="10:10" x14ac:dyDescent="0.35">
      <c r="J63" s="134"/>
    </row>
    <row r="64" spans="10:10" x14ac:dyDescent="0.35">
      <c r="J64" s="134"/>
    </row>
    <row r="65" spans="1:10" x14ac:dyDescent="0.35">
      <c r="J65" s="134"/>
    </row>
    <row r="66" spans="1:10" x14ac:dyDescent="0.35">
      <c r="J66" s="134"/>
    </row>
    <row r="67" spans="1:10" x14ac:dyDescent="0.35">
      <c r="A67" s="5" t="s">
        <v>27</v>
      </c>
      <c r="B67" s="26"/>
      <c r="C67" s="2"/>
      <c r="D67" s="2"/>
      <c r="J67" s="134"/>
    </row>
    <row r="68" spans="1:10" x14ac:dyDescent="0.35">
      <c r="A68" s="25" t="s">
        <v>42</v>
      </c>
      <c r="B68" s="25"/>
      <c r="C68" s="2"/>
      <c r="D68" s="2"/>
      <c r="J68" s="134"/>
    </row>
    <row r="69" spans="1:10" x14ac:dyDescent="0.35">
      <c r="A69" s="24" t="s">
        <v>41</v>
      </c>
      <c r="B69" s="23">
        <v>5</v>
      </c>
      <c r="C69" s="18">
        <f t="shared" ref="C69:C75" si="15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-2.4766634348056362</v>
      </c>
      <c r="D69" s="2"/>
      <c r="J69" s="134"/>
    </row>
    <row r="70" spans="1:10" x14ac:dyDescent="0.35">
      <c r="A70" s="24" t="s">
        <v>41</v>
      </c>
      <c r="B70" s="23">
        <v>16</v>
      </c>
      <c r="C70" s="18">
        <f t="shared" si="15"/>
        <v>-1.866964805839461</v>
      </c>
      <c r="D70" s="2"/>
    </row>
    <row r="71" spans="1:10" x14ac:dyDescent="0.35">
      <c r="A71" s="24" t="s">
        <v>41</v>
      </c>
      <c r="B71" s="23">
        <v>25</v>
      </c>
      <c r="C71" s="18">
        <f t="shared" si="15"/>
        <v>-1.4916729552624832</v>
      </c>
      <c r="D71" s="2"/>
    </row>
    <row r="72" spans="1:10" x14ac:dyDescent="0.35">
      <c r="A72" s="24" t="s">
        <v>41</v>
      </c>
      <c r="B72" s="23">
        <v>50</v>
      </c>
      <c r="C72" s="18">
        <f t="shared" si="15"/>
        <v>-5.3206498673971148E-2</v>
      </c>
      <c r="D72" s="2"/>
    </row>
    <row r="73" spans="1:10" x14ac:dyDescent="0.35">
      <c r="A73" s="24" t="s">
        <v>41</v>
      </c>
      <c r="B73" s="23">
        <v>75</v>
      </c>
      <c r="C73" s="18">
        <f t="shared" si="15"/>
        <v>4.0220554015567052</v>
      </c>
      <c r="D73" s="2"/>
    </row>
    <row r="74" spans="1:10" x14ac:dyDescent="0.35">
      <c r="A74" s="24" t="s">
        <v>41</v>
      </c>
      <c r="B74" s="23">
        <v>84</v>
      </c>
      <c r="C74" s="18">
        <f t="shared" si="15"/>
        <v>4.1941154569962915</v>
      </c>
      <c r="D74" s="2"/>
    </row>
    <row r="75" spans="1:10" x14ac:dyDescent="0.35">
      <c r="A75" s="24" t="s">
        <v>41</v>
      </c>
      <c r="B75" s="23">
        <v>95</v>
      </c>
      <c r="C75" s="18">
        <f t="shared" si="15"/>
        <v>4.4044110803113412</v>
      </c>
      <c r="D75" s="2"/>
    </row>
    <row r="76" spans="1:10" x14ac:dyDescent="0.35">
      <c r="A76" s="18"/>
      <c r="B76" s="22"/>
      <c r="C76" s="2"/>
      <c r="D76" s="2"/>
    </row>
    <row r="77" spans="1:10" x14ac:dyDescent="0.35">
      <c r="A77" s="21" t="s">
        <v>40</v>
      </c>
      <c r="B77">
        <f>SUM(C7:C10)/SUM(C7:C33)</f>
        <v>0</v>
      </c>
      <c r="D77" s="19" t="s">
        <v>7</v>
      </c>
      <c r="E77" s="18">
        <f>SUM($D$7:$D$20)</f>
        <v>39.723883015872971</v>
      </c>
    </row>
    <row r="78" spans="1:10" x14ac:dyDescent="0.35">
      <c r="A78" s="20" t="s">
        <v>39</v>
      </c>
      <c r="B78">
        <f>SUM(C11:C20)/SUM(C7:C33)</f>
        <v>0.39723883015872968</v>
      </c>
      <c r="D78" s="19" t="s">
        <v>6</v>
      </c>
      <c r="E78" s="18">
        <f>SUM($D$21:$D$30)</f>
        <v>34.122458085766169</v>
      </c>
    </row>
    <row r="79" spans="1:10" x14ac:dyDescent="0.35">
      <c r="A79" s="20" t="s">
        <v>38</v>
      </c>
      <c r="B79">
        <f>SUM(C21:C33)/SUM(C7:C33)</f>
        <v>0.60276116984127015</v>
      </c>
      <c r="D79" s="19" t="s">
        <v>5</v>
      </c>
      <c r="E79" s="18">
        <f>SUM($D$31:$D$33)</f>
        <v>26.153658898360852</v>
      </c>
    </row>
    <row r="80" spans="1:10" x14ac:dyDescent="0.35">
      <c r="A80" s="11"/>
      <c r="B80" s="8"/>
      <c r="D80" s="2"/>
      <c r="E80" s="2"/>
    </row>
    <row r="81" spans="1:8" x14ac:dyDescent="0.35">
      <c r="A81" s="16" t="s">
        <v>4</v>
      </c>
      <c r="B81">
        <f>100*SUM(H7:J33)/SUM(P7:P33)</f>
        <v>81.377036773106539</v>
      </c>
      <c r="D81" s="16" t="s">
        <v>4</v>
      </c>
      <c r="E81">
        <f>100*SUM(H7:J33)/SUM(P7:P33)</f>
        <v>81.377036773106539</v>
      </c>
      <c r="G81" s="17" t="s">
        <v>2</v>
      </c>
      <c r="H81">
        <f>100*SUM(H7:H33)/(SUM(P7:P33)-SUM(M7:N33))</f>
        <v>9.0818910097535106</v>
      </c>
    </row>
    <row r="82" spans="1:8" x14ac:dyDescent="0.35">
      <c r="A82" s="16" t="s">
        <v>0</v>
      </c>
      <c r="B82">
        <f>100*SUM(K7:L33)/SUM(P7:P33)</f>
        <v>7.0027409166244556</v>
      </c>
      <c r="D82" s="16" t="s">
        <v>0</v>
      </c>
      <c r="E82">
        <f>100*SUM(K7:L33)/SUM(P7:P33)</f>
        <v>7.0027409166244556</v>
      </c>
      <c r="G82" s="17" t="s">
        <v>1</v>
      </c>
      <c r="H82">
        <f>100*SUM(I7:J33)/(SUM(P7:P33)-SUM(M7:N33))</f>
        <v>82.994643804343326</v>
      </c>
    </row>
    <row r="83" spans="1:8" x14ac:dyDescent="0.35">
      <c r="A83" s="16" t="s">
        <v>3</v>
      </c>
      <c r="B83">
        <f>100*SUM(O7:O33)/SUM(P7:P33)</f>
        <v>0</v>
      </c>
      <c r="D83" s="16" t="s">
        <v>37</v>
      </c>
      <c r="E83">
        <f>100*SUM(M7:N33)/SUM(P7:P33)</f>
        <v>11.620222310269012</v>
      </c>
      <c r="G83" s="17" t="s">
        <v>0</v>
      </c>
      <c r="H83">
        <f>100*SUM(K7:L33)/(SUM(P7:P33)-SUM(M7:N33))</f>
        <v>7.9234651859031739</v>
      </c>
    </row>
    <row r="85" spans="1:8" x14ac:dyDescent="0.35">
      <c r="A85" s="16" t="s">
        <v>36</v>
      </c>
      <c r="B85" s="2"/>
      <c r="C85" s="2"/>
      <c r="D85" s="13">
        <f>(C70+C74+C72)/3</f>
        <v>0.75798138416095295</v>
      </c>
    </row>
    <row r="86" spans="1:8" x14ac:dyDescent="0.35">
      <c r="A86" s="14" t="s">
        <v>35</v>
      </c>
      <c r="B86" s="14"/>
      <c r="C86" s="14"/>
      <c r="D86" s="7">
        <f>C72</f>
        <v>-5.3206498673971148E-2</v>
      </c>
    </row>
    <row r="87" spans="1:8" x14ac:dyDescent="0.35">
      <c r="A87" s="14" t="s">
        <v>34</v>
      </c>
      <c r="B87" s="14"/>
      <c r="C87" s="14"/>
      <c r="D87" s="7">
        <f>(C74-C70)/2</f>
        <v>3.0305401314178764</v>
      </c>
    </row>
    <row r="88" spans="1:8" x14ac:dyDescent="0.35">
      <c r="A88" s="15" t="s">
        <v>33</v>
      </c>
      <c r="B88" s="14"/>
      <c r="C88" s="14"/>
      <c r="D88" s="13">
        <f>(C74+C70-D86)/D87</f>
        <v>0.78545640268988004</v>
      </c>
    </row>
    <row r="89" spans="1:8" x14ac:dyDescent="0.35">
      <c r="A89" s="3" t="s">
        <v>32</v>
      </c>
      <c r="B89" s="12"/>
      <c r="C89" s="11"/>
      <c r="D89" s="7">
        <f>((C74-C70)/4)+((C75-C69)/6.6)</f>
        <v>2.5578571134539345</v>
      </c>
    </row>
    <row r="90" spans="1:8" x14ac:dyDescent="0.35">
      <c r="A90" s="3" t="s">
        <v>31</v>
      </c>
      <c r="B90" s="10"/>
      <c r="C90" s="10"/>
      <c r="D90" s="7">
        <f>((C70+C74-(2*C72))/(2*(C74-C70)))+((C69+C75-(2*C72))/(2*(C75-C69)))</f>
        <v>0.34856165081697288</v>
      </c>
    </row>
    <row r="91" spans="1:8" x14ac:dyDescent="0.35">
      <c r="A91" s="3" t="s">
        <v>30</v>
      </c>
      <c r="B91" s="9"/>
      <c r="C91" s="8"/>
      <c r="D91" s="7">
        <f>(C74-C69)/(2.44*(C73-C71))</f>
        <v>0.49583976547329073</v>
      </c>
    </row>
    <row r="92" spans="1:8" x14ac:dyDescent="0.35">
      <c r="A92" s="6" t="s">
        <v>29</v>
      </c>
      <c r="B92" s="6"/>
      <c r="C92" s="5"/>
      <c r="D92" s="7">
        <f>(C70+C72+C74)/3</f>
        <v>0.75798138416095318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1.1635753255784151</v>
      </c>
    </row>
    <row r="95" spans="1:8" x14ac:dyDescent="0.35">
      <c r="A95" s="2" t="s">
        <v>9</v>
      </c>
      <c r="B95" s="2"/>
      <c r="C95" s="2"/>
      <c r="D95" s="1">
        <f>100-E23</f>
        <v>45.043763843201141</v>
      </c>
    </row>
    <row r="96" spans="1:8" x14ac:dyDescent="0.35">
      <c r="A96" s="2" t="s">
        <v>8</v>
      </c>
      <c r="B96" s="2"/>
      <c r="C96" s="2"/>
      <c r="D96" s="1">
        <f>100-E30</f>
        <v>26.153658898360888</v>
      </c>
    </row>
    <row r="98" spans="1:3" x14ac:dyDescent="0.35">
      <c r="A98" s="17" t="s">
        <v>101</v>
      </c>
      <c r="C98" t="str">
        <f>IF(SUM(M7:N33)&gt;0,"Mixed","No Mixed")</f>
        <v>Mixed</v>
      </c>
    </row>
    <row r="99" spans="1:3" x14ac:dyDescent="0.35">
      <c r="A99" s="17" t="s">
        <v>102</v>
      </c>
      <c r="C99" t="str">
        <f>IF(SUM(J7:J33)&gt;0,"Obsidian","No obsidian")</f>
        <v>Obsidian</v>
      </c>
    </row>
  </sheetData>
  <mergeCells count="9">
    <mergeCell ref="V3:Z3"/>
    <mergeCell ref="AD3:AF3"/>
    <mergeCell ref="AG3:AK3"/>
    <mergeCell ref="A2:C2"/>
    <mergeCell ref="D2:E2"/>
    <mergeCell ref="K2:O2"/>
    <mergeCell ref="H3:J3"/>
    <mergeCell ref="K3:O3"/>
    <mergeCell ref="S3:U3"/>
  </mergeCells>
  <pageMargins left="0.7" right="0.7" top="0.75" bottom="0.75" header="0.3" footer="0.3"/>
  <pageSetup paperSize="9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FF0066"/>
  </sheetPr>
  <dimension ref="A1:AL96"/>
  <sheetViews>
    <sheetView topLeftCell="A23" zoomScale="63" zoomScaleNormal="100" workbookViewId="0">
      <selection activeCell="P71" sqref="P71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14.1796875" bestFit="1" customWidth="1"/>
    <col min="18" max="18" width="14.1796875" bestFit="1" customWidth="1"/>
    <col min="23" max="23" width="11.453125" customWidth="1"/>
  </cols>
  <sheetData>
    <row r="1" spans="1:38" ht="15" thickBot="1" x14ac:dyDescent="0.4">
      <c r="A1" s="111"/>
      <c r="F1" s="110"/>
    </row>
    <row r="2" spans="1:38" ht="15" thickBot="1" x14ac:dyDescent="0.4">
      <c r="A2" s="157" t="s">
        <v>91</v>
      </c>
      <c r="B2" s="158"/>
      <c r="C2" s="158"/>
      <c r="D2" s="159" t="str">
        <f ca="1">RIGHT(CELL("nomfichier",A1),LEN(CELL("nomfichier",A1))-FIND("]",CELL("nomfichier",A1)))</f>
        <v>MAY190403_2</v>
      </c>
      <c r="E2" s="160"/>
      <c r="G2" s="109" t="s">
        <v>90</v>
      </c>
      <c r="H2" s="108" t="str">
        <f ca="1">D2</f>
        <v>MAY190403_2</v>
      </c>
      <c r="I2" s="108"/>
      <c r="J2" s="107"/>
      <c r="K2" s="161" t="s">
        <v>89</v>
      </c>
      <c r="L2" s="162"/>
      <c r="M2" s="162"/>
      <c r="N2" s="162"/>
      <c r="O2" s="163"/>
    </row>
    <row r="3" spans="1:38" ht="15" thickBot="1" x14ac:dyDescent="0.4">
      <c r="A3" s="106"/>
      <c r="B3" s="105"/>
      <c r="C3" s="105"/>
      <c r="D3" s="105"/>
      <c r="E3" s="104"/>
      <c r="G3" s="103"/>
      <c r="H3" s="154" t="s">
        <v>88</v>
      </c>
      <c r="I3" s="155"/>
      <c r="J3" s="156"/>
      <c r="K3" s="154" t="s">
        <v>87</v>
      </c>
      <c r="L3" s="155"/>
      <c r="M3" s="155"/>
      <c r="N3" s="155"/>
      <c r="O3" s="156"/>
      <c r="S3" s="154" t="s">
        <v>88</v>
      </c>
      <c r="T3" s="155"/>
      <c r="U3" s="156"/>
      <c r="V3" s="154" t="s">
        <v>87</v>
      </c>
      <c r="W3" s="155"/>
      <c r="X3" s="155"/>
      <c r="Y3" s="155"/>
      <c r="Z3" s="156"/>
      <c r="AD3" s="154" t="s">
        <v>88</v>
      </c>
      <c r="AE3" s="155"/>
      <c r="AF3" s="156"/>
      <c r="AG3" s="154" t="s">
        <v>87</v>
      </c>
      <c r="AH3" s="155"/>
      <c r="AI3" s="155"/>
      <c r="AJ3" s="155"/>
      <c r="AK3" s="156"/>
    </row>
    <row r="4" spans="1:38" ht="15" thickBot="1" x14ac:dyDescent="0.4">
      <c r="A4" s="102" t="s">
        <v>86</v>
      </c>
      <c r="B4" s="101">
        <f>SUM(C7:C33)</f>
        <v>0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77</v>
      </c>
      <c r="P4" s="94" t="s">
        <v>76</v>
      </c>
      <c r="R4" s="97" t="str">
        <f t="shared" ref="R4:Z4" si="0">G4</f>
        <v>Grain size (phi)</v>
      </c>
      <c r="S4" s="95" t="str">
        <f t="shared" si="0"/>
        <v>Pumices</v>
      </c>
      <c r="T4" s="95" t="str">
        <f t="shared" si="0"/>
        <v>Dense juveniles</v>
      </c>
      <c r="U4" s="95" t="str">
        <f t="shared" si="0"/>
        <v>Obsidian</v>
      </c>
      <c r="V4" s="96" t="str">
        <f t="shared" si="0"/>
        <v>Coral fragments</v>
      </c>
      <c r="W4" s="95" t="str">
        <f t="shared" si="0"/>
        <v>Mafic clasts</v>
      </c>
      <c r="X4" s="95" t="str">
        <f t="shared" si="0"/>
        <v>Aggregate</v>
      </c>
      <c r="Y4" s="95" t="str">
        <f t="shared" si="0"/>
        <v>Accretionnary lapilli</v>
      </c>
      <c r="Z4" s="94" t="str">
        <f t="shared" si="0"/>
        <v>Crystals</v>
      </c>
      <c r="AA4" s="94" t="s">
        <v>76</v>
      </c>
      <c r="AC4" s="97" t="str">
        <f t="shared" ref="AC4:AK4" si="1">R4</f>
        <v>Grain size (phi)</v>
      </c>
      <c r="AD4" s="95" t="str">
        <f t="shared" si="1"/>
        <v>Pumices</v>
      </c>
      <c r="AE4" s="95" t="str">
        <f t="shared" si="1"/>
        <v>Dense juveniles</v>
      </c>
      <c r="AF4" s="95" t="str">
        <f t="shared" si="1"/>
        <v>Obsidian</v>
      </c>
      <c r="AG4" s="96" t="str">
        <f t="shared" si="1"/>
        <v>Coral fragments</v>
      </c>
      <c r="AH4" s="95" t="str">
        <f t="shared" si="1"/>
        <v>Mafic clasts</v>
      </c>
      <c r="AI4" s="95" t="str">
        <f t="shared" si="1"/>
        <v>Aggregate</v>
      </c>
      <c r="AJ4" s="95" t="str">
        <f t="shared" si="1"/>
        <v>Accretionnary lapilli</v>
      </c>
      <c r="AK4" s="94" t="str">
        <f t="shared" si="1"/>
        <v>Crystals</v>
      </c>
      <c r="AL4" s="94" t="s">
        <v>76</v>
      </c>
    </row>
    <row r="5" spans="1:38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R5" s="77"/>
      <c r="S5" s="85"/>
      <c r="T5" s="84"/>
      <c r="U5" s="83"/>
      <c r="V5" s="84"/>
      <c r="W5" s="84"/>
      <c r="X5" s="84"/>
      <c r="Y5" s="84"/>
      <c r="Z5" s="83"/>
      <c r="AA5" s="82"/>
      <c r="AC5" s="77"/>
      <c r="AD5" s="85"/>
      <c r="AE5" s="84"/>
      <c r="AF5" s="83"/>
      <c r="AG5" s="85"/>
      <c r="AH5" s="84"/>
      <c r="AI5" s="84"/>
      <c r="AJ5" s="84"/>
      <c r="AK5" s="83"/>
      <c r="AL5" s="82"/>
    </row>
    <row r="6" spans="1:38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R6" s="77"/>
      <c r="S6" s="77"/>
      <c r="U6" s="76"/>
      <c r="Z6" s="76"/>
      <c r="AA6" s="49"/>
      <c r="AC6" s="77"/>
      <c r="AD6" s="77"/>
      <c r="AF6" s="76"/>
      <c r="AG6" s="77"/>
      <c r="AK6" s="76"/>
      <c r="AL6" s="49"/>
    </row>
    <row r="7" spans="1:38" x14ac:dyDescent="0.35">
      <c r="A7" s="75" t="s">
        <v>70</v>
      </c>
      <c r="B7" s="74">
        <v>-7.5</v>
      </c>
      <c r="C7" s="72"/>
      <c r="D7" s="55" t="e">
        <f t="shared" ref="D7:D33" si="2">(C7/SUM($C$7:$C$33))*100</f>
        <v>#DIV/0!</v>
      </c>
      <c r="E7" s="73">
        <v>0</v>
      </c>
      <c r="G7" s="48">
        <f t="shared" ref="G7:G33" si="3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4">SUM(H7:O7)</f>
        <v>0</v>
      </c>
      <c r="R7" s="48">
        <f t="shared" ref="R7:R33" si="5">G7</f>
        <v>-7.5</v>
      </c>
      <c r="S7" s="47" t="e">
        <f t="shared" ref="S7:S33" si="6">100*H7/$P7</f>
        <v>#DIV/0!</v>
      </c>
      <c r="T7" s="46" t="e">
        <f t="shared" ref="T7:T33" si="7">100*I7/$P7</f>
        <v>#DIV/0!</v>
      </c>
      <c r="U7" s="45" t="e">
        <f t="shared" ref="U7:U33" si="8">100*J7/$P7</f>
        <v>#DIV/0!</v>
      </c>
      <c r="V7" s="46" t="e">
        <f t="shared" ref="V7:V33" si="9">100*K7/$P7</f>
        <v>#DIV/0!</v>
      </c>
      <c r="W7" s="46" t="e">
        <f t="shared" ref="W7:W33" si="10">100*L7/$P7</f>
        <v>#DIV/0!</v>
      </c>
      <c r="X7" s="46" t="e">
        <f t="shared" ref="X7:X33" si="11">100*M7/$P7</f>
        <v>#DIV/0!</v>
      </c>
      <c r="Y7" s="46" t="e">
        <f t="shared" ref="Y7:Y33" si="12">100*N7/$P7</f>
        <v>#DIV/0!</v>
      </c>
      <c r="Z7" s="45" t="e">
        <f t="shared" ref="Z7:Z33" si="13">100*O7/$P7</f>
        <v>#DIV/0!</v>
      </c>
      <c r="AA7" s="49" t="e">
        <f t="shared" ref="AA7:AA33" si="14">SUM(S7:Z7)</f>
        <v>#DIV/0!</v>
      </c>
      <c r="AC7" s="48">
        <f t="shared" ref="AC7:AC33" si="15">R7</f>
        <v>-7.5</v>
      </c>
      <c r="AD7" s="47" t="e">
        <f t="shared" ref="AD7:AK14" si="16">S7*100/(SUM($S7:$W7)+SUM($Y7:$Z7))</f>
        <v>#DIV/0!</v>
      </c>
      <c r="AE7" s="46" t="e">
        <f t="shared" si="16"/>
        <v>#DIV/0!</v>
      </c>
      <c r="AF7" s="45" t="e">
        <f t="shared" si="16"/>
        <v>#DIV/0!</v>
      </c>
      <c r="AG7" s="47" t="e">
        <f t="shared" si="16"/>
        <v>#DIV/0!</v>
      </c>
      <c r="AH7" s="46" t="e">
        <f t="shared" si="16"/>
        <v>#DIV/0!</v>
      </c>
      <c r="AI7" s="46" t="e">
        <f t="shared" si="16"/>
        <v>#DIV/0!</v>
      </c>
      <c r="AJ7" s="46" t="e">
        <f t="shared" si="16"/>
        <v>#DIV/0!</v>
      </c>
      <c r="AK7" s="45" t="e">
        <f t="shared" si="16"/>
        <v>#DIV/0!</v>
      </c>
      <c r="AL7" s="44" t="e">
        <f t="shared" ref="AL7:AL33" si="17">SUM(AD7:AK7)</f>
        <v>#DIV/0!</v>
      </c>
    </row>
    <row r="8" spans="1:38" x14ac:dyDescent="0.35">
      <c r="A8" s="58" t="s">
        <v>69</v>
      </c>
      <c r="B8" s="57">
        <v>-7</v>
      </c>
      <c r="C8" s="72"/>
      <c r="D8" s="55" t="e">
        <f t="shared" si="2"/>
        <v>#DIV/0!</v>
      </c>
      <c r="E8" s="73" t="e">
        <f>SUM(D6,D8)</f>
        <v>#DIV/0!</v>
      </c>
      <c r="G8" s="48">
        <f t="shared" si="3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4"/>
        <v>0</v>
      </c>
      <c r="R8" s="48">
        <f t="shared" si="5"/>
        <v>-7</v>
      </c>
      <c r="S8" s="47" t="e">
        <f t="shared" si="6"/>
        <v>#DIV/0!</v>
      </c>
      <c r="T8" s="46" t="e">
        <f t="shared" si="7"/>
        <v>#DIV/0!</v>
      </c>
      <c r="U8" s="45" t="e">
        <f t="shared" si="8"/>
        <v>#DIV/0!</v>
      </c>
      <c r="V8" s="46" t="e">
        <f t="shared" si="9"/>
        <v>#DIV/0!</v>
      </c>
      <c r="W8" s="46" t="e">
        <f t="shared" si="10"/>
        <v>#DIV/0!</v>
      </c>
      <c r="X8" s="46" t="e">
        <f t="shared" si="11"/>
        <v>#DIV/0!</v>
      </c>
      <c r="Y8" s="46" t="e">
        <f t="shared" si="12"/>
        <v>#DIV/0!</v>
      </c>
      <c r="Z8" s="45" t="e">
        <f t="shared" si="13"/>
        <v>#DIV/0!</v>
      </c>
      <c r="AA8" s="49" t="e">
        <f t="shared" si="14"/>
        <v>#DIV/0!</v>
      </c>
      <c r="AC8" s="48">
        <f t="shared" si="15"/>
        <v>-7</v>
      </c>
      <c r="AD8" s="47" t="e">
        <f t="shared" si="16"/>
        <v>#DIV/0!</v>
      </c>
      <c r="AE8" s="46" t="e">
        <f t="shared" si="16"/>
        <v>#DIV/0!</v>
      </c>
      <c r="AF8" s="45" t="e">
        <f t="shared" si="16"/>
        <v>#DIV/0!</v>
      </c>
      <c r="AG8" s="47" t="e">
        <f t="shared" si="16"/>
        <v>#DIV/0!</v>
      </c>
      <c r="AH8" s="46" t="e">
        <f t="shared" si="16"/>
        <v>#DIV/0!</v>
      </c>
      <c r="AI8" s="46" t="e">
        <f t="shared" si="16"/>
        <v>#DIV/0!</v>
      </c>
      <c r="AJ8" s="46" t="e">
        <f t="shared" si="16"/>
        <v>#DIV/0!</v>
      </c>
      <c r="AK8" s="45" t="e">
        <f t="shared" si="16"/>
        <v>#DIV/0!</v>
      </c>
      <c r="AL8" s="44" t="e">
        <f t="shared" si="17"/>
        <v>#DIV/0!</v>
      </c>
    </row>
    <row r="9" spans="1:38" x14ac:dyDescent="0.35">
      <c r="A9" s="58" t="s">
        <v>68</v>
      </c>
      <c r="B9" s="57">
        <v>-6.5</v>
      </c>
      <c r="C9" s="72"/>
      <c r="D9" s="55" t="e">
        <f t="shared" si="2"/>
        <v>#DIV/0!</v>
      </c>
      <c r="E9" s="73" t="e">
        <f>SUM(D6:D9)</f>
        <v>#DIV/0!</v>
      </c>
      <c r="G9" s="48">
        <f t="shared" si="3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4"/>
        <v>0</v>
      </c>
      <c r="R9" s="48">
        <f t="shared" si="5"/>
        <v>-6.5</v>
      </c>
      <c r="S9" s="47" t="e">
        <f t="shared" si="6"/>
        <v>#DIV/0!</v>
      </c>
      <c r="T9" s="46" t="e">
        <f t="shared" si="7"/>
        <v>#DIV/0!</v>
      </c>
      <c r="U9" s="45" t="e">
        <f t="shared" si="8"/>
        <v>#DIV/0!</v>
      </c>
      <c r="V9" s="46" t="e">
        <f t="shared" si="9"/>
        <v>#DIV/0!</v>
      </c>
      <c r="W9" s="46" t="e">
        <f t="shared" si="10"/>
        <v>#DIV/0!</v>
      </c>
      <c r="X9" s="46" t="e">
        <f t="shared" si="11"/>
        <v>#DIV/0!</v>
      </c>
      <c r="Y9" s="46" t="e">
        <f t="shared" si="12"/>
        <v>#DIV/0!</v>
      </c>
      <c r="Z9" s="45" t="e">
        <f t="shared" si="13"/>
        <v>#DIV/0!</v>
      </c>
      <c r="AA9" s="49" t="e">
        <f t="shared" si="14"/>
        <v>#DIV/0!</v>
      </c>
      <c r="AC9" s="48">
        <f t="shared" si="15"/>
        <v>-6.5</v>
      </c>
      <c r="AD9" s="47" t="e">
        <f t="shared" si="16"/>
        <v>#DIV/0!</v>
      </c>
      <c r="AE9" s="46" t="e">
        <f t="shared" si="16"/>
        <v>#DIV/0!</v>
      </c>
      <c r="AF9" s="45" t="e">
        <f t="shared" si="16"/>
        <v>#DIV/0!</v>
      </c>
      <c r="AG9" s="47" t="e">
        <f t="shared" si="16"/>
        <v>#DIV/0!</v>
      </c>
      <c r="AH9" s="46" t="e">
        <f t="shared" si="16"/>
        <v>#DIV/0!</v>
      </c>
      <c r="AI9" s="46" t="e">
        <f t="shared" si="16"/>
        <v>#DIV/0!</v>
      </c>
      <c r="AJ9" s="46" t="e">
        <f t="shared" si="16"/>
        <v>#DIV/0!</v>
      </c>
      <c r="AK9" s="45" t="e">
        <f t="shared" si="16"/>
        <v>#DIV/0!</v>
      </c>
      <c r="AL9" s="44" t="e">
        <f t="shared" si="17"/>
        <v>#DIV/0!</v>
      </c>
    </row>
    <row r="10" spans="1:38" x14ac:dyDescent="0.35">
      <c r="A10" s="58" t="s">
        <v>67</v>
      </c>
      <c r="B10" s="57">
        <v>-6</v>
      </c>
      <c r="C10" s="72"/>
      <c r="D10" s="55" t="e">
        <f t="shared" si="2"/>
        <v>#DIV/0!</v>
      </c>
      <c r="E10" s="54" t="e">
        <f>SUM(D6:D10)</f>
        <v>#DIV/0!</v>
      </c>
      <c r="G10" s="48">
        <f t="shared" si="3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4"/>
        <v>0</v>
      </c>
      <c r="R10" s="48">
        <f t="shared" si="5"/>
        <v>-6</v>
      </c>
      <c r="S10" s="47" t="e">
        <f t="shared" si="6"/>
        <v>#DIV/0!</v>
      </c>
      <c r="T10" s="46" t="e">
        <f t="shared" si="7"/>
        <v>#DIV/0!</v>
      </c>
      <c r="U10" s="45" t="e">
        <f t="shared" si="8"/>
        <v>#DIV/0!</v>
      </c>
      <c r="V10" s="46" t="e">
        <f t="shared" si="9"/>
        <v>#DIV/0!</v>
      </c>
      <c r="W10" s="46" t="e">
        <f t="shared" si="10"/>
        <v>#DIV/0!</v>
      </c>
      <c r="X10" s="46" t="e">
        <f t="shared" si="11"/>
        <v>#DIV/0!</v>
      </c>
      <c r="Y10" s="46" t="e">
        <f t="shared" si="12"/>
        <v>#DIV/0!</v>
      </c>
      <c r="Z10" s="45" t="e">
        <f t="shared" si="13"/>
        <v>#DIV/0!</v>
      </c>
      <c r="AA10" s="49" t="e">
        <f t="shared" si="14"/>
        <v>#DIV/0!</v>
      </c>
      <c r="AC10" s="48">
        <f t="shared" si="15"/>
        <v>-6</v>
      </c>
      <c r="AD10" s="47" t="e">
        <f t="shared" si="16"/>
        <v>#DIV/0!</v>
      </c>
      <c r="AE10" s="46" t="e">
        <f t="shared" si="16"/>
        <v>#DIV/0!</v>
      </c>
      <c r="AF10" s="45" t="e">
        <f t="shared" si="16"/>
        <v>#DIV/0!</v>
      </c>
      <c r="AG10" s="47" t="e">
        <f t="shared" si="16"/>
        <v>#DIV/0!</v>
      </c>
      <c r="AH10" s="46" t="e">
        <f t="shared" si="16"/>
        <v>#DIV/0!</v>
      </c>
      <c r="AI10" s="46" t="e">
        <f t="shared" si="16"/>
        <v>#DIV/0!</v>
      </c>
      <c r="AJ10" s="46" t="e">
        <f t="shared" si="16"/>
        <v>#DIV/0!</v>
      </c>
      <c r="AK10" s="45" t="e">
        <f t="shared" si="16"/>
        <v>#DIV/0!</v>
      </c>
      <c r="AL10" s="44" t="e">
        <f t="shared" si="17"/>
        <v>#DIV/0!</v>
      </c>
    </row>
    <row r="11" spans="1:38" x14ac:dyDescent="0.35">
      <c r="A11" s="58" t="s">
        <v>66</v>
      </c>
      <c r="B11" s="57">
        <v>-5.5</v>
      </c>
      <c r="C11" s="62"/>
      <c r="D11" s="55" t="e">
        <f t="shared" si="2"/>
        <v>#DIV/0!</v>
      </c>
      <c r="E11" s="54" t="e">
        <f>SUM(D6:D11)</f>
        <v>#DIV/0!</v>
      </c>
      <c r="G11" s="48">
        <f t="shared" si="3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50">
        <f t="shared" si="4"/>
        <v>0</v>
      </c>
      <c r="R11" s="48">
        <f t="shared" si="5"/>
        <v>-5.5</v>
      </c>
      <c r="S11" s="47" t="e">
        <f t="shared" si="6"/>
        <v>#DIV/0!</v>
      </c>
      <c r="T11" s="46" t="e">
        <f t="shared" si="7"/>
        <v>#DIV/0!</v>
      </c>
      <c r="U11" s="45" t="e">
        <f t="shared" si="8"/>
        <v>#DIV/0!</v>
      </c>
      <c r="V11" s="46" t="e">
        <f t="shared" si="9"/>
        <v>#DIV/0!</v>
      </c>
      <c r="W11" s="46" t="e">
        <f t="shared" si="10"/>
        <v>#DIV/0!</v>
      </c>
      <c r="X11" s="46" t="e">
        <f t="shared" si="11"/>
        <v>#DIV/0!</v>
      </c>
      <c r="Y11" s="46" t="e">
        <f t="shared" si="12"/>
        <v>#DIV/0!</v>
      </c>
      <c r="Z11" s="45" t="e">
        <f t="shared" si="13"/>
        <v>#DIV/0!</v>
      </c>
      <c r="AA11" s="49" t="e">
        <f t="shared" si="14"/>
        <v>#DIV/0!</v>
      </c>
      <c r="AC11" s="48">
        <f t="shared" si="15"/>
        <v>-5.5</v>
      </c>
      <c r="AD11" s="47" t="e">
        <f t="shared" si="16"/>
        <v>#DIV/0!</v>
      </c>
      <c r="AE11" s="46" t="e">
        <f t="shared" si="16"/>
        <v>#DIV/0!</v>
      </c>
      <c r="AF11" s="45" t="e">
        <f t="shared" si="16"/>
        <v>#DIV/0!</v>
      </c>
      <c r="AG11" s="47" t="e">
        <f t="shared" si="16"/>
        <v>#DIV/0!</v>
      </c>
      <c r="AH11" s="46" t="e">
        <f t="shared" si="16"/>
        <v>#DIV/0!</v>
      </c>
      <c r="AI11" s="46" t="e">
        <f t="shared" si="16"/>
        <v>#DIV/0!</v>
      </c>
      <c r="AJ11" s="46" t="e">
        <f t="shared" si="16"/>
        <v>#DIV/0!</v>
      </c>
      <c r="AK11" s="45" t="e">
        <f t="shared" si="16"/>
        <v>#DIV/0!</v>
      </c>
      <c r="AL11" s="44" t="e">
        <f t="shared" si="17"/>
        <v>#DIV/0!</v>
      </c>
    </row>
    <row r="12" spans="1:38" x14ac:dyDescent="0.35">
      <c r="A12" s="58" t="s">
        <v>65</v>
      </c>
      <c r="B12" s="57">
        <v>-5</v>
      </c>
      <c r="C12" s="62"/>
      <c r="D12" s="55" t="e">
        <f t="shared" si="2"/>
        <v>#DIV/0!</v>
      </c>
      <c r="E12" s="54" t="e">
        <f>SUM(D6:D12)</f>
        <v>#DIV/0!</v>
      </c>
      <c r="G12" s="48">
        <f t="shared" si="3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50">
        <f t="shared" si="4"/>
        <v>0</v>
      </c>
      <c r="R12" s="48">
        <f t="shared" si="5"/>
        <v>-5</v>
      </c>
      <c r="S12" s="47" t="e">
        <f t="shared" si="6"/>
        <v>#DIV/0!</v>
      </c>
      <c r="T12" s="46" t="e">
        <f t="shared" si="7"/>
        <v>#DIV/0!</v>
      </c>
      <c r="U12" s="45" t="e">
        <f t="shared" si="8"/>
        <v>#DIV/0!</v>
      </c>
      <c r="V12" s="46" t="e">
        <f t="shared" si="9"/>
        <v>#DIV/0!</v>
      </c>
      <c r="W12" s="46" t="e">
        <f t="shared" si="10"/>
        <v>#DIV/0!</v>
      </c>
      <c r="X12" s="46" t="e">
        <f t="shared" si="11"/>
        <v>#DIV/0!</v>
      </c>
      <c r="Y12" s="46" t="e">
        <f t="shared" si="12"/>
        <v>#DIV/0!</v>
      </c>
      <c r="Z12" s="45" t="e">
        <f t="shared" si="13"/>
        <v>#DIV/0!</v>
      </c>
      <c r="AA12" s="49" t="e">
        <f t="shared" si="14"/>
        <v>#DIV/0!</v>
      </c>
      <c r="AC12" s="48">
        <f t="shared" si="15"/>
        <v>-5</v>
      </c>
      <c r="AD12" s="47" t="e">
        <f t="shared" si="16"/>
        <v>#DIV/0!</v>
      </c>
      <c r="AE12" s="46" t="e">
        <f t="shared" si="16"/>
        <v>#DIV/0!</v>
      </c>
      <c r="AF12" s="45" t="e">
        <f t="shared" si="16"/>
        <v>#DIV/0!</v>
      </c>
      <c r="AG12" s="47" t="e">
        <f t="shared" si="16"/>
        <v>#DIV/0!</v>
      </c>
      <c r="AH12" s="46" t="e">
        <f t="shared" si="16"/>
        <v>#DIV/0!</v>
      </c>
      <c r="AI12" s="46" t="e">
        <f t="shared" si="16"/>
        <v>#DIV/0!</v>
      </c>
      <c r="AJ12" s="46" t="e">
        <f t="shared" si="16"/>
        <v>#DIV/0!</v>
      </c>
      <c r="AK12" s="45" t="e">
        <f t="shared" si="16"/>
        <v>#DIV/0!</v>
      </c>
      <c r="AL12" s="44" t="e">
        <f t="shared" si="17"/>
        <v>#DIV/0!</v>
      </c>
    </row>
    <row r="13" spans="1:38" x14ac:dyDescent="0.35">
      <c r="A13" s="58" t="s">
        <v>64</v>
      </c>
      <c r="B13" s="57">
        <v>-4.5</v>
      </c>
      <c r="C13" s="62"/>
      <c r="D13" s="55" t="e">
        <f t="shared" si="2"/>
        <v>#DIV/0!</v>
      </c>
      <c r="E13" s="54" t="e">
        <f>SUM(D7:D13)</f>
        <v>#DIV/0!</v>
      </c>
      <c r="G13" s="48">
        <f t="shared" si="3"/>
        <v>-4.5</v>
      </c>
      <c r="H13" s="61">
        <v>0</v>
      </c>
      <c r="I13" s="60">
        <v>0</v>
      </c>
      <c r="J13" s="59">
        <v>0</v>
      </c>
      <c r="K13" s="60">
        <v>0</v>
      </c>
      <c r="L13" s="60">
        <v>0</v>
      </c>
      <c r="M13" s="60">
        <v>0</v>
      </c>
      <c r="N13" s="60">
        <v>0</v>
      </c>
      <c r="O13" s="60">
        <v>0</v>
      </c>
      <c r="P13" s="50">
        <f t="shared" si="4"/>
        <v>0</v>
      </c>
      <c r="R13" s="48">
        <f t="shared" si="5"/>
        <v>-4.5</v>
      </c>
      <c r="S13" s="47" t="e">
        <f t="shared" si="6"/>
        <v>#DIV/0!</v>
      </c>
      <c r="T13" s="46" t="e">
        <f t="shared" si="7"/>
        <v>#DIV/0!</v>
      </c>
      <c r="U13" s="45" t="e">
        <f t="shared" si="8"/>
        <v>#DIV/0!</v>
      </c>
      <c r="V13" s="46" t="e">
        <f t="shared" si="9"/>
        <v>#DIV/0!</v>
      </c>
      <c r="W13" s="46" t="e">
        <f t="shared" si="10"/>
        <v>#DIV/0!</v>
      </c>
      <c r="X13" s="46" t="e">
        <f t="shared" si="11"/>
        <v>#DIV/0!</v>
      </c>
      <c r="Y13" s="46" t="e">
        <f t="shared" si="12"/>
        <v>#DIV/0!</v>
      </c>
      <c r="Z13" s="45" t="e">
        <f t="shared" si="13"/>
        <v>#DIV/0!</v>
      </c>
      <c r="AA13" s="49" t="e">
        <f t="shared" si="14"/>
        <v>#DIV/0!</v>
      </c>
      <c r="AC13" s="48">
        <f t="shared" si="15"/>
        <v>-4.5</v>
      </c>
      <c r="AD13" s="47" t="e">
        <f t="shared" si="16"/>
        <v>#DIV/0!</v>
      </c>
      <c r="AE13" s="46" t="e">
        <f t="shared" si="16"/>
        <v>#DIV/0!</v>
      </c>
      <c r="AF13" s="45" t="e">
        <f t="shared" si="16"/>
        <v>#DIV/0!</v>
      </c>
      <c r="AG13" s="47" t="e">
        <f t="shared" si="16"/>
        <v>#DIV/0!</v>
      </c>
      <c r="AH13" s="46" t="e">
        <f t="shared" si="16"/>
        <v>#DIV/0!</v>
      </c>
      <c r="AI13" s="46" t="e">
        <f t="shared" si="16"/>
        <v>#DIV/0!</v>
      </c>
      <c r="AJ13" s="46" t="e">
        <f t="shared" si="16"/>
        <v>#DIV/0!</v>
      </c>
      <c r="AK13" s="45" t="e">
        <f t="shared" si="16"/>
        <v>#DIV/0!</v>
      </c>
      <c r="AL13" s="44" t="e">
        <f t="shared" si="17"/>
        <v>#DIV/0!</v>
      </c>
    </row>
    <row r="14" spans="1:38" x14ac:dyDescent="0.35">
      <c r="A14" s="58" t="s">
        <v>63</v>
      </c>
      <c r="B14" s="57">
        <v>-4</v>
      </c>
      <c r="C14" s="62"/>
      <c r="D14" s="55" t="e">
        <f t="shared" si="2"/>
        <v>#DIV/0!</v>
      </c>
      <c r="E14" s="54" t="e">
        <f>SUM(D8:D14)</f>
        <v>#DIV/0!</v>
      </c>
      <c r="G14" s="48">
        <f t="shared" si="3"/>
        <v>-4</v>
      </c>
      <c r="H14" s="61">
        <v>0</v>
      </c>
      <c r="I14" s="60">
        <v>0</v>
      </c>
      <c r="J14" s="59">
        <v>0</v>
      </c>
      <c r="K14" s="60">
        <v>0</v>
      </c>
      <c r="L14" s="60">
        <v>0</v>
      </c>
      <c r="M14" s="60">
        <v>0</v>
      </c>
      <c r="N14" s="60">
        <v>0</v>
      </c>
      <c r="O14" s="60">
        <v>0</v>
      </c>
      <c r="P14" s="50">
        <f t="shared" si="4"/>
        <v>0</v>
      </c>
      <c r="R14" s="48">
        <f t="shared" si="5"/>
        <v>-4</v>
      </c>
      <c r="S14" s="47" t="e">
        <f t="shared" si="6"/>
        <v>#DIV/0!</v>
      </c>
      <c r="T14" s="46" t="e">
        <f t="shared" si="7"/>
        <v>#DIV/0!</v>
      </c>
      <c r="U14" s="45" t="e">
        <f t="shared" si="8"/>
        <v>#DIV/0!</v>
      </c>
      <c r="V14" s="46" t="e">
        <f t="shared" si="9"/>
        <v>#DIV/0!</v>
      </c>
      <c r="W14" s="46" t="e">
        <f t="shared" si="10"/>
        <v>#DIV/0!</v>
      </c>
      <c r="X14" s="46" t="e">
        <f t="shared" si="11"/>
        <v>#DIV/0!</v>
      </c>
      <c r="Y14" s="46" t="e">
        <f t="shared" si="12"/>
        <v>#DIV/0!</v>
      </c>
      <c r="Z14" s="45" t="e">
        <f t="shared" si="13"/>
        <v>#DIV/0!</v>
      </c>
      <c r="AA14" s="49" t="e">
        <f t="shared" si="14"/>
        <v>#DIV/0!</v>
      </c>
      <c r="AC14" s="48">
        <f t="shared" si="15"/>
        <v>-4</v>
      </c>
      <c r="AD14" s="47" t="e">
        <f t="shared" si="16"/>
        <v>#DIV/0!</v>
      </c>
      <c r="AE14" s="46" t="e">
        <f t="shared" si="16"/>
        <v>#DIV/0!</v>
      </c>
      <c r="AF14" s="45" t="e">
        <f t="shared" si="16"/>
        <v>#DIV/0!</v>
      </c>
      <c r="AG14" s="47" t="e">
        <f t="shared" si="16"/>
        <v>#DIV/0!</v>
      </c>
      <c r="AH14" s="46" t="e">
        <f t="shared" si="16"/>
        <v>#DIV/0!</v>
      </c>
      <c r="AI14" s="46" t="e">
        <f t="shared" si="16"/>
        <v>#DIV/0!</v>
      </c>
      <c r="AJ14" s="46" t="e">
        <f t="shared" si="16"/>
        <v>#DIV/0!</v>
      </c>
      <c r="AK14" s="45" t="e">
        <f t="shared" si="16"/>
        <v>#DIV/0!</v>
      </c>
      <c r="AL14" s="44" t="e">
        <f t="shared" si="17"/>
        <v>#DIV/0!</v>
      </c>
    </row>
    <row r="15" spans="1:38" x14ac:dyDescent="0.35">
      <c r="A15" s="58" t="s">
        <v>62</v>
      </c>
      <c r="B15" s="57">
        <v>-3.5</v>
      </c>
      <c r="C15" s="62"/>
      <c r="D15" s="55" t="e">
        <f t="shared" si="2"/>
        <v>#DIV/0!</v>
      </c>
      <c r="E15" s="54" t="e">
        <f>SUM(D6:D15)</f>
        <v>#DIV/0!</v>
      </c>
      <c r="G15" s="48">
        <f t="shared" si="3"/>
        <v>-3.5</v>
      </c>
      <c r="H15" s="61">
        <v>0</v>
      </c>
      <c r="I15" s="60">
        <v>0</v>
      </c>
      <c r="J15" s="59">
        <v>0</v>
      </c>
      <c r="K15" s="60">
        <v>0</v>
      </c>
      <c r="L15" s="60">
        <v>0</v>
      </c>
      <c r="M15" s="60">
        <v>0</v>
      </c>
      <c r="N15" s="60">
        <v>0</v>
      </c>
      <c r="O15" s="59">
        <v>0</v>
      </c>
      <c r="P15" s="50">
        <f t="shared" si="4"/>
        <v>0</v>
      </c>
      <c r="R15" s="48">
        <f t="shared" si="5"/>
        <v>-3.5</v>
      </c>
      <c r="S15" s="67" t="e">
        <f t="shared" si="6"/>
        <v>#DIV/0!</v>
      </c>
      <c r="T15" s="66" t="e">
        <f t="shared" si="7"/>
        <v>#DIV/0!</v>
      </c>
      <c r="U15" s="65" t="e">
        <f t="shared" si="8"/>
        <v>#DIV/0!</v>
      </c>
      <c r="V15" s="66" t="e">
        <f t="shared" si="9"/>
        <v>#DIV/0!</v>
      </c>
      <c r="W15" s="66" t="e">
        <f t="shared" si="10"/>
        <v>#DIV/0!</v>
      </c>
      <c r="X15" s="66" t="e">
        <f t="shared" si="11"/>
        <v>#DIV/0!</v>
      </c>
      <c r="Y15" s="66" t="e">
        <f t="shared" si="12"/>
        <v>#DIV/0!</v>
      </c>
      <c r="Z15" s="65" t="e">
        <f t="shared" si="13"/>
        <v>#DIV/0!</v>
      </c>
      <c r="AA15" s="50" t="e">
        <f t="shared" si="14"/>
        <v>#DIV/0!</v>
      </c>
      <c r="AC15" s="48">
        <f t="shared" si="15"/>
        <v>-3.5</v>
      </c>
      <c r="AD15" s="67" t="e">
        <f t="shared" ref="AD15:AD33" si="18">S15*100/(SUM($S15:$W15)+SUM($Y15:$Z15))</f>
        <v>#DIV/0!</v>
      </c>
      <c r="AE15" s="66" t="e">
        <f t="shared" ref="AE15:AE33" si="19">T15*100/(SUM($S15:$W15)+SUM($Y15:$Z15))</f>
        <v>#DIV/0!</v>
      </c>
      <c r="AF15" s="65" t="e">
        <f t="shared" ref="AF15:AF33" si="20">U15*100/(SUM($S15:$W15)+SUM($Y15:$Z15))</f>
        <v>#DIV/0!</v>
      </c>
      <c r="AG15" s="67" t="e">
        <f t="shared" ref="AG15:AG33" si="21">V15*100/(SUM($S15:$W15)+SUM($Y15:$Z15))</f>
        <v>#DIV/0!</v>
      </c>
      <c r="AH15" s="66" t="e">
        <f t="shared" ref="AH15:AH33" si="22">W15*100/(SUM($S15:$W15)+SUM($Y15:$Z15))</f>
        <v>#DIV/0!</v>
      </c>
      <c r="AI15" s="66">
        <v>0</v>
      </c>
      <c r="AJ15" s="66" t="e">
        <f t="shared" ref="AJ15:AJ33" si="23">Y15*100/(SUM($S15:$W15)+SUM($Y15:$Z15))</f>
        <v>#DIV/0!</v>
      </c>
      <c r="AK15" s="65" t="e">
        <f t="shared" ref="AK15:AK33" si="24">Z15*100/(SUM($S15:$W15)+SUM($Y15:$Z15))</f>
        <v>#DIV/0!</v>
      </c>
      <c r="AL15" s="64" t="e">
        <f t="shared" si="17"/>
        <v>#DIV/0!</v>
      </c>
    </row>
    <row r="16" spans="1:38" x14ac:dyDescent="0.35">
      <c r="A16" s="71" t="s">
        <v>61</v>
      </c>
      <c r="B16" s="57">
        <v>-3</v>
      </c>
      <c r="C16" s="62"/>
      <c r="D16" s="55" t="e">
        <f t="shared" si="2"/>
        <v>#DIV/0!</v>
      </c>
      <c r="E16" s="54" t="e">
        <f>SUM(D6:D16)</f>
        <v>#DIV/0!</v>
      </c>
      <c r="G16" s="48">
        <f t="shared" si="3"/>
        <v>-3</v>
      </c>
      <c r="H16" s="61">
        <v>0</v>
      </c>
      <c r="I16" s="60">
        <v>0</v>
      </c>
      <c r="J16" s="59">
        <v>0</v>
      </c>
      <c r="K16" s="60">
        <v>0</v>
      </c>
      <c r="L16" s="60">
        <v>0</v>
      </c>
      <c r="M16" s="60">
        <v>0</v>
      </c>
      <c r="N16" s="60">
        <v>0</v>
      </c>
      <c r="O16" s="59">
        <v>0</v>
      </c>
      <c r="P16" s="50">
        <f t="shared" si="4"/>
        <v>0</v>
      </c>
      <c r="R16" s="48">
        <f t="shared" si="5"/>
        <v>-3</v>
      </c>
      <c r="S16" s="67" t="e">
        <f t="shared" si="6"/>
        <v>#DIV/0!</v>
      </c>
      <c r="T16" s="66" t="e">
        <f t="shared" si="7"/>
        <v>#DIV/0!</v>
      </c>
      <c r="U16" s="65" t="e">
        <f t="shared" si="8"/>
        <v>#DIV/0!</v>
      </c>
      <c r="V16" s="66" t="e">
        <f t="shared" si="9"/>
        <v>#DIV/0!</v>
      </c>
      <c r="W16" s="66" t="e">
        <f t="shared" si="10"/>
        <v>#DIV/0!</v>
      </c>
      <c r="X16" s="66" t="e">
        <f t="shared" si="11"/>
        <v>#DIV/0!</v>
      </c>
      <c r="Y16" s="66" t="e">
        <f t="shared" si="12"/>
        <v>#DIV/0!</v>
      </c>
      <c r="Z16" s="65" t="e">
        <f t="shared" si="13"/>
        <v>#DIV/0!</v>
      </c>
      <c r="AA16" s="50" t="e">
        <f t="shared" si="14"/>
        <v>#DIV/0!</v>
      </c>
      <c r="AC16" s="48">
        <f t="shared" si="15"/>
        <v>-3</v>
      </c>
      <c r="AD16" s="67" t="e">
        <f t="shared" si="18"/>
        <v>#DIV/0!</v>
      </c>
      <c r="AE16" s="66" t="e">
        <f t="shared" si="19"/>
        <v>#DIV/0!</v>
      </c>
      <c r="AF16" s="65" t="e">
        <f t="shared" si="20"/>
        <v>#DIV/0!</v>
      </c>
      <c r="AG16" s="67" t="e">
        <f t="shared" si="21"/>
        <v>#DIV/0!</v>
      </c>
      <c r="AH16" s="66" t="e">
        <f t="shared" si="22"/>
        <v>#DIV/0!</v>
      </c>
      <c r="AI16" s="66">
        <v>0</v>
      </c>
      <c r="AJ16" s="66" t="e">
        <f t="shared" si="23"/>
        <v>#DIV/0!</v>
      </c>
      <c r="AK16" s="65" t="e">
        <f t="shared" si="24"/>
        <v>#DIV/0!</v>
      </c>
      <c r="AL16" s="64" t="e">
        <f t="shared" si="17"/>
        <v>#DIV/0!</v>
      </c>
    </row>
    <row r="17" spans="1:38" x14ac:dyDescent="0.35">
      <c r="A17" s="71" t="s">
        <v>60</v>
      </c>
      <c r="B17" s="57">
        <v>-2.5</v>
      </c>
      <c r="C17" s="62"/>
      <c r="D17" s="55" t="e">
        <f t="shared" si="2"/>
        <v>#DIV/0!</v>
      </c>
      <c r="E17" s="54" t="e">
        <f>SUM(D6:D17)</f>
        <v>#DIV/0!</v>
      </c>
      <c r="G17" s="48">
        <f t="shared" si="3"/>
        <v>-2.5</v>
      </c>
      <c r="H17" s="61">
        <v>0</v>
      </c>
      <c r="I17" s="60">
        <v>0</v>
      </c>
      <c r="J17" s="59">
        <v>0</v>
      </c>
      <c r="K17" s="60">
        <v>0</v>
      </c>
      <c r="L17" s="60">
        <v>0</v>
      </c>
      <c r="M17" s="60">
        <v>0</v>
      </c>
      <c r="N17" s="60">
        <v>0</v>
      </c>
      <c r="O17" s="59">
        <v>0</v>
      </c>
      <c r="P17" s="50">
        <f t="shared" si="4"/>
        <v>0</v>
      </c>
      <c r="R17" s="48">
        <f t="shared" si="5"/>
        <v>-2.5</v>
      </c>
      <c r="S17" s="67" t="e">
        <f t="shared" si="6"/>
        <v>#DIV/0!</v>
      </c>
      <c r="T17" s="66" t="e">
        <f t="shared" si="7"/>
        <v>#DIV/0!</v>
      </c>
      <c r="U17" s="65" t="e">
        <f t="shared" si="8"/>
        <v>#DIV/0!</v>
      </c>
      <c r="V17" s="66" t="e">
        <f t="shared" si="9"/>
        <v>#DIV/0!</v>
      </c>
      <c r="W17" s="66" t="e">
        <f t="shared" si="10"/>
        <v>#DIV/0!</v>
      </c>
      <c r="X17" s="66" t="e">
        <f t="shared" si="11"/>
        <v>#DIV/0!</v>
      </c>
      <c r="Y17" s="66" t="e">
        <f t="shared" si="12"/>
        <v>#DIV/0!</v>
      </c>
      <c r="Z17" s="65" t="e">
        <f t="shared" si="13"/>
        <v>#DIV/0!</v>
      </c>
      <c r="AA17" s="50" t="e">
        <f t="shared" si="14"/>
        <v>#DIV/0!</v>
      </c>
      <c r="AC17" s="48">
        <f t="shared" si="15"/>
        <v>-2.5</v>
      </c>
      <c r="AD17" s="67" t="e">
        <f t="shared" si="18"/>
        <v>#DIV/0!</v>
      </c>
      <c r="AE17" s="66" t="e">
        <f t="shared" si="19"/>
        <v>#DIV/0!</v>
      </c>
      <c r="AF17" s="65" t="e">
        <f t="shared" si="20"/>
        <v>#DIV/0!</v>
      </c>
      <c r="AG17" s="67" t="e">
        <f t="shared" si="21"/>
        <v>#DIV/0!</v>
      </c>
      <c r="AH17" s="66" t="e">
        <f t="shared" si="22"/>
        <v>#DIV/0!</v>
      </c>
      <c r="AI17" s="66">
        <v>0</v>
      </c>
      <c r="AJ17" s="66" t="e">
        <f t="shared" si="23"/>
        <v>#DIV/0!</v>
      </c>
      <c r="AK17" s="65" t="e">
        <f t="shared" si="24"/>
        <v>#DIV/0!</v>
      </c>
      <c r="AL17" s="64" t="e">
        <f t="shared" si="17"/>
        <v>#DIV/0!</v>
      </c>
    </row>
    <row r="18" spans="1:38" x14ac:dyDescent="0.35">
      <c r="A18" s="58" t="s">
        <v>59</v>
      </c>
      <c r="B18" s="57">
        <v>-2</v>
      </c>
      <c r="C18" s="62"/>
      <c r="D18" s="55" t="e">
        <f t="shared" si="2"/>
        <v>#DIV/0!</v>
      </c>
      <c r="E18" s="54" t="e">
        <f>SUM(D6:D18)</f>
        <v>#DIV/0!</v>
      </c>
      <c r="G18" s="48">
        <f t="shared" si="3"/>
        <v>-2</v>
      </c>
      <c r="H18" s="61">
        <v>0</v>
      </c>
      <c r="I18" s="60">
        <v>0</v>
      </c>
      <c r="J18" s="59">
        <v>0</v>
      </c>
      <c r="K18" s="60">
        <v>0</v>
      </c>
      <c r="L18" s="60">
        <v>0</v>
      </c>
      <c r="M18" s="60">
        <v>0</v>
      </c>
      <c r="N18" s="60">
        <v>0</v>
      </c>
      <c r="O18" s="59">
        <v>0</v>
      </c>
      <c r="P18" s="50">
        <f t="shared" si="4"/>
        <v>0</v>
      </c>
      <c r="R18" s="48">
        <f t="shared" si="5"/>
        <v>-2</v>
      </c>
      <c r="S18" s="67" t="e">
        <f t="shared" si="6"/>
        <v>#DIV/0!</v>
      </c>
      <c r="T18" s="66" t="e">
        <f t="shared" si="7"/>
        <v>#DIV/0!</v>
      </c>
      <c r="U18" s="65" t="e">
        <f t="shared" si="8"/>
        <v>#DIV/0!</v>
      </c>
      <c r="V18" s="66" t="e">
        <f t="shared" si="9"/>
        <v>#DIV/0!</v>
      </c>
      <c r="W18" s="66" t="e">
        <f t="shared" si="10"/>
        <v>#DIV/0!</v>
      </c>
      <c r="X18" s="66" t="e">
        <f t="shared" si="11"/>
        <v>#DIV/0!</v>
      </c>
      <c r="Y18" s="66" t="e">
        <f t="shared" si="12"/>
        <v>#DIV/0!</v>
      </c>
      <c r="Z18" s="65" t="e">
        <f t="shared" si="13"/>
        <v>#DIV/0!</v>
      </c>
      <c r="AA18" s="50" t="e">
        <f t="shared" si="14"/>
        <v>#DIV/0!</v>
      </c>
      <c r="AC18" s="48">
        <f t="shared" si="15"/>
        <v>-2</v>
      </c>
      <c r="AD18" s="67" t="e">
        <f t="shared" si="18"/>
        <v>#DIV/0!</v>
      </c>
      <c r="AE18" s="66" t="e">
        <f t="shared" si="19"/>
        <v>#DIV/0!</v>
      </c>
      <c r="AF18" s="65" t="e">
        <f t="shared" si="20"/>
        <v>#DIV/0!</v>
      </c>
      <c r="AG18" s="67" t="e">
        <f t="shared" si="21"/>
        <v>#DIV/0!</v>
      </c>
      <c r="AH18" s="66" t="e">
        <f t="shared" si="22"/>
        <v>#DIV/0!</v>
      </c>
      <c r="AI18" s="66">
        <v>0</v>
      </c>
      <c r="AJ18" s="66" t="e">
        <f t="shared" si="23"/>
        <v>#DIV/0!</v>
      </c>
      <c r="AK18" s="65" t="e">
        <f t="shared" si="24"/>
        <v>#DIV/0!</v>
      </c>
      <c r="AL18" s="64" t="e">
        <f t="shared" si="17"/>
        <v>#DIV/0!</v>
      </c>
    </row>
    <row r="19" spans="1:38" x14ac:dyDescent="0.35">
      <c r="A19" s="58" t="s">
        <v>58</v>
      </c>
      <c r="B19" s="57">
        <v>-1.5</v>
      </c>
      <c r="C19" s="62"/>
      <c r="D19" s="55" t="e">
        <f t="shared" si="2"/>
        <v>#DIV/0!</v>
      </c>
      <c r="E19" s="54" t="e">
        <f>SUM(D6:D19)</f>
        <v>#DIV/0!</v>
      </c>
      <c r="G19" s="48">
        <f t="shared" si="3"/>
        <v>-1.5</v>
      </c>
      <c r="H19" s="61">
        <v>0</v>
      </c>
      <c r="I19" s="60">
        <v>0</v>
      </c>
      <c r="J19" s="59">
        <v>0</v>
      </c>
      <c r="K19" s="60">
        <v>0</v>
      </c>
      <c r="L19" s="60">
        <v>0</v>
      </c>
      <c r="M19" s="60">
        <v>0</v>
      </c>
      <c r="N19" s="60">
        <v>0</v>
      </c>
      <c r="O19" s="59">
        <v>0</v>
      </c>
      <c r="P19" s="50">
        <f t="shared" si="4"/>
        <v>0</v>
      </c>
      <c r="R19" s="48">
        <f t="shared" si="5"/>
        <v>-1.5</v>
      </c>
      <c r="S19" s="67" t="e">
        <f t="shared" si="6"/>
        <v>#DIV/0!</v>
      </c>
      <c r="T19" s="66" t="e">
        <f t="shared" si="7"/>
        <v>#DIV/0!</v>
      </c>
      <c r="U19" s="65" t="e">
        <f t="shared" si="8"/>
        <v>#DIV/0!</v>
      </c>
      <c r="V19" s="66" t="e">
        <f t="shared" si="9"/>
        <v>#DIV/0!</v>
      </c>
      <c r="W19" s="66" t="e">
        <f t="shared" si="10"/>
        <v>#DIV/0!</v>
      </c>
      <c r="X19" s="66" t="e">
        <f t="shared" si="11"/>
        <v>#DIV/0!</v>
      </c>
      <c r="Y19" s="66" t="e">
        <f t="shared" si="12"/>
        <v>#DIV/0!</v>
      </c>
      <c r="Z19" s="65" t="e">
        <f t="shared" si="13"/>
        <v>#DIV/0!</v>
      </c>
      <c r="AA19" s="50" t="e">
        <f t="shared" si="14"/>
        <v>#DIV/0!</v>
      </c>
      <c r="AC19" s="48">
        <f t="shared" si="15"/>
        <v>-1.5</v>
      </c>
      <c r="AD19" s="67" t="e">
        <f t="shared" si="18"/>
        <v>#DIV/0!</v>
      </c>
      <c r="AE19" s="66" t="e">
        <f t="shared" si="19"/>
        <v>#DIV/0!</v>
      </c>
      <c r="AF19" s="65" t="e">
        <f t="shared" si="20"/>
        <v>#DIV/0!</v>
      </c>
      <c r="AG19" s="67" t="e">
        <f t="shared" si="21"/>
        <v>#DIV/0!</v>
      </c>
      <c r="AH19" s="66" t="e">
        <f t="shared" si="22"/>
        <v>#DIV/0!</v>
      </c>
      <c r="AI19" s="66">
        <v>0</v>
      </c>
      <c r="AJ19" s="66" t="e">
        <f t="shared" si="23"/>
        <v>#DIV/0!</v>
      </c>
      <c r="AK19" s="65" t="e">
        <f t="shared" si="24"/>
        <v>#DIV/0!</v>
      </c>
      <c r="AL19" s="64" t="e">
        <f t="shared" si="17"/>
        <v>#DIV/0!</v>
      </c>
    </row>
    <row r="20" spans="1:38" x14ac:dyDescent="0.35">
      <c r="A20" s="58" t="s">
        <v>57</v>
      </c>
      <c r="B20" s="57">
        <v>-1</v>
      </c>
      <c r="C20" s="62"/>
      <c r="D20" s="55" t="e">
        <f t="shared" si="2"/>
        <v>#DIV/0!</v>
      </c>
      <c r="E20" s="54" t="e">
        <f>SUM(D6:D20)</f>
        <v>#DIV/0!</v>
      </c>
      <c r="G20" s="48">
        <f t="shared" si="3"/>
        <v>-1</v>
      </c>
      <c r="H20" s="61">
        <v>0</v>
      </c>
      <c r="I20" s="60">
        <v>0</v>
      </c>
      <c r="J20" s="59">
        <v>0</v>
      </c>
      <c r="K20" s="60">
        <v>0</v>
      </c>
      <c r="L20" s="60">
        <v>0</v>
      </c>
      <c r="M20" s="60">
        <v>0</v>
      </c>
      <c r="N20" s="60">
        <v>0</v>
      </c>
      <c r="O20" s="59">
        <v>0</v>
      </c>
      <c r="P20" s="50">
        <f t="shared" si="4"/>
        <v>0</v>
      </c>
      <c r="R20" s="48">
        <f t="shared" si="5"/>
        <v>-1</v>
      </c>
      <c r="S20" s="67" t="e">
        <f t="shared" si="6"/>
        <v>#DIV/0!</v>
      </c>
      <c r="T20" s="66" t="e">
        <f t="shared" si="7"/>
        <v>#DIV/0!</v>
      </c>
      <c r="U20" s="65" t="e">
        <f t="shared" si="8"/>
        <v>#DIV/0!</v>
      </c>
      <c r="V20" s="66" t="e">
        <f t="shared" si="9"/>
        <v>#DIV/0!</v>
      </c>
      <c r="W20" s="66" t="e">
        <f t="shared" si="10"/>
        <v>#DIV/0!</v>
      </c>
      <c r="X20" s="66" t="e">
        <f t="shared" si="11"/>
        <v>#DIV/0!</v>
      </c>
      <c r="Y20" s="66" t="e">
        <f t="shared" si="12"/>
        <v>#DIV/0!</v>
      </c>
      <c r="Z20" s="65" t="e">
        <f t="shared" si="13"/>
        <v>#DIV/0!</v>
      </c>
      <c r="AA20" s="50" t="e">
        <f t="shared" si="14"/>
        <v>#DIV/0!</v>
      </c>
      <c r="AC20" s="48">
        <f t="shared" si="15"/>
        <v>-1</v>
      </c>
      <c r="AD20" s="67" t="e">
        <f t="shared" si="18"/>
        <v>#DIV/0!</v>
      </c>
      <c r="AE20" s="66" t="e">
        <f t="shared" si="19"/>
        <v>#DIV/0!</v>
      </c>
      <c r="AF20" s="65" t="e">
        <f t="shared" si="20"/>
        <v>#DIV/0!</v>
      </c>
      <c r="AG20" s="67" t="e">
        <f t="shared" si="21"/>
        <v>#DIV/0!</v>
      </c>
      <c r="AH20" s="66" t="e">
        <f t="shared" si="22"/>
        <v>#DIV/0!</v>
      </c>
      <c r="AI20" s="66">
        <v>0</v>
      </c>
      <c r="AJ20" s="66" t="e">
        <f t="shared" si="23"/>
        <v>#DIV/0!</v>
      </c>
      <c r="AK20" s="65" t="e">
        <f t="shared" si="24"/>
        <v>#DIV/0!</v>
      </c>
      <c r="AL20" s="64" t="e">
        <f t="shared" si="17"/>
        <v>#DIV/0!</v>
      </c>
    </row>
    <row r="21" spans="1:38" x14ac:dyDescent="0.35">
      <c r="A21" s="58" t="s">
        <v>56</v>
      </c>
      <c r="B21" s="57">
        <v>-0.5</v>
      </c>
      <c r="C21" s="62"/>
      <c r="D21" s="55" t="e">
        <f t="shared" si="2"/>
        <v>#DIV/0!</v>
      </c>
      <c r="E21" s="54" t="e">
        <f>SUM(D6:D21)</f>
        <v>#DIV/0!</v>
      </c>
      <c r="G21" s="70">
        <f t="shared" si="3"/>
        <v>-0.5</v>
      </c>
      <c r="H21" s="53">
        <v>0</v>
      </c>
      <c r="I21" s="52">
        <v>0</v>
      </c>
      <c r="J21" s="51">
        <v>0</v>
      </c>
      <c r="K21" s="52">
        <v>0</v>
      </c>
      <c r="L21" s="52">
        <v>0</v>
      </c>
      <c r="M21" s="52">
        <v>0</v>
      </c>
      <c r="N21" s="52">
        <v>0</v>
      </c>
      <c r="O21" s="51">
        <v>0</v>
      </c>
      <c r="P21" s="69">
        <f t="shared" si="4"/>
        <v>0</v>
      </c>
      <c r="Q21" s="68"/>
      <c r="R21" s="48">
        <f t="shared" si="5"/>
        <v>-0.5</v>
      </c>
      <c r="S21" s="67" t="e">
        <f t="shared" si="6"/>
        <v>#DIV/0!</v>
      </c>
      <c r="T21" s="66" t="e">
        <f t="shared" si="7"/>
        <v>#DIV/0!</v>
      </c>
      <c r="U21" s="65" t="e">
        <f t="shared" si="8"/>
        <v>#DIV/0!</v>
      </c>
      <c r="V21" s="66" t="e">
        <f t="shared" si="9"/>
        <v>#DIV/0!</v>
      </c>
      <c r="W21" s="66" t="e">
        <f t="shared" si="10"/>
        <v>#DIV/0!</v>
      </c>
      <c r="X21" s="66" t="e">
        <f t="shared" si="11"/>
        <v>#DIV/0!</v>
      </c>
      <c r="Y21" s="66" t="e">
        <f t="shared" si="12"/>
        <v>#DIV/0!</v>
      </c>
      <c r="Z21" s="65" t="e">
        <f t="shared" si="13"/>
        <v>#DIV/0!</v>
      </c>
      <c r="AA21" s="50" t="e">
        <f t="shared" si="14"/>
        <v>#DIV/0!</v>
      </c>
      <c r="AC21" s="48">
        <f t="shared" si="15"/>
        <v>-0.5</v>
      </c>
      <c r="AD21" s="67" t="e">
        <f t="shared" si="18"/>
        <v>#DIV/0!</v>
      </c>
      <c r="AE21" s="66" t="e">
        <f t="shared" si="19"/>
        <v>#DIV/0!</v>
      </c>
      <c r="AF21" s="65" t="e">
        <f t="shared" si="20"/>
        <v>#DIV/0!</v>
      </c>
      <c r="AG21" s="67" t="e">
        <f t="shared" si="21"/>
        <v>#DIV/0!</v>
      </c>
      <c r="AH21" s="66" t="e">
        <f t="shared" si="22"/>
        <v>#DIV/0!</v>
      </c>
      <c r="AI21" s="66">
        <v>0</v>
      </c>
      <c r="AJ21" s="66" t="e">
        <f t="shared" si="23"/>
        <v>#DIV/0!</v>
      </c>
      <c r="AK21" s="65" t="e">
        <f t="shared" si="24"/>
        <v>#DIV/0!</v>
      </c>
      <c r="AL21" s="64" t="e">
        <f t="shared" si="17"/>
        <v>#DIV/0!</v>
      </c>
    </row>
    <row r="22" spans="1:38" x14ac:dyDescent="0.35">
      <c r="A22" s="58" t="s">
        <v>55</v>
      </c>
      <c r="B22" s="57">
        <v>0</v>
      </c>
      <c r="C22" s="62"/>
      <c r="D22" s="55" t="e">
        <f t="shared" si="2"/>
        <v>#DIV/0!</v>
      </c>
      <c r="E22" s="54" t="e">
        <f>SUM(D6:D22)</f>
        <v>#DIV/0!</v>
      </c>
      <c r="G22" s="48">
        <f t="shared" si="3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4"/>
        <v>0</v>
      </c>
      <c r="R22" s="48">
        <f t="shared" si="5"/>
        <v>0</v>
      </c>
      <c r="S22" s="47" t="e">
        <f t="shared" si="6"/>
        <v>#DIV/0!</v>
      </c>
      <c r="T22" s="46" t="e">
        <f t="shared" si="7"/>
        <v>#DIV/0!</v>
      </c>
      <c r="U22" s="45" t="e">
        <f t="shared" si="8"/>
        <v>#DIV/0!</v>
      </c>
      <c r="V22" s="46" t="e">
        <f t="shared" si="9"/>
        <v>#DIV/0!</v>
      </c>
      <c r="W22" s="46" t="e">
        <f t="shared" si="10"/>
        <v>#DIV/0!</v>
      </c>
      <c r="X22" s="46" t="e">
        <f t="shared" si="11"/>
        <v>#DIV/0!</v>
      </c>
      <c r="Y22" s="46" t="e">
        <f t="shared" si="12"/>
        <v>#DIV/0!</v>
      </c>
      <c r="Z22" s="45" t="e">
        <f t="shared" si="13"/>
        <v>#DIV/0!</v>
      </c>
      <c r="AA22" s="49" t="e">
        <f t="shared" si="14"/>
        <v>#DIV/0!</v>
      </c>
      <c r="AC22" s="48">
        <f t="shared" si="15"/>
        <v>0</v>
      </c>
      <c r="AD22" s="47" t="e">
        <f t="shared" si="18"/>
        <v>#DIV/0!</v>
      </c>
      <c r="AE22" s="46" t="e">
        <f t="shared" si="19"/>
        <v>#DIV/0!</v>
      </c>
      <c r="AF22" s="45" t="e">
        <f t="shared" si="20"/>
        <v>#DIV/0!</v>
      </c>
      <c r="AG22" s="47" t="e">
        <f t="shared" si="21"/>
        <v>#DIV/0!</v>
      </c>
      <c r="AH22" s="46" t="e">
        <f t="shared" si="22"/>
        <v>#DIV/0!</v>
      </c>
      <c r="AI22" s="46" t="e">
        <f t="shared" ref="AI22:AI33" si="25">X22*100/(SUM($S22:$W22)+SUM($Y22:$Z22))</f>
        <v>#DIV/0!</v>
      </c>
      <c r="AJ22" s="46" t="e">
        <f t="shared" si="23"/>
        <v>#DIV/0!</v>
      </c>
      <c r="AK22" s="45" t="e">
        <f t="shared" si="24"/>
        <v>#DIV/0!</v>
      </c>
      <c r="AL22" s="44" t="e">
        <f t="shared" si="17"/>
        <v>#DIV/0!</v>
      </c>
    </row>
    <row r="23" spans="1:38" x14ac:dyDescent="0.35">
      <c r="A23" s="58" t="s">
        <v>54</v>
      </c>
      <c r="B23" s="57">
        <v>0.5</v>
      </c>
      <c r="C23" s="62"/>
      <c r="D23" s="55" t="e">
        <f t="shared" si="2"/>
        <v>#DIV/0!</v>
      </c>
      <c r="E23" s="54" t="e">
        <f>SUM(D6:D23)</f>
        <v>#DIV/0!</v>
      </c>
      <c r="G23" s="48">
        <f t="shared" si="3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4"/>
        <v>0</v>
      </c>
      <c r="R23" s="48">
        <f t="shared" si="5"/>
        <v>0.5</v>
      </c>
      <c r="S23" s="47" t="e">
        <f t="shared" si="6"/>
        <v>#DIV/0!</v>
      </c>
      <c r="T23" s="46" t="e">
        <f t="shared" si="7"/>
        <v>#DIV/0!</v>
      </c>
      <c r="U23" s="45" t="e">
        <f t="shared" si="8"/>
        <v>#DIV/0!</v>
      </c>
      <c r="V23" s="46" t="e">
        <f t="shared" si="9"/>
        <v>#DIV/0!</v>
      </c>
      <c r="W23" s="46" t="e">
        <f t="shared" si="10"/>
        <v>#DIV/0!</v>
      </c>
      <c r="X23" s="46" t="e">
        <f t="shared" si="11"/>
        <v>#DIV/0!</v>
      </c>
      <c r="Y23" s="46" t="e">
        <f t="shared" si="12"/>
        <v>#DIV/0!</v>
      </c>
      <c r="Z23" s="45" t="e">
        <f t="shared" si="13"/>
        <v>#DIV/0!</v>
      </c>
      <c r="AA23" s="49" t="e">
        <f t="shared" si="14"/>
        <v>#DIV/0!</v>
      </c>
      <c r="AC23" s="48">
        <f t="shared" si="15"/>
        <v>0.5</v>
      </c>
      <c r="AD23" s="47" t="e">
        <f t="shared" si="18"/>
        <v>#DIV/0!</v>
      </c>
      <c r="AE23" s="46" t="e">
        <f t="shared" si="19"/>
        <v>#DIV/0!</v>
      </c>
      <c r="AF23" s="45" t="e">
        <f t="shared" si="20"/>
        <v>#DIV/0!</v>
      </c>
      <c r="AG23" s="47" t="e">
        <f t="shared" si="21"/>
        <v>#DIV/0!</v>
      </c>
      <c r="AH23" s="46" t="e">
        <f t="shared" si="22"/>
        <v>#DIV/0!</v>
      </c>
      <c r="AI23" s="46" t="e">
        <f t="shared" si="25"/>
        <v>#DIV/0!</v>
      </c>
      <c r="AJ23" s="46" t="e">
        <f t="shared" si="23"/>
        <v>#DIV/0!</v>
      </c>
      <c r="AK23" s="45" t="e">
        <f t="shared" si="24"/>
        <v>#DIV/0!</v>
      </c>
      <c r="AL23" s="44" t="e">
        <f t="shared" si="17"/>
        <v>#DIV/0!</v>
      </c>
    </row>
    <row r="24" spans="1:38" x14ac:dyDescent="0.35">
      <c r="A24" s="58" t="s">
        <v>53</v>
      </c>
      <c r="B24" s="57">
        <v>1</v>
      </c>
      <c r="C24" s="63"/>
      <c r="D24" s="55" t="e">
        <f t="shared" si="2"/>
        <v>#DIV/0!</v>
      </c>
      <c r="E24" s="54" t="e">
        <f>SUM(D6:D24)</f>
        <v>#DIV/0!</v>
      </c>
      <c r="G24" s="48">
        <f t="shared" si="3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4"/>
        <v>0</v>
      </c>
      <c r="R24" s="48">
        <f t="shared" si="5"/>
        <v>1</v>
      </c>
      <c r="S24" s="47" t="e">
        <f t="shared" si="6"/>
        <v>#DIV/0!</v>
      </c>
      <c r="T24" s="46" t="e">
        <f t="shared" si="7"/>
        <v>#DIV/0!</v>
      </c>
      <c r="U24" s="45" t="e">
        <f t="shared" si="8"/>
        <v>#DIV/0!</v>
      </c>
      <c r="V24" s="46" t="e">
        <f t="shared" si="9"/>
        <v>#DIV/0!</v>
      </c>
      <c r="W24" s="46" t="e">
        <f t="shared" si="10"/>
        <v>#DIV/0!</v>
      </c>
      <c r="X24" s="46" t="e">
        <f t="shared" si="11"/>
        <v>#DIV/0!</v>
      </c>
      <c r="Y24" s="46" t="e">
        <f t="shared" si="12"/>
        <v>#DIV/0!</v>
      </c>
      <c r="Z24" s="45" t="e">
        <f t="shared" si="13"/>
        <v>#DIV/0!</v>
      </c>
      <c r="AA24" s="49" t="e">
        <f t="shared" si="14"/>
        <v>#DIV/0!</v>
      </c>
      <c r="AC24" s="48">
        <f t="shared" si="15"/>
        <v>1</v>
      </c>
      <c r="AD24" s="47" t="e">
        <f t="shared" si="18"/>
        <v>#DIV/0!</v>
      </c>
      <c r="AE24" s="46" t="e">
        <f t="shared" si="19"/>
        <v>#DIV/0!</v>
      </c>
      <c r="AF24" s="45" t="e">
        <f t="shared" si="20"/>
        <v>#DIV/0!</v>
      </c>
      <c r="AG24" s="47" t="e">
        <f t="shared" si="21"/>
        <v>#DIV/0!</v>
      </c>
      <c r="AH24" s="46" t="e">
        <f t="shared" si="22"/>
        <v>#DIV/0!</v>
      </c>
      <c r="AI24" s="46" t="e">
        <f t="shared" si="25"/>
        <v>#DIV/0!</v>
      </c>
      <c r="AJ24" s="46" t="e">
        <f t="shared" si="23"/>
        <v>#DIV/0!</v>
      </c>
      <c r="AK24" s="45" t="e">
        <f t="shared" si="24"/>
        <v>#DIV/0!</v>
      </c>
      <c r="AL24" s="44" t="e">
        <f t="shared" si="17"/>
        <v>#DIV/0!</v>
      </c>
    </row>
    <row r="25" spans="1:38" x14ac:dyDescent="0.35">
      <c r="A25" s="58" t="s">
        <v>52</v>
      </c>
      <c r="B25" s="57">
        <v>1.5</v>
      </c>
      <c r="C25" s="62"/>
      <c r="D25" s="55" t="e">
        <f t="shared" si="2"/>
        <v>#DIV/0!</v>
      </c>
      <c r="E25" s="54" t="e">
        <f>SUM(D6:D25)</f>
        <v>#DIV/0!</v>
      </c>
      <c r="G25" s="48">
        <f t="shared" si="3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4"/>
        <v>0</v>
      </c>
      <c r="R25" s="48">
        <f t="shared" si="5"/>
        <v>1.5</v>
      </c>
      <c r="S25" s="47" t="e">
        <f t="shared" si="6"/>
        <v>#DIV/0!</v>
      </c>
      <c r="T25" s="46" t="e">
        <f t="shared" si="7"/>
        <v>#DIV/0!</v>
      </c>
      <c r="U25" s="45" t="e">
        <f t="shared" si="8"/>
        <v>#DIV/0!</v>
      </c>
      <c r="V25" s="46" t="e">
        <f t="shared" si="9"/>
        <v>#DIV/0!</v>
      </c>
      <c r="W25" s="46" t="e">
        <f t="shared" si="10"/>
        <v>#DIV/0!</v>
      </c>
      <c r="X25" s="46" t="e">
        <f t="shared" si="11"/>
        <v>#DIV/0!</v>
      </c>
      <c r="Y25" s="46" t="e">
        <f t="shared" si="12"/>
        <v>#DIV/0!</v>
      </c>
      <c r="Z25" s="45" t="e">
        <f t="shared" si="13"/>
        <v>#DIV/0!</v>
      </c>
      <c r="AA25" s="49" t="e">
        <f t="shared" si="14"/>
        <v>#DIV/0!</v>
      </c>
      <c r="AC25" s="48">
        <f t="shared" si="15"/>
        <v>1.5</v>
      </c>
      <c r="AD25" s="47" t="e">
        <f t="shared" si="18"/>
        <v>#DIV/0!</v>
      </c>
      <c r="AE25" s="46" t="e">
        <f t="shared" si="19"/>
        <v>#DIV/0!</v>
      </c>
      <c r="AF25" s="45" t="e">
        <f t="shared" si="20"/>
        <v>#DIV/0!</v>
      </c>
      <c r="AG25" s="47" t="e">
        <f t="shared" si="21"/>
        <v>#DIV/0!</v>
      </c>
      <c r="AH25" s="46" t="e">
        <f t="shared" si="22"/>
        <v>#DIV/0!</v>
      </c>
      <c r="AI25" s="46" t="e">
        <f t="shared" si="25"/>
        <v>#DIV/0!</v>
      </c>
      <c r="AJ25" s="46" t="e">
        <f t="shared" si="23"/>
        <v>#DIV/0!</v>
      </c>
      <c r="AK25" s="45" t="e">
        <f t="shared" si="24"/>
        <v>#DIV/0!</v>
      </c>
      <c r="AL25" s="44" t="e">
        <f t="shared" si="17"/>
        <v>#DIV/0!</v>
      </c>
    </row>
    <row r="26" spans="1:38" x14ac:dyDescent="0.35">
      <c r="A26" s="58" t="s">
        <v>51</v>
      </c>
      <c r="B26" s="57">
        <v>2</v>
      </c>
      <c r="C26" s="62"/>
      <c r="D26" s="55" t="e">
        <f t="shared" si="2"/>
        <v>#DIV/0!</v>
      </c>
      <c r="E26" s="54" t="e">
        <f>SUM(D6:D26)</f>
        <v>#DIV/0!</v>
      </c>
      <c r="G26" s="48">
        <f t="shared" si="3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4"/>
        <v>0</v>
      </c>
      <c r="R26" s="48">
        <f t="shared" si="5"/>
        <v>2</v>
      </c>
      <c r="S26" s="47" t="e">
        <f t="shared" si="6"/>
        <v>#DIV/0!</v>
      </c>
      <c r="T26" s="46" t="e">
        <f t="shared" si="7"/>
        <v>#DIV/0!</v>
      </c>
      <c r="U26" s="45" t="e">
        <f t="shared" si="8"/>
        <v>#DIV/0!</v>
      </c>
      <c r="V26" s="46" t="e">
        <f t="shared" si="9"/>
        <v>#DIV/0!</v>
      </c>
      <c r="W26" s="46" t="e">
        <f t="shared" si="10"/>
        <v>#DIV/0!</v>
      </c>
      <c r="X26" s="46" t="e">
        <f t="shared" si="11"/>
        <v>#DIV/0!</v>
      </c>
      <c r="Y26" s="46" t="e">
        <f t="shared" si="12"/>
        <v>#DIV/0!</v>
      </c>
      <c r="Z26" s="45" t="e">
        <f t="shared" si="13"/>
        <v>#DIV/0!</v>
      </c>
      <c r="AA26" s="49" t="e">
        <f t="shared" si="14"/>
        <v>#DIV/0!</v>
      </c>
      <c r="AC26" s="48">
        <f t="shared" si="15"/>
        <v>2</v>
      </c>
      <c r="AD26" s="47" t="e">
        <f t="shared" si="18"/>
        <v>#DIV/0!</v>
      </c>
      <c r="AE26" s="46" t="e">
        <f t="shared" si="19"/>
        <v>#DIV/0!</v>
      </c>
      <c r="AF26" s="45" t="e">
        <f t="shared" si="20"/>
        <v>#DIV/0!</v>
      </c>
      <c r="AG26" s="47" t="e">
        <f t="shared" si="21"/>
        <v>#DIV/0!</v>
      </c>
      <c r="AH26" s="46" t="e">
        <f t="shared" si="22"/>
        <v>#DIV/0!</v>
      </c>
      <c r="AI26" s="46" t="e">
        <f t="shared" si="25"/>
        <v>#DIV/0!</v>
      </c>
      <c r="AJ26" s="46" t="e">
        <f t="shared" si="23"/>
        <v>#DIV/0!</v>
      </c>
      <c r="AK26" s="45" t="e">
        <f t="shared" si="24"/>
        <v>#DIV/0!</v>
      </c>
      <c r="AL26" s="44" t="e">
        <f t="shared" si="17"/>
        <v>#DIV/0!</v>
      </c>
    </row>
    <row r="27" spans="1:38" x14ac:dyDescent="0.35">
      <c r="A27" s="58" t="s">
        <v>50</v>
      </c>
      <c r="B27" s="57">
        <v>2.5</v>
      </c>
      <c r="C27" s="62"/>
      <c r="D27" s="55" t="e">
        <f t="shared" si="2"/>
        <v>#DIV/0!</v>
      </c>
      <c r="E27" s="54" t="e">
        <f>SUM(D7:D27)</f>
        <v>#DIV/0!</v>
      </c>
      <c r="G27" s="48">
        <f t="shared" si="3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4"/>
        <v>0</v>
      </c>
      <c r="R27" s="48">
        <f t="shared" si="5"/>
        <v>2.5</v>
      </c>
      <c r="S27" s="47" t="e">
        <f t="shared" si="6"/>
        <v>#DIV/0!</v>
      </c>
      <c r="T27" s="46" t="e">
        <f t="shared" si="7"/>
        <v>#DIV/0!</v>
      </c>
      <c r="U27" s="45" t="e">
        <f t="shared" si="8"/>
        <v>#DIV/0!</v>
      </c>
      <c r="V27" s="46" t="e">
        <f t="shared" si="9"/>
        <v>#DIV/0!</v>
      </c>
      <c r="W27" s="46" t="e">
        <f t="shared" si="10"/>
        <v>#DIV/0!</v>
      </c>
      <c r="X27" s="46" t="e">
        <f t="shared" si="11"/>
        <v>#DIV/0!</v>
      </c>
      <c r="Y27" s="46" t="e">
        <f t="shared" si="12"/>
        <v>#DIV/0!</v>
      </c>
      <c r="Z27" s="45" t="e">
        <f t="shared" si="13"/>
        <v>#DIV/0!</v>
      </c>
      <c r="AA27" s="49" t="e">
        <f t="shared" si="14"/>
        <v>#DIV/0!</v>
      </c>
      <c r="AC27" s="48">
        <f t="shared" si="15"/>
        <v>2.5</v>
      </c>
      <c r="AD27" s="47" t="e">
        <f t="shared" si="18"/>
        <v>#DIV/0!</v>
      </c>
      <c r="AE27" s="46" t="e">
        <f t="shared" si="19"/>
        <v>#DIV/0!</v>
      </c>
      <c r="AF27" s="45" t="e">
        <f t="shared" si="20"/>
        <v>#DIV/0!</v>
      </c>
      <c r="AG27" s="47" t="e">
        <f t="shared" si="21"/>
        <v>#DIV/0!</v>
      </c>
      <c r="AH27" s="46" t="e">
        <f t="shared" si="22"/>
        <v>#DIV/0!</v>
      </c>
      <c r="AI27" s="46" t="e">
        <f t="shared" si="25"/>
        <v>#DIV/0!</v>
      </c>
      <c r="AJ27" s="46" t="e">
        <f t="shared" si="23"/>
        <v>#DIV/0!</v>
      </c>
      <c r="AK27" s="45" t="e">
        <f t="shared" si="24"/>
        <v>#DIV/0!</v>
      </c>
      <c r="AL27" s="44" t="e">
        <f t="shared" si="17"/>
        <v>#DIV/0!</v>
      </c>
    </row>
    <row r="28" spans="1:38" x14ac:dyDescent="0.35">
      <c r="A28" s="58" t="s">
        <v>49</v>
      </c>
      <c r="B28" s="57">
        <v>3</v>
      </c>
      <c r="C28" s="56"/>
      <c r="D28" s="55" t="e">
        <f t="shared" si="2"/>
        <v>#DIV/0!</v>
      </c>
      <c r="E28" s="54" t="e">
        <f>SUM(D7:D28)</f>
        <v>#DIV/0!</v>
      </c>
      <c r="G28" s="48">
        <f t="shared" si="3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4"/>
        <v>0</v>
      </c>
      <c r="R28" s="48">
        <f t="shared" si="5"/>
        <v>3</v>
      </c>
      <c r="S28" s="47" t="e">
        <f t="shared" si="6"/>
        <v>#DIV/0!</v>
      </c>
      <c r="T28" s="46" t="e">
        <f t="shared" si="7"/>
        <v>#DIV/0!</v>
      </c>
      <c r="U28" s="45" t="e">
        <f t="shared" si="8"/>
        <v>#DIV/0!</v>
      </c>
      <c r="V28" s="46" t="e">
        <f t="shared" si="9"/>
        <v>#DIV/0!</v>
      </c>
      <c r="W28" s="46" t="e">
        <f t="shared" si="10"/>
        <v>#DIV/0!</v>
      </c>
      <c r="X28" s="46" t="e">
        <f t="shared" si="11"/>
        <v>#DIV/0!</v>
      </c>
      <c r="Y28" s="46" t="e">
        <f t="shared" si="12"/>
        <v>#DIV/0!</v>
      </c>
      <c r="Z28" s="45" t="e">
        <f t="shared" si="13"/>
        <v>#DIV/0!</v>
      </c>
      <c r="AA28" s="49" t="e">
        <f t="shared" si="14"/>
        <v>#DIV/0!</v>
      </c>
      <c r="AC28" s="48">
        <f t="shared" si="15"/>
        <v>3</v>
      </c>
      <c r="AD28" s="47" t="e">
        <f t="shared" si="18"/>
        <v>#DIV/0!</v>
      </c>
      <c r="AE28" s="46" t="e">
        <f t="shared" si="19"/>
        <v>#DIV/0!</v>
      </c>
      <c r="AF28" s="45" t="e">
        <f t="shared" si="20"/>
        <v>#DIV/0!</v>
      </c>
      <c r="AG28" s="47" t="e">
        <f t="shared" si="21"/>
        <v>#DIV/0!</v>
      </c>
      <c r="AH28" s="46" t="e">
        <f t="shared" si="22"/>
        <v>#DIV/0!</v>
      </c>
      <c r="AI28" s="46" t="e">
        <f t="shared" si="25"/>
        <v>#DIV/0!</v>
      </c>
      <c r="AJ28" s="46" t="e">
        <f t="shared" si="23"/>
        <v>#DIV/0!</v>
      </c>
      <c r="AK28" s="45" t="e">
        <f t="shared" si="24"/>
        <v>#DIV/0!</v>
      </c>
      <c r="AL28" s="44" t="e">
        <f t="shared" si="17"/>
        <v>#DIV/0!</v>
      </c>
    </row>
    <row r="29" spans="1:38" x14ac:dyDescent="0.35">
      <c r="A29" s="58" t="s">
        <v>48</v>
      </c>
      <c r="B29" s="57">
        <v>3.5</v>
      </c>
      <c r="C29" s="56"/>
      <c r="D29" s="55" t="e">
        <f t="shared" si="2"/>
        <v>#DIV/0!</v>
      </c>
      <c r="E29" s="54" t="e">
        <f>SUM(D7:D29)</f>
        <v>#DIV/0!</v>
      </c>
      <c r="G29" s="48">
        <f t="shared" si="3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59">
        <v>0</v>
      </c>
      <c r="P29" s="50">
        <f t="shared" si="4"/>
        <v>0</v>
      </c>
      <c r="R29" s="48">
        <f t="shared" si="5"/>
        <v>3.5</v>
      </c>
      <c r="S29" s="47" t="e">
        <f t="shared" si="6"/>
        <v>#DIV/0!</v>
      </c>
      <c r="T29" s="46" t="e">
        <f t="shared" si="7"/>
        <v>#DIV/0!</v>
      </c>
      <c r="U29" s="45" t="e">
        <f t="shared" si="8"/>
        <v>#DIV/0!</v>
      </c>
      <c r="V29" s="46" t="e">
        <f t="shared" si="9"/>
        <v>#DIV/0!</v>
      </c>
      <c r="W29" s="46" t="e">
        <f t="shared" si="10"/>
        <v>#DIV/0!</v>
      </c>
      <c r="X29" s="46" t="e">
        <f t="shared" si="11"/>
        <v>#DIV/0!</v>
      </c>
      <c r="Y29" s="46" t="e">
        <f t="shared" si="12"/>
        <v>#DIV/0!</v>
      </c>
      <c r="Z29" s="45" t="e">
        <f t="shared" si="13"/>
        <v>#DIV/0!</v>
      </c>
      <c r="AA29" s="49" t="e">
        <f t="shared" si="14"/>
        <v>#DIV/0!</v>
      </c>
      <c r="AC29" s="48">
        <f t="shared" si="15"/>
        <v>3.5</v>
      </c>
      <c r="AD29" s="47" t="e">
        <f t="shared" si="18"/>
        <v>#DIV/0!</v>
      </c>
      <c r="AE29" s="46" t="e">
        <f t="shared" si="19"/>
        <v>#DIV/0!</v>
      </c>
      <c r="AF29" s="45" t="e">
        <f t="shared" si="20"/>
        <v>#DIV/0!</v>
      </c>
      <c r="AG29" s="47" t="e">
        <f t="shared" si="21"/>
        <v>#DIV/0!</v>
      </c>
      <c r="AH29" s="46" t="e">
        <f t="shared" si="22"/>
        <v>#DIV/0!</v>
      </c>
      <c r="AI29" s="46" t="e">
        <f t="shared" si="25"/>
        <v>#DIV/0!</v>
      </c>
      <c r="AJ29" s="46" t="e">
        <f t="shared" si="23"/>
        <v>#DIV/0!</v>
      </c>
      <c r="AK29" s="45" t="e">
        <f t="shared" si="24"/>
        <v>#DIV/0!</v>
      </c>
      <c r="AL29" s="44" t="e">
        <f t="shared" si="17"/>
        <v>#DIV/0!</v>
      </c>
    </row>
    <row r="30" spans="1:38" x14ac:dyDescent="0.35">
      <c r="A30" s="58" t="s">
        <v>47</v>
      </c>
      <c r="B30" s="57">
        <v>4</v>
      </c>
      <c r="C30" s="56"/>
      <c r="D30" s="55" t="e">
        <f t="shared" si="2"/>
        <v>#DIV/0!</v>
      </c>
      <c r="E30" s="54" t="e">
        <f>SUM(D7:D30)</f>
        <v>#DIV/0!</v>
      </c>
      <c r="G30" s="48">
        <f t="shared" si="3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59">
        <v>0</v>
      </c>
      <c r="P30" s="50">
        <f t="shared" si="4"/>
        <v>0</v>
      </c>
      <c r="R30" s="48">
        <f t="shared" si="5"/>
        <v>4</v>
      </c>
      <c r="S30" s="47" t="e">
        <f t="shared" si="6"/>
        <v>#DIV/0!</v>
      </c>
      <c r="T30" s="46" t="e">
        <f t="shared" si="7"/>
        <v>#DIV/0!</v>
      </c>
      <c r="U30" s="45" t="e">
        <f t="shared" si="8"/>
        <v>#DIV/0!</v>
      </c>
      <c r="V30" s="46" t="e">
        <f t="shared" si="9"/>
        <v>#DIV/0!</v>
      </c>
      <c r="W30" s="46" t="e">
        <f t="shared" si="10"/>
        <v>#DIV/0!</v>
      </c>
      <c r="X30" s="46" t="e">
        <f t="shared" si="11"/>
        <v>#DIV/0!</v>
      </c>
      <c r="Y30" s="46" t="e">
        <f t="shared" si="12"/>
        <v>#DIV/0!</v>
      </c>
      <c r="Z30" s="45" t="e">
        <f t="shared" si="13"/>
        <v>#DIV/0!</v>
      </c>
      <c r="AA30" s="49" t="e">
        <f t="shared" si="14"/>
        <v>#DIV/0!</v>
      </c>
      <c r="AC30" s="48">
        <f t="shared" si="15"/>
        <v>4</v>
      </c>
      <c r="AD30" s="47" t="e">
        <f t="shared" si="18"/>
        <v>#DIV/0!</v>
      </c>
      <c r="AE30" s="46" t="e">
        <f t="shared" si="19"/>
        <v>#DIV/0!</v>
      </c>
      <c r="AF30" s="45" t="e">
        <f t="shared" si="20"/>
        <v>#DIV/0!</v>
      </c>
      <c r="AG30" s="47" t="e">
        <f t="shared" si="21"/>
        <v>#DIV/0!</v>
      </c>
      <c r="AH30" s="46" t="e">
        <f t="shared" si="22"/>
        <v>#DIV/0!</v>
      </c>
      <c r="AI30" s="46" t="e">
        <f t="shared" si="25"/>
        <v>#DIV/0!</v>
      </c>
      <c r="AJ30" s="46" t="e">
        <f t="shared" si="23"/>
        <v>#DIV/0!</v>
      </c>
      <c r="AK30" s="45" t="e">
        <f t="shared" si="24"/>
        <v>#DIV/0!</v>
      </c>
      <c r="AL30" s="44" t="e">
        <f t="shared" si="17"/>
        <v>#DIV/0!</v>
      </c>
    </row>
    <row r="31" spans="1:38" x14ac:dyDescent="0.35">
      <c r="A31" s="58" t="s">
        <v>46</v>
      </c>
      <c r="B31" s="57">
        <v>4.5</v>
      </c>
      <c r="C31" s="56"/>
      <c r="D31" s="55" t="e">
        <f t="shared" si="2"/>
        <v>#DIV/0!</v>
      </c>
      <c r="E31" s="54" t="e">
        <f>SUM(D7:D31)</f>
        <v>#DIV/0!</v>
      </c>
      <c r="G31" s="48">
        <f t="shared" si="3"/>
        <v>4.5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59">
        <v>0</v>
      </c>
      <c r="P31" s="50">
        <f t="shared" si="4"/>
        <v>0</v>
      </c>
      <c r="R31" s="48">
        <f t="shared" si="5"/>
        <v>4.5</v>
      </c>
      <c r="S31" s="47" t="e">
        <f t="shared" si="6"/>
        <v>#DIV/0!</v>
      </c>
      <c r="T31" s="46" t="e">
        <f t="shared" si="7"/>
        <v>#DIV/0!</v>
      </c>
      <c r="U31" s="45" t="e">
        <f t="shared" si="8"/>
        <v>#DIV/0!</v>
      </c>
      <c r="V31" s="46" t="e">
        <f t="shared" si="9"/>
        <v>#DIV/0!</v>
      </c>
      <c r="W31" s="46" t="e">
        <f t="shared" si="10"/>
        <v>#DIV/0!</v>
      </c>
      <c r="X31" s="46" t="e">
        <f t="shared" si="11"/>
        <v>#DIV/0!</v>
      </c>
      <c r="Y31" s="46" t="e">
        <f t="shared" si="12"/>
        <v>#DIV/0!</v>
      </c>
      <c r="Z31" s="45" t="e">
        <f t="shared" si="13"/>
        <v>#DIV/0!</v>
      </c>
      <c r="AA31" s="49" t="e">
        <f t="shared" si="14"/>
        <v>#DIV/0!</v>
      </c>
      <c r="AC31" s="48">
        <f t="shared" si="15"/>
        <v>4.5</v>
      </c>
      <c r="AD31" s="47" t="e">
        <f t="shared" si="18"/>
        <v>#DIV/0!</v>
      </c>
      <c r="AE31" s="46" t="e">
        <f t="shared" si="19"/>
        <v>#DIV/0!</v>
      </c>
      <c r="AF31" s="45" t="e">
        <f t="shared" si="20"/>
        <v>#DIV/0!</v>
      </c>
      <c r="AG31" s="47" t="e">
        <f t="shared" si="21"/>
        <v>#DIV/0!</v>
      </c>
      <c r="AH31" s="46" t="e">
        <f t="shared" si="22"/>
        <v>#DIV/0!</v>
      </c>
      <c r="AI31" s="46" t="e">
        <f t="shared" si="25"/>
        <v>#DIV/0!</v>
      </c>
      <c r="AJ31" s="46" t="e">
        <f t="shared" si="23"/>
        <v>#DIV/0!</v>
      </c>
      <c r="AK31" s="45" t="e">
        <f t="shared" si="24"/>
        <v>#DIV/0!</v>
      </c>
      <c r="AL31" s="44" t="e">
        <f t="shared" si="17"/>
        <v>#DIV/0!</v>
      </c>
    </row>
    <row r="32" spans="1:38" x14ac:dyDescent="0.35">
      <c r="A32" s="58" t="s">
        <v>45</v>
      </c>
      <c r="B32" s="57">
        <v>5</v>
      </c>
      <c r="C32" s="56"/>
      <c r="D32" s="55" t="e">
        <f t="shared" si="2"/>
        <v>#DIV/0!</v>
      </c>
      <c r="E32" s="54" t="e">
        <f>SUM(D7:D32)</f>
        <v>#DIV/0!</v>
      </c>
      <c r="G32" s="48">
        <f t="shared" si="3"/>
        <v>5</v>
      </c>
      <c r="H32" s="53">
        <v>0</v>
      </c>
      <c r="I32" s="52">
        <v>0</v>
      </c>
      <c r="J32" s="51">
        <v>0</v>
      </c>
      <c r="K32" s="52">
        <v>0</v>
      </c>
      <c r="L32" s="52">
        <v>0</v>
      </c>
      <c r="M32" s="52">
        <v>0</v>
      </c>
      <c r="N32" s="52">
        <v>0</v>
      </c>
      <c r="O32" s="51">
        <v>0</v>
      </c>
      <c r="P32" s="50">
        <f t="shared" si="4"/>
        <v>0</v>
      </c>
      <c r="R32" s="48">
        <f t="shared" si="5"/>
        <v>5</v>
      </c>
      <c r="S32" s="47" t="e">
        <f t="shared" si="6"/>
        <v>#DIV/0!</v>
      </c>
      <c r="T32" s="46" t="e">
        <f t="shared" si="7"/>
        <v>#DIV/0!</v>
      </c>
      <c r="U32" s="45" t="e">
        <f t="shared" si="8"/>
        <v>#DIV/0!</v>
      </c>
      <c r="V32" s="46" t="e">
        <f t="shared" si="9"/>
        <v>#DIV/0!</v>
      </c>
      <c r="W32" s="46" t="e">
        <f t="shared" si="10"/>
        <v>#DIV/0!</v>
      </c>
      <c r="X32" s="46" t="e">
        <f t="shared" si="11"/>
        <v>#DIV/0!</v>
      </c>
      <c r="Y32" s="46" t="e">
        <f t="shared" si="12"/>
        <v>#DIV/0!</v>
      </c>
      <c r="Z32" s="45" t="e">
        <f t="shared" si="13"/>
        <v>#DIV/0!</v>
      </c>
      <c r="AA32" s="49" t="e">
        <f t="shared" si="14"/>
        <v>#DIV/0!</v>
      </c>
      <c r="AC32" s="48">
        <f t="shared" si="15"/>
        <v>5</v>
      </c>
      <c r="AD32" s="47" t="e">
        <f t="shared" si="18"/>
        <v>#DIV/0!</v>
      </c>
      <c r="AE32" s="46" t="e">
        <f t="shared" si="19"/>
        <v>#DIV/0!</v>
      </c>
      <c r="AF32" s="45" t="e">
        <f t="shared" si="20"/>
        <v>#DIV/0!</v>
      </c>
      <c r="AG32" s="47" t="e">
        <f t="shared" si="21"/>
        <v>#DIV/0!</v>
      </c>
      <c r="AH32" s="46" t="e">
        <f t="shared" si="22"/>
        <v>#DIV/0!</v>
      </c>
      <c r="AI32" s="46" t="e">
        <f t="shared" si="25"/>
        <v>#DIV/0!</v>
      </c>
      <c r="AJ32" s="46" t="e">
        <f t="shared" si="23"/>
        <v>#DIV/0!</v>
      </c>
      <c r="AK32" s="45" t="e">
        <f t="shared" si="24"/>
        <v>#DIV/0!</v>
      </c>
      <c r="AL32" s="44" t="e">
        <f t="shared" si="17"/>
        <v>#DIV/0!</v>
      </c>
    </row>
    <row r="33" spans="1:38" ht="15" thickBot="1" x14ac:dyDescent="0.4">
      <c r="A33" s="43" t="s">
        <v>44</v>
      </c>
      <c r="B33" s="42" t="s">
        <v>43</v>
      </c>
      <c r="C33" s="41"/>
      <c r="D33" s="40" t="e">
        <f t="shared" si="2"/>
        <v>#DIV/0!</v>
      </c>
      <c r="E33" s="39" t="e">
        <f>SUM(D7:D33)</f>
        <v>#DIV/0!</v>
      </c>
      <c r="G33" s="33" t="str">
        <f t="shared" si="3"/>
        <v>&gt;6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4"/>
        <v>0</v>
      </c>
      <c r="R33" s="33" t="str">
        <f t="shared" si="5"/>
        <v>&gt;6</v>
      </c>
      <c r="S33" s="32" t="e">
        <f t="shared" si="6"/>
        <v>#DIV/0!</v>
      </c>
      <c r="T33" s="31" t="e">
        <f t="shared" si="7"/>
        <v>#DIV/0!</v>
      </c>
      <c r="U33" s="30" t="e">
        <f t="shared" si="8"/>
        <v>#DIV/0!</v>
      </c>
      <c r="V33" s="31" t="e">
        <f t="shared" si="9"/>
        <v>#DIV/0!</v>
      </c>
      <c r="W33" s="31" t="e">
        <f t="shared" si="10"/>
        <v>#DIV/0!</v>
      </c>
      <c r="X33" s="31" t="e">
        <f t="shared" si="11"/>
        <v>#DIV/0!</v>
      </c>
      <c r="Y33" s="31" t="e">
        <f t="shared" si="12"/>
        <v>#DIV/0!</v>
      </c>
      <c r="Z33" s="30" t="e">
        <f t="shared" si="13"/>
        <v>#DIV/0!</v>
      </c>
      <c r="AA33" s="34" t="e">
        <f t="shared" si="14"/>
        <v>#DIV/0!</v>
      </c>
      <c r="AC33" s="33" t="str">
        <f t="shared" si="15"/>
        <v>&gt;6</v>
      </c>
      <c r="AD33" s="32" t="e">
        <f t="shared" si="18"/>
        <v>#DIV/0!</v>
      </c>
      <c r="AE33" s="31" t="e">
        <f t="shared" si="19"/>
        <v>#DIV/0!</v>
      </c>
      <c r="AF33" s="30" t="e">
        <f t="shared" si="20"/>
        <v>#DIV/0!</v>
      </c>
      <c r="AG33" s="32" t="e">
        <f t="shared" si="21"/>
        <v>#DIV/0!</v>
      </c>
      <c r="AH33" s="31" t="e">
        <f t="shared" si="22"/>
        <v>#DIV/0!</v>
      </c>
      <c r="AI33" s="31" t="e">
        <f t="shared" si="25"/>
        <v>#DIV/0!</v>
      </c>
      <c r="AJ33" s="31" t="e">
        <f t="shared" si="23"/>
        <v>#DIV/0!</v>
      </c>
      <c r="AK33" s="30" t="e">
        <f t="shared" si="24"/>
        <v>#DIV/0!</v>
      </c>
      <c r="AL33" s="29" t="e">
        <f t="shared" si="17"/>
        <v>#DIV/0!</v>
      </c>
    </row>
    <row r="34" spans="1:38" x14ac:dyDescent="0.35">
      <c r="R34" s="28"/>
    </row>
    <row r="40" spans="1:38" x14ac:dyDescent="0.35">
      <c r="H40" s="27"/>
    </row>
    <row r="41" spans="1:38" x14ac:dyDescent="0.35">
      <c r="H41" s="27"/>
    </row>
    <row r="42" spans="1:38" x14ac:dyDescent="0.35">
      <c r="H42" s="27"/>
    </row>
    <row r="67" spans="1:5" x14ac:dyDescent="0.35">
      <c r="A67" s="5" t="s">
        <v>27</v>
      </c>
      <c r="B67" s="26"/>
      <c r="C67" s="2"/>
      <c r="D67" s="2"/>
    </row>
    <row r="68" spans="1:5" x14ac:dyDescent="0.35">
      <c r="A68" s="25" t="s">
        <v>42</v>
      </c>
      <c r="B68" s="25"/>
      <c r="C68" s="2"/>
      <c r="D68" s="2"/>
    </row>
    <row r="69" spans="1:5" x14ac:dyDescent="0.35">
      <c r="A69" s="24" t="s">
        <v>41</v>
      </c>
      <c r="B69" s="23">
        <v>5</v>
      </c>
      <c r="C69" s="18" t="str">
        <f t="shared" ref="C69:C75" si="26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6</v>
      </c>
      <c r="D69" s="2"/>
    </row>
    <row r="70" spans="1:5" x14ac:dyDescent="0.35">
      <c r="A70" s="24" t="s">
        <v>41</v>
      </c>
      <c r="B70" s="23">
        <v>16</v>
      </c>
      <c r="C70" s="18" t="str">
        <f t="shared" si="26"/>
        <v>6</v>
      </c>
      <c r="D70" s="2"/>
    </row>
    <row r="71" spans="1:5" x14ac:dyDescent="0.35">
      <c r="A71" s="24" t="s">
        <v>41</v>
      </c>
      <c r="B71" s="23">
        <v>25</v>
      </c>
      <c r="C71" s="18" t="str">
        <f t="shared" si="26"/>
        <v>6</v>
      </c>
      <c r="D71" s="2"/>
    </row>
    <row r="72" spans="1:5" x14ac:dyDescent="0.35">
      <c r="A72" s="24" t="s">
        <v>41</v>
      </c>
      <c r="B72" s="23">
        <v>50</v>
      </c>
      <c r="C72" s="18" t="str">
        <f t="shared" si="26"/>
        <v>6</v>
      </c>
      <c r="D72" s="2"/>
    </row>
    <row r="73" spans="1:5" x14ac:dyDescent="0.35">
      <c r="A73" s="24" t="s">
        <v>41</v>
      </c>
      <c r="B73" s="23">
        <v>75</v>
      </c>
      <c r="C73" s="18" t="str">
        <f t="shared" si="26"/>
        <v>6</v>
      </c>
      <c r="D73" s="2"/>
    </row>
    <row r="74" spans="1:5" x14ac:dyDescent="0.35">
      <c r="A74" s="24" t="s">
        <v>41</v>
      </c>
      <c r="B74" s="23">
        <v>84</v>
      </c>
      <c r="C74" s="18" t="str">
        <f t="shared" si="26"/>
        <v>6</v>
      </c>
      <c r="D74" s="2"/>
    </row>
    <row r="75" spans="1:5" x14ac:dyDescent="0.35">
      <c r="A75" s="24" t="s">
        <v>41</v>
      </c>
      <c r="B75" s="23">
        <v>95</v>
      </c>
      <c r="C75" s="18" t="str">
        <f t="shared" si="26"/>
        <v>6</v>
      </c>
      <c r="D75" s="2"/>
    </row>
    <row r="76" spans="1:5" x14ac:dyDescent="0.35">
      <c r="A76" s="18"/>
      <c r="B76" s="22"/>
      <c r="C76" s="2"/>
      <c r="D76" s="2"/>
    </row>
    <row r="77" spans="1:5" x14ac:dyDescent="0.35">
      <c r="A77" s="21" t="s">
        <v>40</v>
      </c>
      <c r="B77" t="e">
        <f>SUM(C7:C10)/SUM(C7:C33)</f>
        <v>#DIV/0!</v>
      </c>
      <c r="D77" s="19" t="s">
        <v>7</v>
      </c>
      <c r="E77" s="18" t="e">
        <f>SUM($D$7:$D$20)</f>
        <v>#DIV/0!</v>
      </c>
    </row>
    <row r="78" spans="1:5" x14ac:dyDescent="0.35">
      <c r="A78" s="20" t="s">
        <v>39</v>
      </c>
      <c r="B78" t="e">
        <f>SUM(C11:C20)/SUM(C7:C33)</f>
        <v>#DIV/0!</v>
      </c>
      <c r="D78" s="19" t="s">
        <v>6</v>
      </c>
      <c r="E78" s="18" t="e">
        <f>SUM($D$21:$D$30)</f>
        <v>#DIV/0!</v>
      </c>
    </row>
    <row r="79" spans="1:5" x14ac:dyDescent="0.35">
      <c r="A79" s="20" t="s">
        <v>38</v>
      </c>
      <c r="B79" t="e">
        <f>SUM(C21:C33)/SUM(C7:C33)</f>
        <v>#DIV/0!</v>
      </c>
      <c r="D79" s="19" t="s">
        <v>5</v>
      </c>
      <c r="E79" s="18" t="e">
        <f>SUM($D$31:$D$33)</f>
        <v>#DIV/0!</v>
      </c>
    </row>
    <row r="80" spans="1:5" x14ac:dyDescent="0.35">
      <c r="A80" s="11"/>
      <c r="B80" s="8"/>
      <c r="D80" s="2"/>
      <c r="E80" s="2"/>
    </row>
    <row r="81" spans="1:8" x14ac:dyDescent="0.35">
      <c r="A81" s="16" t="s">
        <v>4</v>
      </c>
      <c r="B81" t="e">
        <f>100*SUM(H7:J33)/SUM(P7:P33)</f>
        <v>#DIV/0!</v>
      </c>
      <c r="D81" s="16" t="s">
        <v>4</v>
      </c>
      <c r="E81" t="e">
        <f>100*SUM(H7:J33)/SUM(P7:P33)</f>
        <v>#DIV/0!</v>
      </c>
      <c r="G81" s="17" t="s">
        <v>2</v>
      </c>
      <c r="H81" t="e">
        <f>100*SUM(H7:H33)/(SUM(P7:P33)-SUM(M7:N33))</f>
        <v>#DIV/0!</v>
      </c>
    </row>
    <row r="82" spans="1:8" x14ac:dyDescent="0.35">
      <c r="A82" s="16" t="s">
        <v>0</v>
      </c>
      <c r="B82" t="e">
        <f>100*SUM(K7:L33)/SUM(P7:P33)</f>
        <v>#DIV/0!</v>
      </c>
      <c r="D82" s="16" t="s">
        <v>0</v>
      </c>
      <c r="E82" t="e">
        <f>100*SUM(K7:L33)/SUM(P7:P33)</f>
        <v>#DIV/0!</v>
      </c>
      <c r="G82" s="17" t="s">
        <v>1</v>
      </c>
      <c r="H82" t="e">
        <f>100*SUM(I7:J33)/(SUM(P7:P33)-SUM(M7:N33))</f>
        <v>#DIV/0!</v>
      </c>
    </row>
    <row r="83" spans="1:8" x14ac:dyDescent="0.35">
      <c r="A83" s="16" t="s">
        <v>3</v>
      </c>
      <c r="B83" t="e">
        <f>100*SUM(O7:O33)/SUM(P7:P33)</f>
        <v>#DIV/0!</v>
      </c>
      <c r="D83" s="16" t="s">
        <v>37</v>
      </c>
      <c r="E83" t="e">
        <f>100*SUM(M7:N33)/SUM(P7:P33)</f>
        <v>#DIV/0!</v>
      </c>
      <c r="G83" s="17" t="s">
        <v>0</v>
      </c>
      <c r="H83" t="e">
        <f>100*SUM(K7:L33)/(SUM(P7:P33)-SUM(M7:N33))</f>
        <v>#DIV/0!</v>
      </c>
    </row>
    <row r="85" spans="1:8" x14ac:dyDescent="0.35">
      <c r="A85" s="16" t="s">
        <v>36</v>
      </c>
      <c r="B85" s="2"/>
      <c r="C85" s="2"/>
      <c r="D85" s="13">
        <f>(C70+C74+C72)/3</f>
        <v>6</v>
      </c>
    </row>
    <row r="86" spans="1:8" x14ac:dyDescent="0.35">
      <c r="A86" s="14" t="s">
        <v>35</v>
      </c>
      <c r="B86" s="14"/>
      <c r="C86" s="14"/>
      <c r="D86" s="7" t="str">
        <f>C72</f>
        <v>6</v>
      </c>
    </row>
    <row r="87" spans="1:8" x14ac:dyDescent="0.35">
      <c r="A87" s="14" t="s">
        <v>34</v>
      </c>
      <c r="B87" s="14"/>
      <c r="C87" s="14"/>
      <c r="D87" s="7">
        <f>(C74-C70)/2</f>
        <v>0</v>
      </c>
    </row>
    <row r="88" spans="1:8" x14ac:dyDescent="0.35">
      <c r="A88" s="15" t="s">
        <v>33</v>
      </c>
      <c r="B88" s="14"/>
      <c r="C88" s="14"/>
      <c r="D88" s="13" t="e">
        <f>(C74+C70-D86)/D87</f>
        <v>#DIV/0!</v>
      </c>
    </row>
    <row r="89" spans="1:8" x14ac:dyDescent="0.35">
      <c r="A89" s="3" t="s">
        <v>32</v>
      </c>
      <c r="B89" s="12"/>
      <c r="C89" s="11"/>
      <c r="D89" s="7">
        <f>((C74-C70)/4)+((C75-C69)/6.6)</f>
        <v>0</v>
      </c>
    </row>
    <row r="90" spans="1:8" x14ac:dyDescent="0.35">
      <c r="A90" s="3" t="s">
        <v>31</v>
      </c>
      <c r="B90" s="10"/>
      <c r="C90" s="10"/>
      <c r="D90" s="7" t="e">
        <f>((C70+C74-(2*C72))/(2*(C74-C70)))+((C69+C75-(2*C72))/(2*(C75-C69)))</f>
        <v>#DIV/0!</v>
      </c>
    </row>
    <row r="91" spans="1:8" x14ac:dyDescent="0.35">
      <c r="A91" s="3" t="s">
        <v>30</v>
      </c>
      <c r="B91" s="9"/>
      <c r="C91" s="8"/>
      <c r="D91" s="7" t="e">
        <f>(C74-C69)/(2.44*(C73-C71))</f>
        <v>#DIV/0!</v>
      </c>
    </row>
    <row r="92" spans="1:8" x14ac:dyDescent="0.35">
      <c r="A92" s="6" t="s">
        <v>29</v>
      </c>
      <c r="B92" s="6"/>
      <c r="C92" s="5"/>
      <c r="D92" s="7">
        <f>(C70+C72+C74)/3</f>
        <v>6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6</v>
      </c>
    </row>
    <row r="95" spans="1:8" x14ac:dyDescent="0.35">
      <c r="A95" s="2" t="s">
        <v>9</v>
      </c>
      <c r="B95" s="2"/>
      <c r="C95" s="2"/>
      <c r="D95" s="1" t="e">
        <f>100-E23</f>
        <v>#DIV/0!</v>
      </c>
    </row>
    <row r="96" spans="1:8" x14ac:dyDescent="0.35">
      <c r="A96" s="2" t="s">
        <v>8</v>
      </c>
      <c r="B96" s="2"/>
      <c r="C96" s="2"/>
      <c r="D96" s="1" t="e">
        <f>100-E30</f>
        <v>#DIV/0!</v>
      </c>
    </row>
  </sheetData>
  <mergeCells count="9">
    <mergeCell ref="V3:Z3"/>
    <mergeCell ref="AD3:AF3"/>
    <mergeCell ref="AG3:AK3"/>
    <mergeCell ref="A2:C2"/>
    <mergeCell ref="D2:E2"/>
    <mergeCell ref="K2:O2"/>
    <mergeCell ref="H3:J3"/>
    <mergeCell ref="K3:O3"/>
    <mergeCell ref="S3:U3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12</vt:i4>
      </vt:variant>
      <vt:variant>
        <vt:lpstr>Plages nommées</vt:lpstr>
      </vt:variant>
      <vt:variant>
        <vt:i4>22</vt:i4>
      </vt:variant>
    </vt:vector>
  </HeadingPairs>
  <TitlesOfParts>
    <vt:vector size="34" baseType="lpstr">
      <vt:lpstr>Resume</vt:lpstr>
      <vt:lpstr>Blank</vt:lpstr>
      <vt:lpstr>MAY190405_2</vt:lpstr>
      <vt:lpstr>MAY190405_2 aggr</vt:lpstr>
      <vt:lpstr>MAY190405_2_no_aggr</vt:lpstr>
      <vt:lpstr>MAY190407_2</vt:lpstr>
      <vt:lpstr>MAY190407_2 aggr</vt:lpstr>
      <vt:lpstr>MAY190407_2_no_aggr</vt:lpstr>
      <vt:lpstr>MAY190407_3</vt:lpstr>
      <vt:lpstr>MAY190407_4</vt:lpstr>
      <vt:lpstr>MAY190407_5</vt:lpstr>
      <vt:lpstr>MAY190403_2</vt:lpstr>
      <vt:lpstr>MAY190403_2!cum_tot_2</vt:lpstr>
      <vt:lpstr>MAY190405_2!cum_tot_2</vt:lpstr>
      <vt:lpstr>'MAY190405_2 aggr'!cum_tot_2</vt:lpstr>
      <vt:lpstr>MAY190405_2_no_aggr!cum_tot_2</vt:lpstr>
      <vt:lpstr>MAY190407_2!cum_tot_2</vt:lpstr>
      <vt:lpstr>'MAY190407_2 aggr'!cum_tot_2</vt:lpstr>
      <vt:lpstr>MAY190407_2_no_aggr!cum_tot_2</vt:lpstr>
      <vt:lpstr>MAY190407_3!cum_tot_2</vt:lpstr>
      <vt:lpstr>MAY190407_4!cum_tot_2</vt:lpstr>
      <vt:lpstr>MAY190407_5!cum_tot_2</vt:lpstr>
      <vt:lpstr>cum_tot_2</vt:lpstr>
      <vt:lpstr>MAY190403_2!phi</vt:lpstr>
      <vt:lpstr>MAY190405_2!phi</vt:lpstr>
      <vt:lpstr>'MAY190405_2 aggr'!phi</vt:lpstr>
      <vt:lpstr>MAY190405_2_no_aggr!phi</vt:lpstr>
      <vt:lpstr>MAY190407_2!phi</vt:lpstr>
      <vt:lpstr>'MAY190407_2 aggr'!phi</vt:lpstr>
      <vt:lpstr>MAY190407_2_no_aggr!phi</vt:lpstr>
      <vt:lpstr>MAY190407_3!phi</vt:lpstr>
      <vt:lpstr>MAY190407_4!phi</vt:lpstr>
      <vt:lpstr>MAY190407_5!phi</vt:lpstr>
      <vt:lpstr>phi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Tristan LACOMBE</dc:creator>
  <cp:lastModifiedBy>Tristan LACOMBE</cp:lastModifiedBy>
  <dcterms:created xsi:type="dcterms:W3CDTF">2021-04-28T17:26:32Z</dcterms:created>
  <dcterms:modified xsi:type="dcterms:W3CDTF">2022-12-10T14:47:14Z</dcterms:modified>
</cp:coreProperties>
</file>