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0" yWindow="140" windowWidth="8420" windowHeight="3660" activeTab="1"/>
  </bookViews>
  <sheets>
    <sheet name="Table S1" sheetId="3" r:id="rId1"/>
    <sheet name="Table S2" sheetId="4" r:id="rId2"/>
  </sheets>
  <calcPr calcId="125725"/>
</workbook>
</file>

<file path=xl/calcChain.xml><?xml version="1.0" encoding="utf-8"?>
<calcChain xmlns="http://schemas.openxmlformats.org/spreadsheetml/2006/main">
  <c r="I96" i="4"/>
  <c r="K104" i="3"/>
  <c r="J104"/>
  <c r="J103"/>
  <c r="K101"/>
  <c r="J101"/>
  <c r="E96" i="4"/>
  <c r="I12"/>
  <c r="E11" l="1"/>
  <c r="I11" s="1"/>
  <c r="I186" i="3"/>
  <c r="K188"/>
  <c r="J188"/>
  <c r="K161"/>
  <c r="J161"/>
  <c r="K76"/>
  <c r="J76"/>
  <c r="K75"/>
  <c r="J75"/>
  <c r="K57"/>
  <c r="J57"/>
  <c r="I56"/>
  <c r="K41"/>
  <c r="J41"/>
  <c r="K40"/>
  <c r="J40"/>
  <c r="I18"/>
  <c r="I17"/>
  <c r="J24"/>
  <c r="I28"/>
  <c r="I26"/>
  <c r="J15" l="1"/>
  <c r="K15"/>
  <c r="E8" l="1"/>
  <c r="E5"/>
  <c r="I13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83"/>
  <c r="I185"/>
  <c r="I187"/>
  <c r="I164"/>
  <c r="I99"/>
  <c r="I100"/>
  <c r="I98"/>
  <c r="I90"/>
  <c r="I91"/>
  <c r="I89"/>
  <c r="I107" i="4"/>
  <c r="I102"/>
  <c r="I100"/>
  <c r="G116"/>
  <c r="G117"/>
  <c r="D117"/>
  <c r="D116"/>
  <c r="E94"/>
  <c r="G94"/>
  <c r="H94"/>
  <c r="E95"/>
  <c r="D95"/>
  <c r="D94"/>
  <c r="E108"/>
  <c r="G108"/>
  <c r="H108"/>
  <c r="D108"/>
  <c r="E89"/>
  <c r="G89"/>
  <c r="H89"/>
  <c r="E90"/>
  <c r="G90"/>
  <c r="H90"/>
  <c r="D90"/>
  <c r="D89"/>
  <c r="D109" l="1"/>
  <c r="E109"/>
  <c r="G109"/>
  <c r="H109"/>
  <c r="I167" i="3" l="1"/>
  <c r="I168"/>
  <c r="I169"/>
  <c r="I170"/>
  <c r="I171"/>
  <c r="I172"/>
  <c r="I173"/>
  <c r="I174"/>
  <c r="I175"/>
  <c r="I176"/>
  <c r="I177"/>
  <c r="I178"/>
  <c r="I179"/>
  <c r="I180"/>
  <c r="I181"/>
  <c r="I182"/>
  <c r="I166"/>
  <c r="I87"/>
  <c r="I86"/>
  <c r="I84"/>
  <c r="I82"/>
  <c r="I81"/>
  <c r="I69"/>
  <c r="I70"/>
  <c r="I71"/>
  <c r="I72"/>
  <c r="I73"/>
  <c r="I74"/>
  <c r="I68"/>
  <c r="I60"/>
  <c r="I61"/>
  <c r="I50"/>
  <c r="I47"/>
  <c r="I44"/>
  <c r="I39"/>
  <c r="I38"/>
  <c r="I23"/>
  <c r="I20"/>
  <c r="I14"/>
  <c r="I9"/>
  <c r="I6"/>
  <c r="H6" i="4"/>
  <c r="E5"/>
  <c r="I6" l="1"/>
  <c r="E164" i="3" l="1"/>
  <c r="I8" i="4" l="1"/>
  <c r="I10"/>
  <c r="I89"/>
  <c r="I94"/>
  <c r="I98"/>
  <c r="I108"/>
  <c r="E13" i="3" l="1"/>
  <c r="E55"/>
  <c r="E185" l="1"/>
  <c r="E49"/>
  <c r="E46"/>
  <c r="H119" i="4"/>
  <c r="E118"/>
  <c r="E43" i="3"/>
  <c r="E35"/>
  <c r="E36"/>
  <c r="H113" i="4"/>
  <c r="E112"/>
  <c r="E34" i="3"/>
  <c r="E32"/>
  <c r="H111" i="4"/>
  <c r="I111" s="1"/>
  <c r="E110"/>
  <c r="H116" l="1"/>
  <c r="H117"/>
  <c r="E116"/>
  <c r="E117"/>
  <c r="I119"/>
  <c r="I116" l="1"/>
  <c r="E30" i="3"/>
  <c r="E140"/>
  <c r="E139"/>
  <c r="E137"/>
  <c r="E136"/>
  <c r="E135"/>
  <c r="E134"/>
  <c r="E133"/>
  <c r="E132"/>
  <c r="E141"/>
  <c r="E138"/>
  <c r="E131"/>
  <c r="E130"/>
  <c r="E129"/>
  <c r="E128"/>
  <c r="E126"/>
  <c r="E125"/>
  <c r="E124"/>
  <c r="E123"/>
  <c r="E127"/>
  <c r="E142"/>
  <c r="E116"/>
  <c r="E122"/>
  <c r="E121"/>
  <c r="E120"/>
  <c r="E119"/>
  <c r="E118"/>
  <c r="E114"/>
  <c r="E113"/>
  <c r="E112"/>
  <c r="E111"/>
  <c r="E110"/>
  <c r="E66"/>
  <c r="E65"/>
  <c r="E64"/>
  <c r="E54" l="1"/>
  <c r="E189"/>
  <c r="E184"/>
  <c r="E183"/>
  <c r="E93"/>
  <c r="E94"/>
  <c r="E95"/>
  <c r="E96"/>
  <c r="E97"/>
  <c r="E108"/>
  <c r="E107"/>
  <c r="E106"/>
  <c r="E115"/>
  <c r="E117"/>
  <c r="E80"/>
  <c r="E89"/>
  <c r="E79"/>
  <c r="E63"/>
  <c r="E53"/>
  <c r="E52"/>
  <c r="E22"/>
  <c r="E20"/>
  <c r="E11"/>
</calcChain>
</file>

<file path=xl/sharedStrings.xml><?xml version="1.0" encoding="utf-8"?>
<sst xmlns="http://schemas.openxmlformats.org/spreadsheetml/2006/main" count="614" uniqueCount="379">
  <si>
    <t>OSA</t>
  </si>
  <si>
    <t>RMW</t>
  </si>
  <si>
    <t>Paramylodon harlani</t>
  </si>
  <si>
    <t>taxa</t>
  </si>
  <si>
    <t>sample</t>
  </si>
  <si>
    <t>Nohochichak xibalbahkah</t>
  </si>
  <si>
    <t>Xibalbaonyx oviceps</t>
  </si>
  <si>
    <t>Yucatán Peninsula, Mexico</t>
  </si>
  <si>
    <t>Rancho La Brea/CA, USA</t>
  </si>
  <si>
    <t>Quintana Roo, Mexico</t>
  </si>
  <si>
    <t>Megalonychidae</t>
  </si>
  <si>
    <t>Nothrotheriidae</t>
  </si>
  <si>
    <t>Mylodontidae</t>
  </si>
  <si>
    <t>Megatheriidae</t>
  </si>
  <si>
    <t>Eremotherium laurillardi</t>
  </si>
  <si>
    <t>Calhoun County/TX, USA</t>
  </si>
  <si>
    <t>Jalisco, Mexico</t>
  </si>
  <si>
    <t>Megistonyx oreobios</t>
  </si>
  <si>
    <t>Zulia state, Venezuela</t>
  </si>
  <si>
    <t>Glossotherium tropicorum</t>
  </si>
  <si>
    <t>Ecuador</t>
  </si>
  <si>
    <t>Glossotherium wegneri</t>
  </si>
  <si>
    <t>IMNH 23034</t>
  </si>
  <si>
    <t>Catonyx cuvieri</t>
  </si>
  <si>
    <t>Canelones, Uruguay</t>
  </si>
  <si>
    <t>Colonia, Uruguay</t>
  </si>
  <si>
    <t>PW</t>
  </si>
  <si>
    <t>MMW</t>
  </si>
  <si>
    <t>Taxon</t>
  </si>
  <si>
    <t>humerus</t>
  </si>
  <si>
    <t>femur</t>
  </si>
  <si>
    <t>mass (kg)</t>
  </si>
  <si>
    <t>MWM</t>
  </si>
  <si>
    <t>C</t>
  </si>
  <si>
    <t>E. laurillardi</t>
  </si>
  <si>
    <t>s/n</t>
  </si>
  <si>
    <t>References</t>
  </si>
  <si>
    <t>mean values</t>
  </si>
  <si>
    <t>G. wegneri</t>
  </si>
  <si>
    <t>P. harlani</t>
  </si>
  <si>
    <t>X. oviceps</t>
  </si>
  <si>
    <t>DMNH G 25695</t>
  </si>
  <si>
    <t>DMNH G 25696</t>
  </si>
  <si>
    <t>ISUM 23034</t>
  </si>
  <si>
    <t>ISUM 23043</t>
  </si>
  <si>
    <t>IMNH 48272</t>
  </si>
  <si>
    <t>IMNH 102</t>
  </si>
  <si>
    <t>IMNH 15171</t>
  </si>
  <si>
    <r>
      <t>Locality</t>
    </r>
    <r>
      <rPr>
        <b/>
        <vertAlign val="superscript"/>
        <sz val="11"/>
        <color theme="1"/>
        <rFont val="Arial"/>
        <family val="2"/>
      </rPr>
      <t>(reference)</t>
    </r>
  </si>
  <si>
    <t>Hederson county/TX, USA</t>
  </si>
  <si>
    <t>Megalocnus rodens</t>
  </si>
  <si>
    <t>Texas, USA</t>
  </si>
  <si>
    <t>Ciego Montero, Cuba</t>
  </si>
  <si>
    <t>AMNH 49969</t>
  </si>
  <si>
    <t>AMNH 49977</t>
  </si>
  <si>
    <t>Parocnus browni</t>
  </si>
  <si>
    <t>Altagracia, Dominican Republic</t>
  </si>
  <si>
    <t>MHD 247</t>
  </si>
  <si>
    <t>Acratocnus ye</t>
  </si>
  <si>
    <t>du Sud, Haiti</t>
  </si>
  <si>
    <t>UF 75528</t>
  </si>
  <si>
    <t>UF 76283</t>
  </si>
  <si>
    <t>Neocnus dousman</t>
  </si>
  <si>
    <t>l’Ouest, Haiti</t>
  </si>
  <si>
    <t>Neocnus toupiti</t>
  </si>
  <si>
    <t>Yeroconte, Honduras</t>
  </si>
  <si>
    <t>Tanque Loma, Ecuador</t>
  </si>
  <si>
    <t>Me. rodens</t>
  </si>
  <si>
    <t>Pitkin County, CO, USA</t>
  </si>
  <si>
    <t>Parocnus serus</t>
  </si>
  <si>
    <t>Mx. jeffersonii</t>
  </si>
  <si>
    <t>Ac. ye</t>
  </si>
  <si>
    <t>Pa. Serus</t>
  </si>
  <si>
    <t>Diabolotherium nordenskioldi</t>
  </si>
  <si>
    <t>Puno, Peru</t>
  </si>
  <si>
    <t>DR PN FN 02-19</t>
  </si>
  <si>
    <t>DR PN FN 02-17</t>
  </si>
  <si>
    <t>FMNH P14216</t>
  </si>
  <si>
    <r>
      <t xml:space="preserve">Megatherium 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P.</t>
    </r>
    <r>
      <rPr>
        <sz val="11"/>
        <color theme="1"/>
        <rFont val="Arial"/>
        <family val="2"/>
      </rPr>
      <t>)</t>
    </r>
    <r>
      <rPr>
        <i/>
        <sz val="11"/>
        <color theme="1"/>
        <rFont val="Arial"/>
        <family val="2"/>
      </rPr>
      <t xml:space="preserve"> tarijense</t>
    </r>
  </si>
  <si>
    <t>Tarija, Bolivia</t>
  </si>
  <si>
    <r>
      <t>Tarija, Bolivia</t>
    </r>
    <r>
      <rPr>
        <vertAlign val="superscript"/>
        <sz val="11"/>
        <color theme="1"/>
        <rFont val="Arial"/>
        <family val="2"/>
      </rPr>
      <t>(1)</t>
    </r>
  </si>
  <si>
    <t>Me. tarijense</t>
  </si>
  <si>
    <t>(1) De Iuliis et al (2009)</t>
  </si>
  <si>
    <r>
      <t>Port Lavaca, Texas, USA</t>
    </r>
    <r>
      <rPr>
        <vertAlign val="superscript"/>
        <sz val="11"/>
        <color theme="1"/>
        <rFont val="Arial"/>
        <family val="2"/>
      </rPr>
      <t>(2)</t>
    </r>
  </si>
  <si>
    <t>(2) McDonald &amp; Lundelius (2009)</t>
  </si>
  <si>
    <t>(3) Hoffstetter (1952)</t>
  </si>
  <si>
    <t>Nothrotheriops shastensis</t>
  </si>
  <si>
    <t>Nh. shastensis</t>
  </si>
  <si>
    <t>Megalonyx jeffersonii</t>
  </si>
  <si>
    <t xml:space="preserve">Ahytherium aureum </t>
  </si>
  <si>
    <t>HI</t>
  </si>
  <si>
    <t xml:space="preserve">  </t>
  </si>
  <si>
    <t>Nova Redenção/BA, Brazil</t>
  </si>
  <si>
    <t>Jacobina/BA, Brazil</t>
  </si>
  <si>
    <t>Ourolândia/BA, Brazil</t>
  </si>
  <si>
    <t>Nothrotherium maquinense</t>
  </si>
  <si>
    <t>Glossotherium phoenesis</t>
  </si>
  <si>
    <t>Curitiba/PR, Brazil</t>
  </si>
  <si>
    <t>Andaraí/BA, Brazil</t>
  </si>
  <si>
    <t>Valgipes bucklandi</t>
  </si>
  <si>
    <t>Morro do Chapéu/BA, Brazil</t>
  </si>
  <si>
    <t>Santa Elena, Ecuador</t>
  </si>
  <si>
    <t>Australonyx aquae</t>
  </si>
  <si>
    <t>MH</t>
  </si>
  <si>
    <t>TRL</t>
  </si>
  <si>
    <t>sd</t>
  </si>
  <si>
    <t>Rondônia, Brazil</t>
  </si>
  <si>
    <r>
      <t>Table S2.</t>
    </r>
    <r>
      <rPr>
        <sz val="11"/>
        <color theme="1"/>
        <rFont val="Arial"/>
        <family val="2"/>
      </rPr>
      <t xml:space="preserve"> Estimated body mass for 10 taxa that lived in the Late Quaternary of several localities in America. </t>
    </r>
    <r>
      <rPr>
        <b/>
        <sz val="11"/>
        <color theme="1"/>
        <rFont val="Arial"/>
        <family val="2"/>
      </rPr>
      <t>Labels.</t>
    </r>
    <r>
      <rPr>
        <sz val="11"/>
        <color theme="1"/>
        <rFont val="Arial"/>
        <family val="2"/>
      </rPr>
      <t xml:space="preserve"> MWM - Minimal Width at Midlength (in mm); C - Circumference (in mm).</t>
    </r>
  </si>
  <si>
    <t>LACMHC 143615</t>
  </si>
  <si>
    <t>LACMHC 143617</t>
  </si>
  <si>
    <t>LACMHC 143621</t>
  </si>
  <si>
    <t>LACMHC 143625</t>
  </si>
  <si>
    <t>LACMHC 143627</t>
  </si>
  <si>
    <t>LACMHC 1712-L-10</t>
  </si>
  <si>
    <t>LACMHC 1712-L-11</t>
  </si>
  <si>
    <t>LACMHC 1712-L-13</t>
  </si>
  <si>
    <t>LACMHC 1712-L-17</t>
  </si>
  <si>
    <t>LACMHC 1712-L-20</t>
  </si>
  <si>
    <t>LACMHC 1712-L-21</t>
  </si>
  <si>
    <t>LACMHC 1712-L-22</t>
  </si>
  <si>
    <t>LACMHC 1712-L-23</t>
  </si>
  <si>
    <t>LACMHC 1712-L-24</t>
  </si>
  <si>
    <t>LACMHC 1712-L-27</t>
  </si>
  <si>
    <t>LACMHC 1712-L-31</t>
  </si>
  <si>
    <t>LACMHC 1712-L-33</t>
  </si>
  <si>
    <t>LACMHC 1712-L-34</t>
  </si>
  <si>
    <t>LACMHC 1712-L-37</t>
  </si>
  <si>
    <t>LACMHC 1712-L-4</t>
  </si>
  <si>
    <t>LACMHC 1712-L-5</t>
  </si>
  <si>
    <t>LACMHC 1712-L-6</t>
  </si>
  <si>
    <t>LACMHC 1712-R-1</t>
  </si>
  <si>
    <t>LACMHC 1712-R-11</t>
  </si>
  <si>
    <t>LACMHC 1712-R-17</t>
  </si>
  <si>
    <t>LACMHC 1712-R-18</t>
  </si>
  <si>
    <t>LACMHC 1712-R-19</t>
  </si>
  <si>
    <t>LACMHC 1712-R-2</t>
  </si>
  <si>
    <t>LACMHC 1712-R-23</t>
  </si>
  <si>
    <t>LACMHC 1712-R-27</t>
  </si>
  <si>
    <t>LACMHC 1712-R-3</t>
  </si>
  <si>
    <t>LACMHC 1712-R-37</t>
  </si>
  <si>
    <t>LACMHC 1712-R-4</t>
  </si>
  <si>
    <t>LACMHC 1712-R-5</t>
  </si>
  <si>
    <t>LACMHC 7011</t>
  </si>
  <si>
    <t>LACMHC 7012</t>
  </si>
  <si>
    <t>LACMHC 142785</t>
  </si>
  <si>
    <t>LACMHC 142787</t>
  </si>
  <si>
    <t>LACMHC 143622</t>
  </si>
  <si>
    <t>LACMHC 143644</t>
  </si>
  <si>
    <t>LACMHC 143646</t>
  </si>
  <si>
    <t>LACMHC 143647</t>
  </si>
  <si>
    <t>LACMHC 143648</t>
  </si>
  <si>
    <t>LACMHC 143649</t>
  </si>
  <si>
    <t>LACMHC 143650</t>
  </si>
  <si>
    <t>LACMHC 143651</t>
  </si>
  <si>
    <t>LACMHC 1704-L-11</t>
  </si>
  <si>
    <t>LACMHC 1704-L-12</t>
  </si>
  <si>
    <t>LACMHC 1704-L-13</t>
  </si>
  <si>
    <t>LACMHC 1704-L-14</t>
  </si>
  <si>
    <t>LACMHC 1704-L-15</t>
  </si>
  <si>
    <t>LACMHC 1704-L-16</t>
  </si>
  <si>
    <t>LACMHC 1704-L-17</t>
  </si>
  <si>
    <t>LACMHC 1704-L-20</t>
  </si>
  <si>
    <t>LACMHC 1704-L-24</t>
  </si>
  <si>
    <t>LACMHC 1704-L-26</t>
  </si>
  <si>
    <t>LACMHC 1704-L-30</t>
  </si>
  <si>
    <t>LACMHC 1704-L-32</t>
  </si>
  <si>
    <t>LACMHC 1704-L-33</t>
  </si>
  <si>
    <t>LACMHC 1704-L-39</t>
  </si>
  <si>
    <t>LACMHC 1704-L-4</t>
  </si>
  <si>
    <t>LACMHC 1704-L-5</t>
  </si>
  <si>
    <t>LACMHC 1704-L-6</t>
  </si>
  <si>
    <t>LACMHC 1704-L-7</t>
  </si>
  <si>
    <t>LACMHC 1704-R-10</t>
  </si>
  <si>
    <t>LACMHC 1704-R-12</t>
  </si>
  <si>
    <t>LACMHC 1704-R-16</t>
  </si>
  <si>
    <t>LACMHC 1704-R-18</t>
  </si>
  <si>
    <t>LACMHC 1704-R-20</t>
  </si>
  <si>
    <t>LACMHC 1704-R-21</t>
  </si>
  <si>
    <t>LACMHC 1704-R-29</t>
  </si>
  <si>
    <t>LACMHC 1704-R-3</t>
  </si>
  <si>
    <t>LACMHC 1704-R-33</t>
  </si>
  <si>
    <t>LACMHC 1704-R-37</t>
  </si>
  <si>
    <t>LACMHC 1704-R-39</t>
  </si>
  <si>
    <t>LACMHC 1704-R-41</t>
  </si>
  <si>
    <t>LACMHC 1874R1</t>
  </si>
  <si>
    <t>LACMHC 1874R2</t>
  </si>
  <si>
    <t>LACMHC 1871L1</t>
  </si>
  <si>
    <t>IDO</t>
  </si>
  <si>
    <t>IFA</t>
  </si>
  <si>
    <r>
      <t xml:space="preserve">Table S1. </t>
    </r>
    <r>
      <rPr>
        <sz val="11"/>
        <color theme="1"/>
        <rFont val="Arial"/>
        <family val="2"/>
      </rPr>
      <t>Relative muzzle width index (RMW), Occlusal Surface Area (OSA, in mm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), Hypsodonty index (HI), Index of dorsal olecranon projection (IDO), and Index of fossorial ability (IFA) for giant ground sloths taxa from the Late Quaternary of Americas. </t>
    </r>
    <r>
      <rPr>
        <b/>
        <sz val="11"/>
        <color theme="1"/>
        <rFont val="Arial"/>
        <family val="2"/>
      </rPr>
      <t xml:space="preserve">Labels. </t>
    </r>
    <r>
      <rPr>
        <sz val="11"/>
        <color theme="1"/>
        <rFont val="Arial"/>
        <family val="2"/>
      </rPr>
      <t>PW - palatal width (in mm), MMW - maximum muzzle width (in mm), MH - mandibular height (in mm), TRL - tooth row length (in mm).</t>
    </r>
  </si>
  <si>
    <t>MCL 22834 (skull)</t>
  </si>
  <si>
    <t>MCL 22834 (dentary)</t>
  </si>
  <si>
    <t>UHE Samuel s/n (skull)</t>
  </si>
  <si>
    <t>MCL 23315 (dentary)</t>
  </si>
  <si>
    <t>MBLUZ-P-1668 (skull)</t>
  </si>
  <si>
    <t>MNHN CPN 9–1 (skull/dentary)</t>
  </si>
  <si>
    <t>NRM-PZ M4287 (dentary)</t>
  </si>
  <si>
    <t>MNHN CPN 9–1 (ulnae)</t>
  </si>
  <si>
    <t>INAH DP5832 (skull/dentary)</t>
  </si>
  <si>
    <t>AMNH 16876 (skull)</t>
  </si>
  <si>
    <t>AMNH 16877 (skull)</t>
  </si>
  <si>
    <t>Xibalbaonyx exinferis</t>
  </si>
  <si>
    <t>CPC-2774 (dentary)</t>
  </si>
  <si>
    <t>INAH-MRG-10-294923 (dentary)</t>
  </si>
  <si>
    <t>Xibalbaonyx microcaninus</t>
  </si>
  <si>
    <t>Za2014 (skull)</t>
  </si>
  <si>
    <t>Za2014 (dentary)</t>
  </si>
  <si>
    <t>Za2014 (ulnae)</t>
  </si>
  <si>
    <t>Meizonyx salvadorensis</t>
  </si>
  <si>
    <t>Oaxaca, Mexico</t>
  </si>
  <si>
    <t>UF 27513 (dentary)</t>
  </si>
  <si>
    <t>INAH DP 5869 (dentary)</t>
  </si>
  <si>
    <t>LACMHC 1718-1 (dentary)</t>
  </si>
  <si>
    <t>LACMHC 1718-2 (dentary)</t>
  </si>
  <si>
    <t>LACMHC 1718-8 (dentary)</t>
  </si>
  <si>
    <t>LACMHC 1718-14 (dentary)</t>
  </si>
  <si>
    <t>LACMHC 1718-15 (dentary)</t>
  </si>
  <si>
    <t>LACMHC 1718-18 (dentary)</t>
  </si>
  <si>
    <t>LACMHC 1718-20 (dentary)</t>
  </si>
  <si>
    <t>LACMHC 1718-21 (dentary)</t>
  </si>
  <si>
    <t>LACMHC 1718-25 (dentary)</t>
  </si>
  <si>
    <t>LACMHC 1718-27 (dentary)</t>
  </si>
  <si>
    <t>LACMHC 1718-28 (dentary)</t>
  </si>
  <si>
    <t>LACMHC 1718-30 (dentary)</t>
  </si>
  <si>
    <t>LACMHC 1718-31 (dentary)</t>
  </si>
  <si>
    <t>LACMHC 1718-32 (dentary)</t>
  </si>
  <si>
    <t>LACMHC 1718-33 (dentary)</t>
  </si>
  <si>
    <t>UCC 21156 (dentary)</t>
  </si>
  <si>
    <t>UCC 21158 (dentary)</t>
  </si>
  <si>
    <t>UCC 21170 (dentary)</t>
  </si>
  <si>
    <t>IMNH 15273 (skull)</t>
  </si>
  <si>
    <t>LACMHC 692 (skull)</t>
  </si>
  <si>
    <t>LACMHC 832 (skull)</t>
  </si>
  <si>
    <t>LACMHC 1716-2 (skull)</t>
  </si>
  <si>
    <t>LACMHC 1716-3 (skull)</t>
  </si>
  <si>
    <t>LACMHC 1716-4 (skull)</t>
  </si>
  <si>
    <t>LACMHC 1717-1 (skull)</t>
  </si>
  <si>
    <t>LACMHC 1717-2 (skull)</t>
  </si>
  <si>
    <t>LACMHC 1717-3 (skull)</t>
  </si>
  <si>
    <t>LACMHC 1717-32 (skull)</t>
  </si>
  <si>
    <t>LACMHC 1717-4 (skull)</t>
  </si>
  <si>
    <t>LACMHC 1717-6 (skull)</t>
  </si>
  <si>
    <t>LACMHC 1717-8 (skull)</t>
  </si>
  <si>
    <t>LACMHC 1717-10 (skull)</t>
  </si>
  <si>
    <t>LACMHC 1717-13 (skull)</t>
  </si>
  <si>
    <t>LACMHC 1717-14 (skull)</t>
  </si>
  <si>
    <t>LACMHC 1717-16 (skull)</t>
  </si>
  <si>
    <t>LACMHC 1717-17 (skull)</t>
  </si>
  <si>
    <t>LACMHC 1717-19 (skull)</t>
  </si>
  <si>
    <t>LACMHC 1717-20 (skull)</t>
  </si>
  <si>
    <t>LACMHC 1717-21 (skull)</t>
  </si>
  <si>
    <t>LACMHC 1717-22 (skull)</t>
  </si>
  <si>
    <t>LACMHC 1717-23 (skull)</t>
  </si>
  <si>
    <t>LACMHC 1717-24 (skull)</t>
  </si>
  <si>
    <t>LACMHC 1717-25 (skull)</t>
  </si>
  <si>
    <t>LACMHC 1717-26 (skull)</t>
  </si>
  <si>
    <t>LACMHC 1717-27 (skull)</t>
  </si>
  <si>
    <t>LACMHC 1717-28 (skull)</t>
  </si>
  <si>
    <t>LACMHC 1717-29 (skull)</t>
  </si>
  <si>
    <t>LACMHC 1717-30 (skull)</t>
  </si>
  <si>
    <t>LACMHC 1933 (skull)</t>
  </si>
  <si>
    <t>LACMHC 12369 (skull)</t>
  </si>
  <si>
    <t>LACMHC 14537 (skull)</t>
  </si>
  <si>
    <t>LACMHC 14549 (skull)</t>
  </si>
  <si>
    <t>LACMHC 14550 (skull)</t>
  </si>
  <si>
    <t>LACMHC 14551 (skull)</t>
  </si>
  <si>
    <t>LACMHC 14554 (skull)</t>
  </si>
  <si>
    <t>LACMHC 1873-1 (ulnae)</t>
  </si>
  <si>
    <t>LACMHC 1873-2 (ulnae)</t>
  </si>
  <si>
    <t>LACMHC 1714-27 (ulnae)</t>
  </si>
  <si>
    <t>TMM 41075-10 (skull/dentary)</t>
  </si>
  <si>
    <t>TMM 41075-10 (ulnae)</t>
  </si>
  <si>
    <t>G. tropicorum</t>
  </si>
  <si>
    <t>ROM 12669</t>
  </si>
  <si>
    <r>
      <t>Chimborazo, Ecuador</t>
    </r>
    <r>
      <rPr>
        <vertAlign val="superscript"/>
        <sz val="11"/>
        <rFont val="Arial"/>
        <family val="2"/>
      </rPr>
      <t>(3)</t>
    </r>
  </si>
  <si>
    <r>
      <t>Sta Elena, Ecuador</t>
    </r>
    <r>
      <rPr>
        <vertAlign val="superscript"/>
        <sz val="11"/>
        <rFont val="Arial"/>
        <family val="2"/>
      </rPr>
      <t>(4)</t>
    </r>
  </si>
  <si>
    <t>(5) Our data</t>
  </si>
  <si>
    <t>(4) De Iuliis et al (2017)</t>
  </si>
  <si>
    <r>
      <t>California, USA</t>
    </r>
    <r>
      <rPr>
        <vertAlign val="superscript"/>
        <sz val="11"/>
        <color theme="1"/>
        <rFont val="Arial"/>
        <family val="2"/>
      </rPr>
      <t>(5)</t>
    </r>
  </si>
  <si>
    <r>
      <t>Darke County, Ohio, USA</t>
    </r>
    <r>
      <rPr>
        <vertAlign val="superscript"/>
        <sz val="11"/>
        <color theme="1"/>
        <rFont val="Arial"/>
        <family val="2"/>
      </rPr>
      <t>(5)</t>
    </r>
  </si>
  <si>
    <r>
      <t>Idaho, USA</t>
    </r>
    <r>
      <rPr>
        <vertAlign val="superscript"/>
        <sz val="11"/>
        <color theme="1"/>
        <rFont val="Arial"/>
        <family val="2"/>
      </rPr>
      <t>(5)</t>
    </r>
  </si>
  <si>
    <r>
      <t>Power County, Idaho, USA</t>
    </r>
    <r>
      <rPr>
        <vertAlign val="superscript"/>
        <sz val="11"/>
        <color theme="1"/>
        <rFont val="Arial"/>
        <family val="2"/>
      </rPr>
      <t>(5)</t>
    </r>
  </si>
  <si>
    <r>
      <t>Altagracia, Dom. Republic</t>
    </r>
    <r>
      <rPr>
        <vertAlign val="superscript"/>
        <sz val="11"/>
        <color theme="1"/>
        <rFont val="Arial"/>
        <family val="2"/>
      </rPr>
      <t>(5)</t>
    </r>
  </si>
  <si>
    <t>M. ibseni</t>
  </si>
  <si>
    <r>
      <t>Ourolandia, Bahia, Brazil</t>
    </r>
    <r>
      <rPr>
        <vertAlign val="superscript"/>
        <sz val="11"/>
        <rFont val="Arial"/>
        <family val="2"/>
      </rPr>
      <t>(5)</t>
    </r>
  </si>
  <si>
    <t>MCL 446</t>
  </si>
  <si>
    <t>D. nordenskioldi</t>
  </si>
  <si>
    <r>
      <t>Puno, Peru</t>
    </r>
    <r>
      <rPr>
        <vertAlign val="superscript"/>
        <sz val="11"/>
        <rFont val="Arial"/>
        <family val="2"/>
      </rPr>
      <t>(6)</t>
    </r>
  </si>
  <si>
    <r>
      <t>Yucatan, Mexico</t>
    </r>
    <r>
      <rPr>
        <vertAlign val="superscript"/>
        <sz val="11"/>
        <color theme="1"/>
        <rFont val="Arial"/>
        <family val="2"/>
      </rPr>
      <t>(7)</t>
    </r>
  </si>
  <si>
    <r>
      <t>Ciego Montero, Cuba</t>
    </r>
    <r>
      <rPr>
        <vertAlign val="superscript"/>
        <sz val="11"/>
        <color theme="1"/>
        <rFont val="Arial"/>
        <family val="2"/>
      </rPr>
      <t>(8)</t>
    </r>
  </si>
  <si>
    <r>
      <t>Altagracia, Dom. Republic</t>
    </r>
    <r>
      <rPr>
        <vertAlign val="superscript"/>
        <sz val="11"/>
        <color theme="1"/>
        <rFont val="Arial"/>
        <family val="2"/>
      </rPr>
      <t>(9)</t>
    </r>
  </si>
  <si>
    <r>
      <t>du Sud, Haiti</t>
    </r>
    <r>
      <rPr>
        <vertAlign val="superscript"/>
        <sz val="11"/>
        <color theme="1"/>
        <rFont val="Arial"/>
        <family val="2"/>
      </rPr>
      <t>(10)</t>
    </r>
  </si>
  <si>
    <t>(6) Pujos et al (2007)</t>
  </si>
  <si>
    <t>(7) Stinnesbeck et al (2020)</t>
  </si>
  <si>
    <t>(8) Mathew &amp; Paula Couto (1959)</t>
  </si>
  <si>
    <t>(9) McAfee et al (2021)</t>
  </si>
  <si>
    <t>(10) MacPhee et al (2000)</t>
  </si>
  <si>
    <t>NMR-PZ M4286</t>
  </si>
  <si>
    <t>LACMHC 208 (skull)</t>
  </si>
  <si>
    <t>LACMHC 303 (skull)</t>
  </si>
  <si>
    <t>LACMHC 632 (skull)</t>
  </si>
  <si>
    <t>LACMHC 1800-5 (skull)</t>
  </si>
  <si>
    <t>LACMHC 1800-7 (skull)</t>
  </si>
  <si>
    <t>LACMHC 1801-1 (dentary)</t>
  </si>
  <si>
    <t>LACMHC 1801-2 (dentary)</t>
  </si>
  <si>
    <t>LACMHC 1801-3 (dentary)</t>
  </si>
  <si>
    <t>LACMHC 1801-5 (dentary)</t>
  </si>
  <si>
    <t>LACMHC 1801-7 (dentary)</t>
  </si>
  <si>
    <t>LACMHC 1801-R-4 (dentary)</t>
  </si>
  <si>
    <t>LACMHC 1801-L-8 (dentary)</t>
  </si>
  <si>
    <t>INAH uncatalogued (skull)</t>
  </si>
  <si>
    <t>FMNH P-26962 (skull/dentary)</t>
  </si>
  <si>
    <t>FMNH P-26970 (dentary)</t>
  </si>
  <si>
    <t>MCL 1700/2 (dentary)</t>
  </si>
  <si>
    <t>MCL 1702/2 (dentary)</t>
  </si>
  <si>
    <t>MCL 7220 (dentary)</t>
  </si>
  <si>
    <t>MCL 7221 (dentary)</t>
  </si>
  <si>
    <t>MCL 7222 (dentary)</t>
  </si>
  <si>
    <t>MCL 7223 (dentary)</t>
  </si>
  <si>
    <t>MCL 7224 (dentary)</t>
  </si>
  <si>
    <t>MCL 7225 (dentary)</t>
  </si>
  <si>
    <t>MCL 7226 (dentary)</t>
  </si>
  <si>
    <t>MCL 7228 (dentary)</t>
  </si>
  <si>
    <t>MCL 7229 (dentary)</t>
  </si>
  <si>
    <t>MCL 7231 (dentary)</t>
  </si>
  <si>
    <t>MCL 7232 (dentary)</t>
  </si>
  <si>
    <t>MCL 7233 (dentary)</t>
  </si>
  <si>
    <t>MCL 7234 (dentary)</t>
  </si>
  <si>
    <t>MCL 7236 (dentary)</t>
  </si>
  <si>
    <t>MCL 7237 (dentary)</t>
  </si>
  <si>
    <t>MPM702 (skull/dentary)</t>
  </si>
  <si>
    <t>EPN V 1508 (skull)</t>
  </si>
  <si>
    <t>EPN V 140 (ulnae)</t>
  </si>
  <si>
    <t>ROM 3146 (skull/dentary)</t>
  </si>
  <si>
    <t>MNHN LAR 243 (dentary)</t>
  </si>
  <si>
    <t>ROM 2122 (dentary)</t>
  </si>
  <si>
    <t>MCL 4303/2 (dentary)</t>
  </si>
  <si>
    <t>MCL 4008 (dentary)</t>
  </si>
  <si>
    <t>LEG 1666 (dentary)</t>
  </si>
  <si>
    <t>LEG 1178 (dentary)</t>
  </si>
  <si>
    <t>MCN.P.687 (dentary)</t>
  </si>
  <si>
    <t>MAMC 18 (skull)</t>
  </si>
  <si>
    <t>MPAC 418 (skull)</t>
  </si>
  <si>
    <t>Mylodon darwini</t>
  </si>
  <si>
    <t>CORD PZ 4570 (ulnae)</t>
  </si>
  <si>
    <t>Anisacate river, Argentina</t>
  </si>
  <si>
    <t>FMNH P14288 (ulnae)</t>
  </si>
  <si>
    <t>Buenos Aires, Argentina</t>
  </si>
  <si>
    <t>MECN 357 (dentary)</t>
  </si>
  <si>
    <t>AMNH 96217 (dentary)</t>
  </si>
  <si>
    <t>AMNH 1758 (dentary)</t>
  </si>
  <si>
    <t>MECN 505 (skull)</t>
  </si>
  <si>
    <t>MECN 356 (skull)</t>
  </si>
  <si>
    <t>MECN 417 (skull)</t>
  </si>
  <si>
    <t>AMNH 96216 (skull)</t>
  </si>
  <si>
    <t>MNHN.F.PUN220 (skull)</t>
  </si>
  <si>
    <t>MCL 1020/2 (dentary)</t>
  </si>
  <si>
    <t>LEG 1461 (dentary)</t>
  </si>
  <si>
    <t>IMNH 23034 (skull)</t>
  </si>
  <si>
    <t>OMNH 4326 (skull)</t>
  </si>
  <si>
    <t>TMM G-333 (skull)</t>
  </si>
  <si>
    <t>DMNS E.P.V. 65000 (skull)</t>
  </si>
  <si>
    <t>UCC 21429 (dentary)</t>
  </si>
  <si>
    <t>UCC 23192 (ulnae)</t>
  </si>
  <si>
    <t>UF 171296 (dentary)</t>
  </si>
  <si>
    <t>UF 76363 (skull)</t>
  </si>
  <si>
    <t>UF 76370 (dentary)</t>
  </si>
  <si>
    <t>UF 170533 (skull)</t>
  </si>
  <si>
    <t>UF 170533 (dentary)</t>
  </si>
  <si>
    <t>MHD 237 (skull)</t>
  </si>
  <si>
    <t>MHD 347 (skull)</t>
  </si>
  <si>
    <t>MHD 412 (skull)</t>
  </si>
  <si>
    <t>DR PN FM 02-11 (skull)</t>
  </si>
  <si>
    <t>MHD 406 (dentary)</t>
  </si>
  <si>
    <t>MHD 408 (dentary)</t>
  </si>
  <si>
    <t>MHD 225 (ulnae)</t>
  </si>
  <si>
    <t>MHD 348 (ulnae)</t>
  </si>
  <si>
    <t>FMNH P14216 (skull/dentary)</t>
  </si>
  <si>
    <t>UF 156892 (skull)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</si>
</sst>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name val="Arial"/>
      <family val="2"/>
    </font>
    <font>
      <sz val="11"/>
      <color rgb="FFC00000"/>
      <name val="Arial"/>
      <family val="2"/>
    </font>
    <font>
      <b/>
      <vertAlign val="superscript"/>
      <sz val="11"/>
      <color theme="1"/>
      <name val="Arial"/>
      <family val="2"/>
    </font>
    <font>
      <vertAlign val="superscript"/>
      <sz val="11"/>
      <name val="Arial"/>
      <family val="2"/>
    </font>
    <font>
      <sz val="11"/>
      <color rgb="FF222222"/>
      <name val="Arial"/>
      <family val="2"/>
    </font>
    <font>
      <b/>
      <sz val="11"/>
      <name val="Arial"/>
      <family val="2"/>
    </font>
    <font>
      <i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10">
    <xf numFmtId="0" fontId="0" fillId="0" borderId="0" xfId="0"/>
    <xf numFmtId="0" fontId="1" fillId="0" borderId="3" xfId="0" applyFont="1" applyFill="1" applyBorder="1"/>
    <xf numFmtId="0" fontId="0" fillId="0" borderId="0" xfId="0" applyAlignment="1">
      <alignment horizontal="left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/>
    <xf numFmtId="0" fontId="3" fillId="0" borderId="2" xfId="0" applyFont="1" applyFill="1" applyBorder="1" applyAlignment="1">
      <alignment horizontal="left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left" vertical="center" wrapText="1"/>
    </xf>
    <xf numFmtId="2" fontId="3" fillId="0" borderId="2" xfId="0" applyNumberFormat="1" applyFont="1" applyFill="1" applyBorder="1" applyAlignment="1">
      <alignment horizontal="left" vertical="center" wrapText="1"/>
    </xf>
    <xf numFmtId="2" fontId="0" fillId="0" borderId="0" xfId="0" applyNumberFormat="1" applyAlignment="1">
      <alignment horizontal="left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2" fontId="1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2" fontId="6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2" fontId="1" fillId="0" borderId="4" xfId="0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/>
    </xf>
    <xf numFmtId="2" fontId="5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" fontId="3" fillId="0" borderId="6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1" fontId="1" fillId="0" borderId="12" xfId="0" applyNumberFormat="1" applyFont="1" applyFill="1" applyBorder="1" applyAlignment="1">
      <alignment horizontal="center" vertical="center"/>
    </xf>
    <xf numFmtId="1" fontId="5" fillId="0" borderId="12" xfId="0" applyNumberFormat="1" applyFont="1" applyFill="1" applyBorder="1" applyAlignment="1">
      <alignment horizontal="center" vertical="center"/>
    </xf>
    <xf numFmtId="0" fontId="0" fillId="0" borderId="3" xfId="0" applyFont="1" applyBorder="1"/>
    <xf numFmtId="0" fontId="1" fillId="0" borderId="4" xfId="0" applyFont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1" fontId="3" fillId="0" borderId="8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left" vertical="center" wrapText="1"/>
    </xf>
    <xf numFmtId="1" fontId="0" fillId="0" borderId="0" xfId="0" applyNumberFormat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3" xfId="0" applyFont="1" applyBorder="1"/>
    <xf numFmtId="0" fontId="1" fillId="0" borderId="5" xfId="0" applyFont="1" applyBorder="1"/>
    <xf numFmtId="0" fontId="2" fillId="0" borderId="1" xfId="0" applyFont="1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9" fillId="0" borderId="0" xfId="0" applyFont="1" applyFill="1" applyAlignment="1">
      <alignment horizontal="left"/>
    </xf>
    <xf numFmtId="1" fontId="1" fillId="0" borderId="12" xfId="0" applyNumberFormat="1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2" fontId="1" fillId="0" borderId="6" xfId="0" applyNumberFormat="1" applyFont="1" applyFill="1" applyBorder="1" applyAlignment="1">
      <alignment horizontal="center" vertical="center"/>
    </xf>
    <xf numFmtId="0" fontId="2" fillId="2" borderId="3" xfId="0" applyFont="1" applyFill="1" applyBorder="1"/>
    <xf numFmtId="0" fontId="1" fillId="2" borderId="3" xfId="0" applyFont="1" applyFill="1" applyBorder="1"/>
    <xf numFmtId="2" fontId="3" fillId="0" borderId="15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2" fontId="1" fillId="0" borderId="12" xfId="0" applyNumberFormat="1" applyFont="1" applyFill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2" fillId="2" borderId="4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/>
    </xf>
    <xf numFmtId="1" fontId="3" fillId="0" borderId="1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Fill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2" fontId="10" fillId="0" borderId="6" xfId="0" applyNumberFormat="1" applyFont="1" applyFill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/>
    </xf>
    <xf numFmtId="1" fontId="3" fillId="0" borderId="28" xfId="0" applyNumberFormat="1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1" fontId="0" fillId="0" borderId="0" xfId="0" applyNumberFormat="1"/>
    <xf numFmtId="2" fontId="3" fillId="0" borderId="8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5" fillId="2" borderId="4" xfId="0" applyFont="1" applyFill="1" applyBorder="1" applyAlignment="1">
      <alignment horizontal="center" vertical="center" wrapText="1"/>
    </xf>
    <xf numFmtId="1" fontId="5" fillId="2" borderId="4" xfId="0" applyNumberFormat="1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5" fillId="2" borderId="3" xfId="0" applyFont="1" applyFill="1" applyBorder="1"/>
    <xf numFmtId="0" fontId="11" fillId="0" borderId="3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2" xfId="0" applyNumberFormat="1" applyFont="1" applyFill="1" applyBorder="1" applyAlignment="1">
      <alignment horizontal="center" vertical="center"/>
    </xf>
    <xf numFmtId="0" fontId="5" fillId="0" borderId="3" xfId="0" applyFont="1" applyFill="1" applyBorder="1"/>
    <xf numFmtId="2" fontId="5" fillId="2" borderId="4" xfId="0" applyNumberFormat="1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wrapText="1"/>
    </xf>
    <xf numFmtId="2" fontId="2" fillId="2" borderId="4" xfId="0" applyNumberFormat="1" applyFont="1" applyFill="1" applyBorder="1" applyAlignment="1">
      <alignment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center" wrapText="1"/>
    </xf>
    <xf numFmtId="1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left" wrapText="1"/>
    </xf>
    <xf numFmtId="2" fontId="2" fillId="2" borderId="4" xfId="0" applyNumberFormat="1" applyFont="1" applyFill="1" applyBorder="1" applyAlignment="1">
      <alignment horizontal="left" wrapText="1"/>
    </xf>
    <xf numFmtId="0" fontId="11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/>
    </xf>
    <xf numFmtId="0" fontId="5" fillId="0" borderId="31" xfId="0" applyFont="1" applyBorder="1" applyAlignment="1">
      <alignment horizontal="center" vertical="center"/>
    </xf>
    <xf numFmtId="2" fontId="5" fillId="0" borderId="31" xfId="0" applyNumberFormat="1" applyFont="1" applyBorder="1" applyAlignment="1">
      <alignment horizontal="center" vertical="center"/>
    </xf>
    <xf numFmtId="2" fontId="5" fillId="0" borderId="31" xfId="0" applyNumberFormat="1" applyFont="1" applyFill="1" applyBorder="1" applyAlignment="1">
      <alignment horizontal="center" vertical="center"/>
    </xf>
    <xf numFmtId="1" fontId="3" fillId="0" borderId="32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2" fontId="5" fillId="0" borderId="8" xfId="0" applyNumberFormat="1" applyFont="1" applyFill="1" applyBorder="1" applyAlignment="1">
      <alignment horizontal="center" vertical="center"/>
    </xf>
    <xf numFmtId="1" fontId="3" fillId="0" borderId="15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2" fontId="5" fillId="0" borderId="29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wrapText="1"/>
    </xf>
    <xf numFmtId="0" fontId="5" fillId="2" borderId="6" xfId="0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2" fontId="5" fillId="2" borderId="6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left" wrapText="1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2" fontId="5" fillId="0" borderId="12" xfId="0" applyNumberFormat="1" applyFont="1" applyBorder="1" applyAlignment="1">
      <alignment horizontal="center" vertical="center"/>
    </xf>
    <xf numFmtId="0" fontId="11" fillId="2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1" fontId="2" fillId="0" borderId="4" xfId="0" applyNumberFormat="1" applyFont="1" applyFill="1" applyBorder="1" applyAlignment="1">
      <alignment vertical="center" wrapText="1"/>
    </xf>
    <xf numFmtId="2" fontId="2" fillId="0" borderId="4" xfId="0" applyNumberFormat="1" applyFont="1" applyFill="1" applyBorder="1" applyAlignment="1">
      <alignment vertical="center" wrapText="1"/>
    </xf>
    <xf numFmtId="1" fontId="5" fillId="0" borderId="10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/>
    </xf>
    <xf numFmtId="2" fontId="5" fillId="0" borderId="14" xfId="0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>
      <alignment horizontal="center" vertical="center"/>
    </xf>
    <xf numFmtId="2" fontId="5" fillId="0" borderId="27" xfId="0" applyNumberFormat="1" applyFont="1" applyFill="1" applyBorder="1" applyAlignment="1">
      <alignment horizontal="center" vertical="center" wrapText="1"/>
    </xf>
    <xf numFmtId="1" fontId="5" fillId="0" borderId="27" xfId="0" applyNumberFormat="1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2" fontId="5" fillId="0" borderId="27" xfId="0" applyNumberFormat="1" applyFont="1" applyFill="1" applyBorder="1" applyAlignment="1">
      <alignment horizontal="center" vertical="center"/>
    </xf>
    <xf numFmtId="2" fontId="5" fillId="0" borderId="28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>
      <alignment horizontal="center" vertical="center" wrapText="1"/>
    </xf>
    <xf numFmtId="2" fontId="1" fillId="0" borderId="6" xfId="0" applyNumberFormat="1" applyFont="1" applyFill="1" applyBorder="1" applyAlignment="1">
      <alignment horizontal="center" vertical="center" wrapText="1"/>
    </xf>
    <xf numFmtId="2" fontId="1" fillId="0" borderId="13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" fontId="3" fillId="0" borderId="23" xfId="0" applyNumberFormat="1" applyFont="1" applyFill="1" applyBorder="1" applyAlignment="1">
      <alignment horizontal="center" vertical="center" wrapText="1"/>
    </xf>
    <xf numFmtId="1" fontId="3" fillId="0" borderId="2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0"/>
  <sheetViews>
    <sheetView showGridLines="0" topLeftCell="A170" zoomScale="90" zoomScaleNormal="90" workbookViewId="0">
      <selection activeCell="B188" sqref="B188"/>
    </sheetView>
  </sheetViews>
  <sheetFormatPr defaultRowHeight="14.5"/>
  <cols>
    <col min="1" max="2" width="30.6328125" style="2" customWidth="1"/>
    <col min="3" max="4" width="7.6328125" style="81" customWidth="1"/>
    <col min="5" max="5" width="7.6328125" style="15" customWidth="1"/>
    <col min="6" max="6" width="7.6328125" style="2" customWidth="1"/>
    <col min="7" max="8" width="7.6328125" style="15" customWidth="1"/>
    <col min="9" max="11" width="7.6328125" style="104" customWidth="1"/>
  </cols>
  <sheetData>
    <row r="1" spans="1:11" ht="54" customHeight="1" thickBot="1">
      <c r="A1" s="196" t="s">
        <v>189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</row>
    <row r="2" spans="1:11" ht="18" customHeight="1" thickBot="1">
      <c r="A2" s="6" t="s">
        <v>3</v>
      </c>
      <c r="B2" s="7" t="s">
        <v>4</v>
      </c>
      <c r="C2" s="74" t="s">
        <v>26</v>
      </c>
      <c r="D2" s="74" t="s">
        <v>27</v>
      </c>
      <c r="E2" s="11" t="s">
        <v>1</v>
      </c>
      <c r="F2" s="7" t="s">
        <v>0</v>
      </c>
      <c r="G2" s="11" t="s">
        <v>103</v>
      </c>
      <c r="H2" s="11" t="s">
        <v>104</v>
      </c>
      <c r="I2" s="120" t="s">
        <v>90</v>
      </c>
      <c r="J2" s="120" t="s">
        <v>187</v>
      </c>
      <c r="K2" s="100" t="s">
        <v>188</v>
      </c>
    </row>
    <row r="3" spans="1:11" ht="18" customHeight="1">
      <c r="A3" s="8" t="s">
        <v>10</v>
      </c>
      <c r="B3" s="17"/>
      <c r="C3" s="75"/>
      <c r="D3" s="75"/>
      <c r="E3" s="18"/>
      <c r="F3" s="17"/>
      <c r="G3" s="18"/>
      <c r="H3" s="18"/>
      <c r="I3" s="24"/>
      <c r="J3" s="24"/>
      <c r="K3" s="121"/>
    </row>
    <row r="4" spans="1:11" ht="18" customHeight="1">
      <c r="A4" s="16" t="s">
        <v>89</v>
      </c>
      <c r="B4" s="4"/>
      <c r="C4" s="77"/>
      <c r="D4" s="77"/>
      <c r="E4" s="12"/>
      <c r="F4" s="4"/>
      <c r="G4" s="12"/>
      <c r="H4" s="12"/>
      <c r="I4" s="30"/>
      <c r="J4" s="30"/>
      <c r="K4" s="101"/>
    </row>
    <row r="5" spans="1:11" ht="18" customHeight="1">
      <c r="A5" s="5" t="s">
        <v>92</v>
      </c>
      <c r="B5" s="4" t="s">
        <v>190</v>
      </c>
      <c r="C5" s="77">
        <v>28</v>
      </c>
      <c r="D5" s="77">
        <v>51.75</v>
      </c>
      <c r="E5" s="12">
        <f>C5/D5</f>
        <v>0.54106280193236711</v>
      </c>
      <c r="F5" s="4"/>
      <c r="G5" s="12"/>
      <c r="H5" s="12"/>
      <c r="I5" s="30"/>
      <c r="J5" s="30"/>
      <c r="K5" s="101"/>
    </row>
    <row r="6" spans="1:11" ht="18" customHeight="1">
      <c r="A6" s="5" t="s">
        <v>92</v>
      </c>
      <c r="B6" s="4" t="s">
        <v>191</v>
      </c>
      <c r="C6" s="77"/>
      <c r="D6" s="77"/>
      <c r="E6" s="12"/>
      <c r="F6" s="4"/>
      <c r="G6" s="12">
        <v>52.96</v>
      </c>
      <c r="H6" s="12">
        <v>56.41</v>
      </c>
      <c r="I6" s="30">
        <f>G6/H6</f>
        <v>0.9388406310937778</v>
      </c>
      <c r="J6" s="30"/>
      <c r="K6" s="101"/>
    </row>
    <row r="7" spans="1:11" ht="18" customHeight="1">
      <c r="A7" s="22" t="s">
        <v>102</v>
      </c>
      <c r="B7" s="19"/>
      <c r="C7" s="76"/>
      <c r="D7" s="76"/>
      <c r="E7" s="20"/>
      <c r="F7" s="19"/>
      <c r="G7" s="20"/>
      <c r="H7" s="20"/>
      <c r="I7" s="122"/>
      <c r="J7" s="122"/>
      <c r="K7" s="102"/>
    </row>
    <row r="8" spans="1:11" ht="18" customHeight="1">
      <c r="A8" s="21" t="s">
        <v>106</v>
      </c>
      <c r="B8" s="19" t="s">
        <v>192</v>
      </c>
      <c r="C8" s="76">
        <v>41</v>
      </c>
      <c r="D8" s="76">
        <v>49.53</v>
      </c>
      <c r="E8" s="20">
        <f t="shared" ref="E8" si="0">C8/D8</f>
        <v>0.82778114274177261</v>
      </c>
      <c r="F8" s="19"/>
      <c r="G8" s="20"/>
      <c r="H8" s="20"/>
      <c r="I8" s="122"/>
      <c r="J8" s="122"/>
      <c r="K8" s="102"/>
    </row>
    <row r="9" spans="1:11" ht="18" customHeight="1">
      <c r="A9" s="21" t="s">
        <v>92</v>
      </c>
      <c r="B9" s="19" t="s">
        <v>193</v>
      </c>
      <c r="C9" s="76"/>
      <c r="D9" s="76"/>
      <c r="E9" s="20"/>
      <c r="F9" s="19"/>
      <c r="G9" s="20">
        <v>55.48</v>
      </c>
      <c r="H9" s="20">
        <v>72.09</v>
      </c>
      <c r="I9" s="122">
        <f>G9/H9</f>
        <v>0.76959356360105413</v>
      </c>
      <c r="J9" s="122"/>
      <c r="K9" s="102"/>
    </row>
    <row r="10" spans="1:11" ht="18" customHeight="1">
      <c r="A10" s="16" t="s">
        <v>17</v>
      </c>
      <c r="B10" s="4"/>
      <c r="C10" s="77"/>
      <c r="D10" s="77"/>
      <c r="E10" s="12"/>
      <c r="F10" s="4"/>
      <c r="G10" s="12"/>
      <c r="H10" s="12"/>
      <c r="I10" s="30"/>
      <c r="J10" s="30"/>
      <c r="K10" s="101"/>
    </row>
    <row r="11" spans="1:11" ht="18" customHeight="1">
      <c r="A11" s="5" t="s">
        <v>18</v>
      </c>
      <c r="B11" s="4" t="s">
        <v>194</v>
      </c>
      <c r="C11" s="77">
        <v>41.09</v>
      </c>
      <c r="D11" s="77">
        <v>56.94</v>
      </c>
      <c r="E11" s="12">
        <f>C11/D11</f>
        <v>0.72163681067790664</v>
      </c>
      <c r="F11" s="4"/>
      <c r="G11" s="12"/>
      <c r="H11" s="12"/>
      <c r="I11" s="30"/>
      <c r="J11" s="30"/>
      <c r="K11" s="101"/>
    </row>
    <row r="12" spans="1:11" ht="18" customHeight="1">
      <c r="A12" s="22" t="s">
        <v>73</v>
      </c>
      <c r="B12" s="19"/>
      <c r="C12" s="76"/>
      <c r="D12" s="76"/>
      <c r="E12" s="20"/>
      <c r="F12" s="19"/>
      <c r="G12" s="20"/>
      <c r="H12" s="20"/>
      <c r="I12" s="122"/>
      <c r="J12" s="122"/>
      <c r="K12" s="102"/>
    </row>
    <row r="13" spans="1:11" ht="18" customHeight="1">
      <c r="A13" s="21" t="s">
        <v>74</v>
      </c>
      <c r="B13" s="19" t="s">
        <v>195</v>
      </c>
      <c r="C13" s="76">
        <v>19</v>
      </c>
      <c r="D13" s="76">
        <v>33.619999999999997</v>
      </c>
      <c r="E13" s="20">
        <f t="shared" ref="E13" si="1">C13/D13</f>
        <v>0.5651397977394409</v>
      </c>
      <c r="F13" s="19">
        <v>828</v>
      </c>
      <c r="G13" s="20">
        <v>26.25</v>
      </c>
      <c r="H13" s="20">
        <v>41.84</v>
      </c>
      <c r="I13" s="122">
        <f>G13/H13</f>
        <v>0.62739005736137665</v>
      </c>
      <c r="J13" s="122"/>
      <c r="K13" s="102"/>
    </row>
    <row r="14" spans="1:11" ht="18" customHeight="1">
      <c r="A14" s="21" t="s">
        <v>74</v>
      </c>
      <c r="B14" s="19" t="s">
        <v>196</v>
      </c>
      <c r="C14" s="76"/>
      <c r="D14" s="76"/>
      <c r="E14" s="20"/>
      <c r="F14" s="19"/>
      <c r="G14" s="20">
        <v>42.26</v>
      </c>
      <c r="H14" s="20">
        <v>58.65</v>
      </c>
      <c r="I14" s="122">
        <f>G14/H14</f>
        <v>0.72054560954816704</v>
      </c>
      <c r="J14" s="122"/>
      <c r="K14" s="102"/>
    </row>
    <row r="15" spans="1:11" ht="18" customHeight="1">
      <c r="A15" s="164" t="s">
        <v>74</v>
      </c>
      <c r="B15" s="127" t="s">
        <v>197</v>
      </c>
      <c r="C15" s="128"/>
      <c r="D15" s="128"/>
      <c r="E15" s="129"/>
      <c r="F15" s="127"/>
      <c r="G15" s="129"/>
      <c r="H15" s="129"/>
      <c r="I15" s="130"/>
      <c r="J15" s="130">
        <f>36.52/28.77</f>
        <v>1.2693778241223499</v>
      </c>
      <c r="K15" s="131">
        <f>47.02/198.95</f>
        <v>0.23634078914300077</v>
      </c>
    </row>
    <row r="16" spans="1:11" ht="18" customHeight="1">
      <c r="A16" s="150" t="s">
        <v>208</v>
      </c>
      <c r="B16" s="134"/>
      <c r="C16" s="135"/>
      <c r="D16" s="135"/>
      <c r="E16" s="136"/>
      <c r="F16" s="134"/>
      <c r="G16" s="136"/>
      <c r="H16" s="136"/>
      <c r="I16" s="33"/>
      <c r="J16" s="33"/>
      <c r="K16" s="137"/>
    </row>
    <row r="17" spans="1:11" ht="18" customHeight="1">
      <c r="A17" s="151" t="s">
        <v>209</v>
      </c>
      <c r="B17" s="134" t="s">
        <v>210</v>
      </c>
      <c r="C17" s="135"/>
      <c r="D17" s="135"/>
      <c r="E17" s="136"/>
      <c r="F17" s="134"/>
      <c r="G17" s="136">
        <v>85.11</v>
      </c>
      <c r="H17" s="136">
        <v>80.95</v>
      </c>
      <c r="I17" s="33">
        <f t="shared" ref="I17:I18" si="2">G17/H17</f>
        <v>1.0513897467572575</v>
      </c>
      <c r="J17" s="33"/>
      <c r="K17" s="137"/>
    </row>
    <row r="18" spans="1:11" ht="18" customHeight="1">
      <c r="A18" s="151" t="s">
        <v>209</v>
      </c>
      <c r="B18" s="134" t="s">
        <v>211</v>
      </c>
      <c r="C18" s="135"/>
      <c r="D18" s="135"/>
      <c r="E18" s="136"/>
      <c r="F18" s="134"/>
      <c r="G18" s="136">
        <v>77.239999999999995</v>
      </c>
      <c r="H18" s="136">
        <v>87.21</v>
      </c>
      <c r="I18" s="33">
        <f t="shared" si="2"/>
        <v>0.88567824790735006</v>
      </c>
      <c r="J18" s="33"/>
      <c r="K18" s="137"/>
    </row>
    <row r="19" spans="1:11" ht="18" customHeight="1">
      <c r="A19" s="126" t="s">
        <v>5</v>
      </c>
      <c r="B19" s="127"/>
      <c r="C19" s="128"/>
      <c r="D19" s="128"/>
      <c r="E19" s="139"/>
      <c r="F19" s="140"/>
      <c r="G19" s="139"/>
      <c r="H19" s="139"/>
      <c r="I19" s="130"/>
      <c r="J19" s="130"/>
      <c r="K19" s="131"/>
    </row>
    <row r="20" spans="1:11" ht="18" customHeight="1">
      <c r="A20" s="132" t="s">
        <v>9</v>
      </c>
      <c r="B20" s="127" t="s">
        <v>198</v>
      </c>
      <c r="C20" s="128">
        <v>38.229999999999997</v>
      </c>
      <c r="D20" s="128">
        <v>64</v>
      </c>
      <c r="E20" s="129">
        <f>C20/D20</f>
        <v>0.59734374999999995</v>
      </c>
      <c r="F20" s="127"/>
      <c r="G20" s="129">
        <v>87.62</v>
      </c>
      <c r="H20" s="129">
        <v>96.87</v>
      </c>
      <c r="I20" s="130">
        <f>G20/H20</f>
        <v>0.90451120057809431</v>
      </c>
      <c r="J20" s="130"/>
      <c r="K20" s="131"/>
    </row>
    <row r="21" spans="1:11" ht="18" customHeight="1">
      <c r="A21" s="9" t="s">
        <v>6</v>
      </c>
      <c r="B21" s="4"/>
      <c r="C21" s="77"/>
      <c r="D21" s="77"/>
      <c r="E21" s="12"/>
      <c r="F21" s="4"/>
      <c r="G21" s="12"/>
      <c r="H21" s="12"/>
      <c r="I21" s="52"/>
      <c r="J21" s="52"/>
      <c r="K21" s="103"/>
    </row>
    <row r="22" spans="1:11" ht="18" customHeight="1">
      <c r="A22" s="1" t="s">
        <v>7</v>
      </c>
      <c r="B22" s="4" t="s">
        <v>205</v>
      </c>
      <c r="C22" s="77">
        <v>37.01</v>
      </c>
      <c r="D22" s="77">
        <v>59</v>
      </c>
      <c r="E22" s="12">
        <f>C22/D22</f>
        <v>0.62728813559322028</v>
      </c>
      <c r="F22" s="4">
        <v>3699</v>
      </c>
      <c r="G22" s="12"/>
      <c r="H22" s="12"/>
      <c r="I22" s="52"/>
      <c r="J22" s="52"/>
      <c r="K22" s="103"/>
    </row>
    <row r="23" spans="1:11" ht="18" customHeight="1">
      <c r="A23" s="1" t="s">
        <v>7</v>
      </c>
      <c r="B23" s="4" t="s">
        <v>206</v>
      </c>
      <c r="C23" s="77"/>
      <c r="D23" s="77"/>
      <c r="E23" s="12"/>
      <c r="F23" s="4"/>
      <c r="G23" s="12">
        <v>68.34</v>
      </c>
      <c r="H23" s="12">
        <v>105.64</v>
      </c>
      <c r="I23" s="52">
        <f>G23/H23</f>
        <v>0.64691404770920113</v>
      </c>
      <c r="J23" s="52"/>
      <c r="K23" s="103"/>
    </row>
    <row r="24" spans="1:11" ht="18" customHeight="1">
      <c r="A24" s="138" t="s">
        <v>7</v>
      </c>
      <c r="B24" s="134" t="s">
        <v>207</v>
      </c>
      <c r="C24" s="135"/>
      <c r="D24" s="135"/>
      <c r="E24" s="136"/>
      <c r="F24" s="134"/>
      <c r="G24" s="136"/>
      <c r="H24" s="136"/>
      <c r="I24" s="33"/>
      <c r="J24" s="33">
        <f>59.81/51.83</f>
        <v>1.1539648852016207</v>
      </c>
      <c r="K24" s="165"/>
    </row>
    <row r="25" spans="1:11" ht="18" customHeight="1">
      <c r="A25" s="126" t="s">
        <v>201</v>
      </c>
      <c r="B25" s="127"/>
      <c r="C25" s="128"/>
      <c r="D25" s="128"/>
      <c r="E25" s="129"/>
      <c r="F25" s="127"/>
      <c r="G25" s="129"/>
      <c r="H25" s="129"/>
      <c r="I25" s="130"/>
      <c r="J25" s="130"/>
      <c r="K25" s="131"/>
    </row>
    <row r="26" spans="1:11" ht="18" customHeight="1">
      <c r="A26" s="132" t="s">
        <v>9</v>
      </c>
      <c r="B26" s="127" t="s">
        <v>202</v>
      </c>
      <c r="C26" s="128"/>
      <c r="D26" s="128"/>
      <c r="E26" s="129"/>
      <c r="F26" s="127"/>
      <c r="G26" s="129">
        <v>46.96</v>
      </c>
      <c r="H26" s="129">
        <v>70.47</v>
      </c>
      <c r="I26" s="130">
        <f>G26/H26</f>
        <v>0.66638285795373919</v>
      </c>
      <c r="J26" s="130"/>
      <c r="K26" s="131"/>
    </row>
    <row r="27" spans="1:11" ht="18" customHeight="1">
      <c r="A27" s="133" t="s">
        <v>204</v>
      </c>
      <c r="B27" s="134"/>
      <c r="C27" s="135"/>
      <c r="D27" s="135"/>
      <c r="E27" s="136"/>
      <c r="F27" s="134"/>
      <c r="G27" s="136"/>
      <c r="H27" s="136"/>
      <c r="I27" s="33"/>
      <c r="J27" s="33"/>
      <c r="K27" s="137"/>
    </row>
    <row r="28" spans="1:11" ht="18" customHeight="1">
      <c r="A28" s="138" t="s">
        <v>16</v>
      </c>
      <c r="B28" s="134" t="s">
        <v>203</v>
      </c>
      <c r="C28" s="135"/>
      <c r="D28" s="135"/>
      <c r="E28" s="136"/>
      <c r="F28" s="134"/>
      <c r="G28" s="136">
        <v>49.25</v>
      </c>
      <c r="H28" s="136">
        <v>86.47</v>
      </c>
      <c r="I28" s="33">
        <f>G28/H28</f>
        <v>0.56956169769862386</v>
      </c>
      <c r="J28" s="33"/>
      <c r="K28" s="137"/>
    </row>
    <row r="29" spans="1:11" ht="18" customHeight="1">
      <c r="A29" s="98" t="s">
        <v>50</v>
      </c>
      <c r="B29" s="19"/>
      <c r="C29" s="76"/>
      <c r="D29" s="76"/>
      <c r="E29" s="20"/>
      <c r="F29" s="19"/>
      <c r="G29" s="20"/>
      <c r="H29" s="20"/>
      <c r="I29" s="122"/>
      <c r="J29" s="122"/>
      <c r="K29" s="102"/>
    </row>
    <row r="30" spans="1:11" ht="18" customHeight="1">
      <c r="A30" s="99" t="s">
        <v>52</v>
      </c>
      <c r="B30" s="19" t="s">
        <v>199</v>
      </c>
      <c r="C30" s="76">
        <v>21</v>
      </c>
      <c r="D30" s="76">
        <v>28.9</v>
      </c>
      <c r="E30" s="20">
        <f t="shared" ref="E30:E49" si="3">C30/D30</f>
        <v>0.72664359861591699</v>
      </c>
      <c r="F30" s="19">
        <v>2402</v>
      </c>
      <c r="G30" s="20"/>
      <c r="H30" s="20"/>
      <c r="I30" s="122"/>
      <c r="J30" s="122"/>
      <c r="K30" s="102"/>
    </row>
    <row r="31" spans="1:11" ht="18" customHeight="1">
      <c r="A31" s="9" t="s">
        <v>55</v>
      </c>
      <c r="B31" s="4"/>
      <c r="C31" s="77"/>
      <c r="D31" s="77"/>
      <c r="E31" s="12"/>
      <c r="F31" s="4"/>
      <c r="G31" s="12"/>
      <c r="H31" s="12"/>
      <c r="I31" s="52"/>
      <c r="J31" s="52"/>
      <c r="K31" s="103"/>
    </row>
    <row r="32" spans="1:11" ht="18" customHeight="1">
      <c r="A32" s="1" t="s">
        <v>52</v>
      </c>
      <c r="B32" s="4" t="s">
        <v>200</v>
      </c>
      <c r="C32" s="77">
        <v>16</v>
      </c>
      <c r="D32" s="77">
        <v>37.840000000000003</v>
      </c>
      <c r="E32" s="12">
        <f t="shared" si="3"/>
        <v>0.42283298097251582</v>
      </c>
      <c r="F32" s="4"/>
      <c r="G32" s="12"/>
      <c r="H32" s="12"/>
      <c r="I32" s="52"/>
      <c r="J32" s="52"/>
      <c r="K32" s="103"/>
    </row>
    <row r="33" spans="1:11" ht="18" customHeight="1">
      <c r="A33" s="98" t="s">
        <v>69</v>
      </c>
      <c r="B33" s="19"/>
      <c r="C33" s="76"/>
      <c r="D33" s="76"/>
      <c r="E33" s="20"/>
      <c r="F33" s="19"/>
      <c r="G33" s="20"/>
      <c r="H33" s="20"/>
      <c r="I33" s="122"/>
      <c r="J33" s="122"/>
      <c r="K33" s="102"/>
    </row>
    <row r="34" spans="1:11" ht="18" customHeight="1">
      <c r="A34" s="99" t="s">
        <v>56</v>
      </c>
      <c r="B34" s="19" t="s">
        <v>369</v>
      </c>
      <c r="C34" s="76">
        <v>16</v>
      </c>
      <c r="D34" s="76">
        <v>29.25</v>
      </c>
      <c r="E34" s="20">
        <f t="shared" si="3"/>
        <v>0.54700854700854706</v>
      </c>
      <c r="F34" s="19">
        <v>750</v>
      </c>
      <c r="G34" s="20"/>
      <c r="H34" s="20"/>
      <c r="I34" s="122"/>
      <c r="J34" s="122"/>
      <c r="K34" s="102"/>
    </row>
    <row r="35" spans="1:11" ht="18" customHeight="1">
      <c r="A35" s="99" t="s">
        <v>56</v>
      </c>
      <c r="B35" s="19" t="s">
        <v>370</v>
      </c>
      <c r="C35" s="76">
        <v>19</v>
      </c>
      <c r="D35" s="76">
        <v>39.65</v>
      </c>
      <c r="E35" s="20">
        <f t="shared" si="3"/>
        <v>0.47919293820933168</v>
      </c>
      <c r="F35" s="19"/>
      <c r="G35" s="20"/>
      <c r="H35" s="20"/>
      <c r="I35" s="122"/>
      <c r="J35" s="122"/>
      <c r="K35" s="102"/>
    </row>
    <row r="36" spans="1:11" ht="18" customHeight="1">
      <c r="A36" s="99" t="s">
        <v>56</v>
      </c>
      <c r="B36" s="19" t="s">
        <v>371</v>
      </c>
      <c r="C36" s="76">
        <v>21</v>
      </c>
      <c r="D36" s="76">
        <v>48.9</v>
      </c>
      <c r="E36" s="20">
        <f t="shared" si="3"/>
        <v>0.42944785276073622</v>
      </c>
      <c r="F36" s="19"/>
      <c r="G36" s="20"/>
      <c r="H36" s="20"/>
      <c r="I36" s="122"/>
      <c r="J36" s="122"/>
      <c r="K36" s="102"/>
    </row>
    <row r="37" spans="1:11" ht="18" customHeight="1">
      <c r="A37" s="99" t="s">
        <v>56</v>
      </c>
      <c r="B37" s="19" t="s">
        <v>372</v>
      </c>
      <c r="C37" s="76"/>
      <c r="D37" s="76"/>
      <c r="E37" s="20"/>
      <c r="F37" s="19">
        <v>799</v>
      </c>
      <c r="G37" s="20"/>
      <c r="H37" s="20"/>
      <c r="I37" s="122"/>
      <c r="J37" s="122"/>
      <c r="K37" s="102"/>
    </row>
    <row r="38" spans="1:11" ht="18" customHeight="1">
      <c r="A38" s="99" t="s">
        <v>56</v>
      </c>
      <c r="B38" s="19" t="s">
        <v>373</v>
      </c>
      <c r="C38" s="76"/>
      <c r="D38" s="76"/>
      <c r="E38" s="20"/>
      <c r="F38" s="19"/>
      <c r="G38" s="20">
        <v>46.24</v>
      </c>
      <c r="H38" s="20">
        <v>43.09</v>
      </c>
      <c r="I38" s="122">
        <f>G38/H38</f>
        <v>1.0731028080761198</v>
      </c>
      <c r="J38" s="122"/>
      <c r="K38" s="102"/>
    </row>
    <row r="39" spans="1:11" ht="18" customHeight="1">
      <c r="A39" s="99" t="s">
        <v>56</v>
      </c>
      <c r="B39" s="19" t="s">
        <v>374</v>
      </c>
      <c r="C39" s="76"/>
      <c r="D39" s="76"/>
      <c r="E39" s="20"/>
      <c r="F39" s="19"/>
      <c r="G39" s="20">
        <v>39.36</v>
      </c>
      <c r="H39" s="20">
        <v>32.520000000000003</v>
      </c>
      <c r="I39" s="122">
        <f>G39/H39</f>
        <v>1.210332103321033</v>
      </c>
      <c r="J39" s="122"/>
      <c r="K39" s="102"/>
    </row>
    <row r="40" spans="1:11" ht="18" customHeight="1">
      <c r="A40" s="132" t="s">
        <v>56</v>
      </c>
      <c r="B40" s="127" t="s">
        <v>375</v>
      </c>
      <c r="C40" s="128"/>
      <c r="D40" s="128"/>
      <c r="E40" s="129"/>
      <c r="F40" s="127"/>
      <c r="G40" s="129"/>
      <c r="H40" s="129"/>
      <c r="I40" s="130"/>
      <c r="J40" s="130">
        <f>32.84/26.93</f>
        <v>1.2194578536947644</v>
      </c>
      <c r="K40" s="131">
        <f>36.67/123.78</f>
        <v>0.29625141379867509</v>
      </c>
    </row>
    <row r="41" spans="1:11" ht="18" customHeight="1">
      <c r="A41" s="132" t="s">
        <v>56</v>
      </c>
      <c r="B41" s="127" t="s">
        <v>376</v>
      </c>
      <c r="C41" s="128"/>
      <c r="D41" s="128"/>
      <c r="E41" s="129"/>
      <c r="F41" s="127"/>
      <c r="G41" s="129"/>
      <c r="H41" s="129"/>
      <c r="I41" s="130"/>
      <c r="J41" s="130">
        <f>27/23.36</f>
        <v>1.1558219178082192</v>
      </c>
      <c r="K41" s="131">
        <f>38.26/121.63</f>
        <v>0.31456055249527254</v>
      </c>
    </row>
    <row r="42" spans="1:11" ht="18" customHeight="1">
      <c r="A42" s="9" t="s">
        <v>58</v>
      </c>
      <c r="B42" s="4"/>
      <c r="C42" s="77"/>
      <c r="D42" s="77"/>
      <c r="E42" s="12"/>
      <c r="F42" s="4"/>
      <c r="G42" s="12"/>
      <c r="H42" s="12"/>
      <c r="I42" s="52"/>
      <c r="J42" s="52"/>
      <c r="K42" s="103"/>
    </row>
    <row r="43" spans="1:11" ht="18" customHeight="1">
      <c r="A43" s="1" t="s">
        <v>59</v>
      </c>
      <c r="B43" s="4" t="s">
        <v>367</v>
      </c>
      <c r="C43" s="77">
        <v>10</v>
      </c>
      <c r="D43" s="77">
        <v>28.72</v>
      </c>
      <c r="E43" s="12">
        <f t="shared" si="3"/>
        <v>0.34818941504178275</v>
      </c>
      <c r="F43" s="4">
        <v>344</v>
      </c>
      <c r="G43" s="12"/>
      <c r="H43" s="12"/>
      <c r="I43" s="52"/>
      <c r="J43" s="52"/>
      <c r="K43" s="103"/>
    </row>
    <row r="44" spans="1:11" ht="18" customHeight="1">
      <c r="A44" s="1" t="s">
        <v>59</v>
      </c>
      <c r="B44" s="4" t="s">
        <v>368</v>
      </c>
      <c r="C44" s="77"/>
      <c r="D44" s="77"/>
      <c r="E44" s="12"/>
      <c r="F44" s="12"/>
      <c r="G44" s="12">
        <v>27.32</v>
      </c>
      <c r="H44" s="12">
        <v>26.56</v>
      </c>
      <c r="I44" s="52">
        <f>G44/H44</f>
        <v>1.0286144578313254</v>
      </c>
      <c r="J44" s="52"/>
      <c r="K44" s="103"/>
    </row>
    <row r="45" spans="1:11" ht="18" customHeight="1">
      <c r="A45" s="98" t="s">
        <v>62</v>
      </c>
      <c r="B45" s="19" t="s">
        <v>91</v>
      </c>
      <c r="C45" s="76"/>
      <c r="D45" s="76"/>
      <c r="E45" s="20"/>
      <c r="F45" s="19"/>
      <c r="G45" s="20"/>
      <c r="H45" s="20"/>
      <c r="I45" s="122"/>
      <c r="J45" s="122"/>
      <c r="K45" s="102"/>
    </row>
    <row r="46" spans="1:11" ht="18" customHeight="1">
      <c r="A46" s="99" t="s">
        <v>63</v>
      </c>
      <c r="B46" s="19" t="s">
        <v>365</v>
      </c>
      <c r="C46" s="76">
        <v>8</v>
      </c>
      <c r="D46" s="76">
        <v>17.809999999999999</v>
      </c>
      <c r="E46" s="20">
        <f t="shared" si="3"/>
        <v>0.44918585064570471</v>
      </c>
      <c r="F46" s="19"/>
      <c r="G46" s="20"/>
      <c r="H46" s="20"/>
      <c r="I46" s="122"/>
      <c r="J46" s="122"/>
      <c r="K46" s="102"/>
    </row>
    <row r="47" spans="1:11" ht="18" customHeight="1">
      <c r="A47" s="99" t="s">
        <v>63</v>
      </c>
      <c r="B47" s="19" t="s">
        <v>366</v>
      </c>
      <c r="C47" s="76"/>
      <c r="D47" s="76"/>
      <c r="E47" s="20"/>
      <c r="F47" s="19"/>
      <c r="G47" s="19">
        <v>18.27</v>
      </c>
      <c r="H47" s="20">
        <v>20.78</v>
      </c>
      <c r="I47" s="122">
        <f>G47/H47</f>
        <v>0.8792107795957651</v>
      </c>
      <c r="J47" s="122"/>
      <c r="K47" s="102"/>
    </row>
    <row r="48" spans="1:11" ht="18" customHeight="1">
      <c r="A48" s="9" t="s">
        <v>64</v>
      </c>
      <c r="B48" s="4"/>
      <c r="C48" s="77"/>
      <c r="D48" s="77"/>
      <c r="E48" s="12"/>
      <c r="F48" s="4"/>
      <c r="G48" s="12"/>
      <c r="H48" s="12"/>
      <c r="I48" s="52"/>
      <c r="J48" s="52"/>
      <c r="K48" s="103"/>
    </row>
    <row r="49" spans="1:11" ht="18" customHeight="1">
      <c r="A49" s="1" t="s">
        <v>59</v>
      </c>
      <c r="B49" s="4" t="s">
        <v>378</v>
      </c>
      <c r="C49" s="77">
        <v>7</v>
      </c>
      <c r="D49" s="77">
        <v>13.2</v>
      </c>
      <c r="E49" s="12">
        <f t="shared" si="3"/>
        <v>0.53030303030303028</v>
      </c>
      <c r="F49" s="4"/>
      <c r="G49" s="12"/>
      <c r="H49" s="12"/>
      <c r="I49" s="52"/>
      <c r="J49" s="52"/>
      <c r="K49" s="103"/>
    </row>
    <row r="50" spans="1:11" ht="18" customHeight="1">
      <c r="A50" s="1" t="s">
        <v>59</v>
      </c>
      <c r="B50" s="4" t="s">
        <v>364</v>
      </c>
      <c r="C50" s="77"/>
      <c r="D50" s="77"/>
      <c r="E50" s="12"/>
      <c r="F50" s="4"/>
      <c r="G50" s="12">
        <v>16.27</v>
      </c>
      <c r="H50" s="12">
        <v>21.7</v>
      </c>
      <c r="I50" s="52">
        <f>G50/H50</f>
        <v>0.74976958525345627</v>
      </c>
      <c r="J50" s="52"/>
      <c r="K50" s="103"/>
    </row>
    <row r="51" spans="1:11" ht="18" customHeight="1">
      <c r="A51" s="141" t="s">
        <v>88</v>
      </c>
      <c r="B51" s="142"/>
      <c r="C51" s="143"/>
      <c r="D51" s="143"/>
      <c r="E51" s="144"/>
      <c r="F51" s="142"/>
      <c r="G51" s="144"/>
      <c r="H51" s="144"/>
      <c r="I51" s="122"/>
      <c r="J51" s="122"/>
      <c r="K51" s="102"/>
    </row>
    <row r="52" spans="1:11" ht="18" customHeight="1">
      <c r="A52" s="145" t="s">
        <v>51</v>
      </c>
      <c r="B52" s="146" t="s">
        <v>358</v>
      </c>
      <c r="C52" s="147">
        <v>40</v>
      </c>
      <c r="D52" s="147">
        <v>57.5</v>
      </c>
      <c r="E52" s="20">
        <f>C52/D52</f>
        <v>0.69565217391304346</v>
      </c>
      <c r="F52" s="19">
        <v>1545</v>
      </c>
      <c r="G52" s="20"/>
      <c r="H52" s="20"/>
      <c r="I52" s="122"/>
      <c r="J52" s="122"/>
      <c r="K52" s="102"/>
    </row>
    <row r="53" spans="1:11" ht="18" customHeight="1">
      <c r="A53" s="145" t="s">
        <v>51</v>
      </c>
      <c r="B53" s="19" t="s">
        <v>359</v>
      </c>
      <c r="C53" s="76">
        <v>36.18</v>
      </c>
      <c r="D53" s="76">
        <v>68.11</v>
      </c>
      <c r="E53" s="20">
        <f>C53/D53</f>
        <v>0.5311995301717809</v>
      </c>
      <c r="F53" s="148"/>
      <c r="G53" s="149"/>
      <c r="H53" s="149"/>
      <c r="I53" s="122"/>
      <c r="J53" s="122"/>
      <c r="K53" s="102"/>
    </row>
    <row r="54" spans="1:11" ht="18" customHeight="1">
      <c r="A54" s="145" t="s">
        <v>49</v>
      </c>
      <c r="B54" s="19" t="s">
        <v>360</v>
      </c>
      <c r="C54" s="76">
        <v>34.6</v>
      </c>
      <c r="D54" s="76">
        <v>56.67</v>
      </c>
      <c r="E54" s="20">
        <f>C54/D54</f>
        <v>0.61055232045173813</v>
      </c>
      <c r="F54" s="148"/>
      <c r="G54" s="149"/>
      <c r="H54" s="149"/>
      <c r="I54" s="122"/>
      <c r="J54" s="122"/>
      <c r="K54" s="102"/>
    </row>
    <row r="55" spans="1:11" ht="18" customHeight="1">
      <c r="A55" s="145" t="s">
        <v>68</v>
      </c>
      <c r="B55" s="19" t="s">
        <v>361</v>
      </c>
      <c r="C55" s="76">
        <v>26</v>
      </c>
      <c r="D55" s="76">
        <v>53.94</v>
      </c>
      <c r="E55" s="20">
        <f>C55/D55</f>
        <v>0.48201705598813499</v>
      </c>
      <c r="F55" s="148"/>
      <c r="G55" s="149"/>
      <c r="H55" s="149"/>
      <c r="I55" s="122"/>
      <c r="J55" s="122"/>
      <c r="K55" s="102"/>
    </row>
    <row r="56" spans="1:11" ht="18" customHeight="1">
      <c r="A56" s="145" t="s">
        <v>8</v>
      </c>
      <c r="B56" s="19" t="s">
        <v>362</v>
      </c>
      <c r="C56" s="76"/>
      <c r="D56" s="76"/>
      <c r="E56" s="20"/>
      <c r="F56" s="148"/>
      <c r="G56" s="20">
        <v>86</v>
      </c>
      <c r="H56" s="20">
        <v>65</v>
      </c>
      <c r="I56" s="122">
        <f>G56/H56</f>
        <v>1.323076923076923</v>
      </c>
      <c r="J56" s="122"/>
      <c r="K56" s="102"/>
    </row>
    <row r="57" spans="1:11" ht="18" customHeight="1" thickBot="1">
      <c r="A57" s="166" t="s">
        <v>8</v>
      </c>
      <c r="B57" s="167" t="s">
        <v>363</v>
      </c>
      <c r="C57" s="168"/>
      <c r="D57" s="168"/>
      <c r="E57" s="169"/>
      <c r="F57" s="170"/>
      <c r="G57" s="169"/>
      <c r="H57" s="169"/>
      <c r="I57" s="171"/>
      <c r="J57" s="171">
        <f>70.89/97.77</f>
        <v>0.72506903958269409</v>
      </c>
      <c r="K57" s="172">
        <f>78.11/386.49</f>
        <v>0.20210095992134336</v>
      </c>
    </row>
    <row r="58" spans="1:11" ht="18" customHeight="1">
      <c r="A58" s="8" t="s">
        <v>11</v>
      </c>
      <c r="B58" s="10"/>
      <c r="C58" s="78"/>
      <c r="D58" s="78"/>
      <c r="E58" s="14"/>
      <c r="F58" s="10"/>
      <c r="G58" s="14"/>
      <c r="H58" s="14"/>
      <c r="I58" s="47"/>
      <c r="J58" s="24"/>
      <c r="K58" s="121"/>
    </row>
    <row r="59" spans="1:11" ht="18" customHeight="1">
      <c r="A59" s="16" t="s">
        <v>95</v>
      </c>
      <c r="B59" s="123"/>
      <c r="C59" s="124"/>
      <c r="D59" s="124"/>
      <c r="E59" s="125"/>
      <c r="F59" s="123"/>
      <c r="G59" s="125"/>
      <c r="H59" s="125"/>
      <c r="I59" s="52"/>
      <c r="J59" s="30"/>
      <c r="K59" s="101"/>
    </row>
    <row r="60" spans="1:11" ht="18" customHeight="1">
      <c r="A60" s="5" t="s">
        <v>100</v>
      </c>
      <c r="B60" s="4" t="s">
        <v>356</v>
      </c>
      <c r="C60" s="77"/>
      <c r="D60" s="77"/>
      <c r="E60" s="12"/>
      <c r="F60" s="4"/>
      <c r="G60" s="12">
        <v>33.19</v>
      </c>
      <c r="H60" s="12">
        <v>40.75</v>
      </c>
      <c r="I60" s="52">
        <f>G60/H60</f>
        <v>0.81447852760736195</v>
      </c>
      <c r="J60" s="30"/>
      <c r="K60" s="101"/>
    </row>
    <row r="61" spans="1:11" ht="18" customHeight="1">
      <c r="A61" s="5" t="s">
        <v>98</v>
      </c>
      <c r="B61" s="4" t="s">
        <v>357</v>
      </c>
      <c r="C61" s="77"/>
      <c r="D61" s="77"/>
      <c r="E61" s="12"/>
      <c r="F61" s="4"/>
      <c r="G61" s="12">
        <v>32.880000000000003</v>
      </c>
      <c r="H61" s="12">
        <v>45.16</v>
      </c>
      <c r="I61" s="52">
        <f>G61/H61</f>
        <v>0.72807794508414536</v>
      </c>
      <c r="J61" s="30"/>
      <c r="K61" s="101"/>
    </row>
    <row r="62" spans="1:11" ht="18" customHeight="1">
      <c r="A62" s="72" t="s">
        <v>86</v>
      </c>
      <c r="B62" s="73"/>
      <c r="C62" s="79"/>
      <c r="D62" s="79"/>
      <c r="E62" s="105"/>
      <c r="F62" s="73"/>
      <c r="G62" s="105"/>
      <c r="H62" s="105"/>
      <c r="I62" s="122"/>
      <c r="J62" s="122"/>
      <c r="K62" s="102"/>
    </row>
    <row r="63" spans="1:11" ht="18" customHeight="1">
      <c r="A63" s="21" t="s">
        <v>8</v>
      </c>
      <c r="B63" s="19" t="s">
        <v>298</v>
      </c>
      <c r="C63" s="76">
        <v>25.8</v>
      </c>
      <c r="D63" s="76">
        <v>39.5</v>
      </c>
      <c r="E63" s="20">
        <f>C63/D63</f>
        <v>0.65316455696202536</v>
      </c>
      <c r="F63" s="19">
        <v>750</v>
      </c>
      <c r="G63" s="20"/>
      <c r="H63" s="20"/>
      <c r="I63" s="122"/>
      <c r="J63" s="122"/>
      <c r="K63" s="102"/>
    </row>
    <row r="64" spans="1:11" ht="18" customHeight="1">
      <c r="A64" s="21" t="s">
        <v>8</v>
      </c>
      <c r="B64" s="19" t="s">
        <v>299</v>
      </c>
      <c r="C64" s="76">
        <v>27.31</v>
      </c>
      <c r="D64" s="76">
        <v>38.56</v>
      </c>
      <c r="E64" s="20">
        <f>C64/D64</f>
        <v>0.70824688796680491</v>
      </c>
      <c r="F64" s="76">
        <v>759.12</v>
      </c>
      <c r="G64" s="20"/>
      <c r="H64" s="20"/>
      <c r="I64" s="122"/>
      <c r="J64" s="122"/>
      <c r="K64" s="102"/>
    </row>
    <row r="65" spans="1:11" ht="18" customHeight="1">
      <c r="A65" s="21" t="s">
        <v>8</v>
      </c>
      <c r="B65" s="19" t="s">
        <v>300</v>
      </c>
      <c r="C65" s="76">
        <v>25.85</v>
      </c>
      <c r="D65" s="76">
        <v>39.51</v>
      </c>
      <c r="E65" s="20">
        <f>C65/D65</f>
        <v>0.65426474310301197</v>
      </c>
      <c r="F65" s="19">
        <v>987</v>
      </c>
      <c r="G65" s="20"/>
      <c r="H65" s="20"/>
      <c r="I65" s="122"/>
      <c r="J65" s="122"/>
      <c r="K65" s="102"/>
    </row>
    <row r="66" spans="1:11" ht="18" customHeight="1">
      <c r="A66" s="21" t="s">
        <v>8</v>
      </c>
      <c r="B66" s="19" t="s">
        <v>301</v>
      </c>
      <c r="C66" s="76">
        <v>28.28</v>
      </c>
      <c r="D66" s="76">
        <v>46.28</v>
      </c>
      <c r="E66" s="20">
        <f t="shared" ref="E66" si="4">C66/D66</f>
        <v>0.61106309420916161</v>
      </c>
      <c r="F66" s="19">
        <v>1029</v>
      </c>
      <c r="G66" s="20"/>
      <c r="H66" s="20"/>
      <c r="I66" s="122"/>
      <c r="J66" s="122"/>
      <c r="K66" s="102"/>
    </row>
    <row r="67" spans="1:11" ht="18" customHeight="1">
      <c r="A67" s="21" t="s">
        <v>8</v>
      </c>
      <c r="B67" s="19" t="s">
        <v>302</v>
      </c>
      <c r="C67" s="76"/>
      <c r="D67" s="76"/>
      <c r="E67" s="20"/>
      <c r="F67" s="19">
        <v>1609</v>
      </c>
      <c r="G67" s="20"/>
      <c r="H67" s="20"/>
      <c r="I67" s="122"/>
      <c r="J67" s="122"/>
      <c r="K67" s="102"/>
    </row>
    <row r="68" spans="1:11" ht="18" customHeight="1">
      <c r="A68" s="21" t="s">
        <v>8</v>
      </c>
      <c r="B68" s="19" t="s">
        <v>303</v>
      </c>
      <c r="C68" s="76"/>
      <c r="D68" s="76"/>
      <c r="E68" s="20"/>
      <c r="F68" s="19"/>
      <c r="G68" s="20">
        <v>54.2</v>
      </c>
      <c r="H68" s="20">
        <v>51.7</v>
      </c>
      <c r="I68" s="122">
        <f>G68/H68</f>
        <v>1.0483558994197293</v>
      </c>
      <c r="J68" s="122"/>
      <c r="K68" s="102"/>
    </row>
    <row r="69" spans="1:11" ht="18" customHeight="1">
      <c r="A69" s="21" t="s">
        <v>8</v>
      </c>
      <c r="B69" s="19" t="s">
        <v>304</v>
      </c>
      <c r="C69" s="76"/>
      <c r="D69" s="76"/>
      <c r="E69" s="20"/>
      <c r="F69" s="19"/>
      <c r="G69" s="20">
        <v>56.1</v>
      </c>
      <c r="H69" s="20">
        <v>59</v>
      </c>
      <c r="I69" s="122">
        <f t="shared" ref="I69:I74" si="5">G69/H69</f>
        <v>0.95084745762711864</v>
      </c>
      <c r="J69" s="122"/>
      <c r="K69" s="102"/>
    </row>
    <row r="70" spans="1:11" ht="18" customHeight="1">
      <c r="A70" s="21" t="s">
        <v>8</v>
      </c>
      <c r="B70" s="19" t="s">
        <v>305</v>
      </c>
      <c r="C70" s="76"/>
      <c r="D70" s="76"/>
      <c r="E70" s="20"/>
      <c r="F70" s="19"/>
      <c r="G70" s="20">
        <v>53</v>
      </c>
      <c r="H70" s="20">
        <v>51.7</v>
      </c>
      <c r="I70" s="122">
        <f t="shared" si="5"/>
        <v>1.0251450676982592</v>
      </c>
      <c r="J70" s="122"/>
      <c r="K70" s="102"/>
    </row>
    <row r="71" spans="1:11" ht="18" customHeight="1">
      <c r="A71" s="21" t="s">
        <v>8</v>
      </c>
      <c r="B71" s="19" t="s">
        <v>306</v>
      </c>
      <c r="C71" s="76"/>
      <c r="D71" s="76"/>
      <c r="E71" s="20"/>
      <c r="F71" s="19"/>
      <c r="G71" s="20">
        <v>56.6</v>
      </c>
      <c r="H71" s="20">
        <v>57</v>
      </c>
      <c r="I71" s="122">
        <f t="shared" si="5"/>
        <v>0.99298245614035086</v>
      </c>
      <c r="J71" s="122"/>
      <c r="K71" s="102"/>
    </row>
    <row r="72" spans="1:11" ht="18" customHeight="1">
      <c r="A72" s="21" t="s">
        <v>8</v>
      </c>
      <c r="B72" s="19" t="s">
        <v>307</v>
      </c>
      <c r="C72" s="76"/>
      <c r="D72" s="76"/>
      <c r="E72" s="20"/>
      <c r="F72" s="19"/>
      <c r="G72" s="20">
        <v>60.6</v>
      </c>
      <c r="H72" s="20">
        <v>54.7</v>
      </c>
      <c r="I72" s="122">
        <f t="shared" si="5"/>
        <v>1.1078610603290675</v>
      </c>
      <c r="J72" s="122"/>
      <c r="K72" s="102"/>
    </row>
    <row r="73" spans="1:11" ht="18" customHeight="1">
      <c r="A73" s="21" t="s">
        <v>8</v>
      </c>
      <c r="B73" s="19" t="s">
        <v>308</v>
      </c>
      <c r="C73" s="76"/>
      <c r="D73" s="76"/>
      <c r="E73" s="20"/>
      <c r="F73" s="19"/>
      <c r="G73" s="20">
        <v>61.3</v>
      </c>
      <c r="H73" s="20">
        <v>49.4</v>
      </c>
      <c r="I73" s="122">
        <f t="shared" si="5"/>
        <v>1.2408906882591093</v>
      </c>
      <c r="J73" s="122"/>
      <c r="K73" s="102"/>
    </row>
    <row r="74" spans="1:11" ht="18" customHeight="1">
      <c r="A74" s="21" t="s">
        <v>8</v>
      </c>
      <c r="B74" s="19" t="s">
        <v>309</v>
      </c>
      <c r="C74" s="76"/>
      <c r="D74" s="76"/>
      <c r="E74" s="20"/>
      <c r="F74" s="19"/>
      <c r="G74" s="20">
        <v>61.6</v>
      </c>
      <c r="H74" s="20">
        <v>48.5</v>
      </c>
      <c r="I74" s="122">
        <f t="shared" si="5"/>
        <v>1.2701030927835051</v>
      </c>
      <c r="J74" s="122"/>
      <c r="K74" s="102"/>
    </row>
    <row r="75" spans="1:11" ht="18" customHeight="1">
      <c r="A75" s="164" t="s">
        <v>8</v>
      </c>
      <c r="B75" s="127" t="s">
        <v>267</v>
      </c>
      <c r="C75" s="128"/>
      <c r="D75" s="128"/>
      <c r="E75" s="129"/>
      <c r="F75" s="127"/>
      <c r="G75" s="129"/>
      <c r="H75" s="129"/>
      <c r="I75" s="130"/>
      <c r="J75" s="130">
        <f>65.93/60.52</f>
        <v>1.089391936549901</v>
      </c>
      <c r="K75" s="131">
        <f>44.53/403.77</f>
        <v>0.11028555861009982</v>
      </c>
    </row>
    <row r="76" spans="1:11" ht="18" customHeight="1" thickBot="1">
      <c r="A76" s="173" t="s">
        <v>8</v>
      </c>
      <c r="B76" s="167" t="s">
        <v>268</v>
      </c>
      <c r="C76" s="168"/>
      <c r="D76" s="168"/>
      <c r="E76" s="169"/>
      <c r="F76" s="167"/>
      <c r="G76" s="169"/>
      <c r="H76" s="169"/>
      <c r="I76" s="171"/>
      <c r="J76" s="171">
        <f>66.63/58.15</f>
        <v>1.1458297506448838</v>
      </c>
      <c r="K76" s="172">
        <f>44.32/(442.5-44.32)</f>
        <v>0.11130644432166356</v>
      </c>
    </row>
    <row r="77" spans="1:11" ht="18" customHeight="1">
      <c r="A77" s="8" t="s">
        <v>12</v>
      </c>
      <c r="B77" s="10"/>
      <c r="C77" s="78"/>
      <c r="D77" s="78"/>
      <c r="E77" s="14"/>
      <c r="F77" s="10"/>
      <c r="G77" s="14"/>
      <c r="H77" s="14"/>
      <c r="I77" s="47"/>
      <c r="J77" s="24"/>
      <c r="K77" s="121"/>
    </row>
    <row r="78" spans="1:11" ht="18" customHeight="1">
      <c r="A78" s="16" t="s">
        <v>23</v>
      </c>
      <c r="B78" s="4"/>
      <c r="C78" s="77"/>
      <c r="D78" s="77"/>
      <c r="E78" s="12"/>
      <c r="F78" s="4"/>
      <c r="G78" s="12"/>
      <c r="H78" s="12"/>
      <c r="I78" s="52"/>
      <c r="J78" s="30"/>
      <c r="K78" s="101"/>
    </row>
    <row r="79" spans="1:11" ht="18" customHeight="1">
      <c r="A79" s="5" t="s">
        <v>24</v>
      </c>
      <c r="B79" s="4" t="s">
        <v>341</v>
      </c>
      <c r="C79" s="77">
        <v>43</v>
      </c>
      <c r="D79" s="77">
        <v>104.67</v>
      </c>
      <c r="E79" s="12">
        <f>C79/D79</f>
        <v>0.41081494219929299</v>
      </c>
      <c r="F79" s="4"/>
      <c r="G79" s="12"/>
      <c r="H79" s="12"/>
      <c r="I79" s="52"/>
      <c r="J79" s="30"/>
      <c r="K79" s="101"/>
    </row>
    <row r="80" spans="1:11" ht="18" customHeight="1">
      <c r="A80" s="5" t="s">
        <v>25</v>
      </c>
      <c r="B80" s="4" t="s">
        <v>342</v>
      </c>
      <c r="C80" s="77">
        <v>48.93</v>
      </c>
      <c r="D80" s="77">
        <v>125.46</v>
      </c>
      <c r="E80" s="12">
        <f t="shared" ref="E80:E142" si="6">C80/D80</f>
        <v>0.39000478240076519</v>
      </c>
      <c r="F80" s="4"/>
      <c r="G80" s="12"/>
      <c r="H80" s="12"/>
      <c r="I80" s="52"/>
      <c r="J80" s="30"/>
      <c r="K80" s="101"/>
    </row>
    <row r="81" spans="1:11" ht="18" customHeight="1">
      <c r="A81" s="5" t="s">
        <v>98</v>
      </c>
      <c r="B81" s="4" t="s">
        <v>339</v>
      </c>
      <c r="C81" s="77"/>
      <c r="D81" s="77"/>
      <c r="E81" s="12"/>
      <c r="F81" s="4"/>
      <c r="G81" s="12">
        <v>44.01</v>
      </c>
      <c r="H81" s="12">
        <v>58.95</v>
      </c>
      <c r="I81" s="52">
        <f>G81/H81</f>
        <v>0.74656488549618316</v>
      </c>
      <c r="J81" s="30"/>
      <c r="K81" s="101"/>
    </row>
    <row r="82" spans="1:11" ht="18" customHeight="1">
      <c r="A82" s="5" t="s">
        <v>97</v>
      </c>
      <c r="B82" s="4" t="s">
        <v>340</v>
      </c>
      <c r="C82" s="77"/>
      <c r="D82" s="77"/>
      <c r="E82" s="12"/>
      <c r="F82" s="4"/>
      <c r="G82" s="12">
        <v>19.23</v>
      </c>
      <c r="H82" s="12">
        <v>38.799999999999997</v>
      </c>
      <c r="I82" s="52">
        <f>G82/H82</f>
        <v>0.495618556701031</v>
      </c>
      <c r="J82" s="30"/>
      <c r="K82" s="101"/>
    </row>
    <row r="83" spans="1:11" ht="18" customHeight="1">
      <c r="A83" s="22" t="s">
        <v>99</v>
      </c>
      <c r="B83" s="19"/>
      <c r="C83" s="76"/>
      <c r="D83" s="76"/>
      <c r="E83" s="20"/>
      <c r="F83" s="19"/>
      <c r="G83" s="20"/>
      <c r="H83" s="20"/>
      <c r="I83" s="122"/>
      <c r="J83" s="122"/>
      <c r="K83" s="102"/>
    </row>
    <row r="84" spans="1:11" ht="18" customHeight="1">
      <c r="A84" s="21" t="s">
        <v>92</v>
      </c>
      <c r="B84" s="19" t="s">
        <v>338</v>
      </c>
      <c r="C84" s="76"/>
      <c r="D84" s="76"/>
      <c r="E84" s="20"/>
      <c r="F84" s="19"/>
      <c r="G84" s="20">
        <v>68.02</v>
      </c>
      <c r="H84" s="20">
        <v>142.18</v>
      </c>
      <c r="I84" s="122">
        <f>G84/H84</f>
        <v>0.47840765227176812</v>
      </c>
      <c r="J84" s="122"/>
      <c r="K84" s="102"/>
    </row>
    <row r="85" spans="1:11" ht="18" customHeight="1">
      <c r="A85" s="16" t="s">
        <v>96</v>
      </c>
      <c r="B85" s="4"/>
      <c r="C85" s="77"/>
      <c r="D85" s="77"/>
      <c r="E85" s="12"/>
      <c r="F85" s="4"/>
      <c r="G85" s="12"/>
      <c r="H85" s="12"/>
      <c r="I85" s="52"/>
      <c r="J85" s="30"/>
      <c r="K85" s="101"/>
    </row>
    <row r="86" spans="1:11" ht="18" customHeight="1">
      <c r="A86" s="5" t="s">
        <v>94</v>
      </c>
      <c r="B86" s="4" t="s">
        <v>336</v>
      </c>
      <c r="C86" s="77"/>
      <c r="D86" s="77"/>
      <c r="E86" s="12"/>
      <c r="F86" s="4"/>
      <c r="G86" s="12">
        <v>84</v>
      </c>
      <c r="H86" s="12">
        <v>160</v>
      </c>
      <c r="I86" s="52">
        <f>G86/H86</f>
        <v>0.52500000000000002</v>
      </c>
      <c r="J86" s="30"/>
      <c r="K86" s="101"/>
    </row>
    <row r="87" spans="1:11" ht="18" customHeight="1">
      <c r="A87" s="5" t="s">
        <v>94</v>
      </c>
      <c r="B87" s="4" t="s">
        <v>337</v>
      </c>
      <c r="C87" s="77"/>
      <c r="D87" s="77"/>
      <c r="E87" s="12"/>
      <c r="F87" s="4"/>
      <c r="G87" s="12">
        <v>98</v>
      </c>
      <c r="H87" s="12">
        <v>165</v>
      </c>
      <c r="I87" s="52">
        <f>G87/H87</f>
        <v>0.59393939393939399</v>
      </c>
      <c r="J87" s="30"/>
      <c r="K87" s="101"/>
    </row>
    <row r="88" spans="1:11" ht="18" customHeight="1">
      <c r="A88" s="22" t="s">
        <v>19</v>
      </c>
      <c r="B88" s="19"/>
      <c r="C88" s="76"/>
      <c r="D88" s="76"/>
      <c r="E88" s="20"/>
      <c r="F88" s="19"/>
      <c r="G88" s="20"/>
      <c r="H88" s="20"/>
      <c r="I88" s="122"/>
      <c r="J88" s="122"/>
      <c r="K88" s="102"/>
    </row>
    <row r="89" spans="1:11" ht="18" customHeight="1">
      <c r="A89" s="21" t="s">
        <v>101</v>
      </c>
      <c r="B89" s="19" t="s">
        <v>333</v>
      </c>
      <c r="C89" s="76">
        <v>83.97</v>
      </c>
      <c r="D89" s="76">
        <v>157.37</v>
      </c>
      <c r="E89" s="20">
        <f t="shared" si="6"/>
        <v>0.53358327508419645</v>
      </c>
      <c r="F89" s="19">
        <v>3149</v>
      </c>
      <c r="G89" s="20">
        <v>81.34</v>
      </c>
      <c r="H89" s="20">
        <v>132.74</v>
      </c>
      <c r="I89" s="122">
        <f>G89/H89</f>
        <v>0.61277685701371098</v>
      </c>
      <c r="J89" s="122"/>
      <c r="K89" s="102"/>
    </row>
    <row r="90" spans="1:11" ht="18" customHeight="1">
      <c r="A90" s="21" t="s">
        <v>101</v>
      </c>
      <c r="B90" s="19" t="s">
        <v>334</v>
      </c>
      <c r="C90" s="76"/>
      <c r="D90" s="76"/>
      <c r="E90" s="20"/>
      <c r="F90" s="19"/>
      <c r="G90" s="20">
        <v>92.49</v>
      </c>
      <c r="H90" s="20">
        <v>154.08000000000001</v>
      </c>
      <c r="I90" s="122">
        <f t="shared" ref="I90:I91" si="7">G90/H90</f>
        <v>0.60027258566978181</v>
      </c>
      <c r="J90" s="122"/>
      <c r="K90" s="102"/>
    </row>
    <row r="91" spans="1:11" ht="18" customHeight="1">
      <c r="A91" s="21" t="s">
        <v>101</v>
      </c>
      <c r="B91" s="19" t="s">
        <v>335</v>
      </c>
      <c r="C91" s="76"/>
      <c r="D91" s="76"/>
      <c r="E91" s="20"/>
      <c r="F91" s="19"/>
      <c r="G91" s="20">
        <v>61.05</v>
      </c>
      <c r="H91" s="20">
        <v>102.9</v>
      </c>
      <c r="I91" s="122">
        <f t="shared" si="7"/>
        <v>0.59329446064139935</v>
      </c>
      <c r="J91" s="122"/>
      <c r="K91" s="102"/>
    </row>
    <row r="92" spans="1:11" ht="18" customHeight="1">
      <c r="A92" s="16" t="s">
        <v>21</v>
      </c>
      <c r="B92" s="4"/>
      <c r="C92" s="77"/>
      <c r="D92" s="77"/>
      <c r="E92" s="12"/>
      <c r="F92" s="4"/>
      <c r="G92" s="12"/>
      <c r="H92" s="12"/>
      <c r="I92" s="52"/>
      <c r="J92" s="30"/>
      <c r="K92" s="101"/>
    </row>
    <row r="93" spans="1:11" ht="18" customHeight="1">
      <c r="A93" s="5" t="s">
        <v>20</v>
      </c>
      <c r="B93" s="4" t="s">
        <v>351</v>
      </c>
      <c r="C93" s="77">
        <v>80.17</v>
      </c>
      <c r="D93" s="77">
        <v>193.12</v>
      </c>
      <c r="E93" s="12">
        <f t="shared" si="6"/>
        <v>0.41513048881524439</v>
      </c>
      <c r="F93" s="4">
        <v>1462</v>
      </c>
      <c r="G93" s="12"/>
      <c r="H93" s="12"/>
      <c r="I93" s="52"/>
      <c r="J93" s="30"/>
      <c r="K93" s="101"/>
    </row>
    <row r="94" spans="1:11" ht="18" customHeight="1">
      <c r="A94" s="5" t="s">
        <v>20</v>
      </c>
      <c r="B94" s="4" t="s">
        <v>352</v>
      </c>
      <c r="C94" s="77">
        <v>73.569999999999993</v>
      </c>
      <c r="D94" s="77">
        <v>193.72</v>
      </c>
      <c r="E94" s="12">
        <f t="shared" si="6"/>
        <v>0.37977493289283498</v>
      </c>
      <c r="F94" s="4">
        <v>2315</v>
      </c>
      <c r="G94" s="12"/>
      <c r="H94" s="12"/>
      <c r="I94" s="52"/>
      <c r="J94" s="30"/>
      <c r="K94" s="101"/>
    </row>
    <row r="95" spans="1:11" ht="18" customHeight="1">
      <c r="A95" s="5" t="s">
        <v>20</v>
      </c>
      <c r="B95" s="4" t="s">
        <v>353</v>
      </c>
      <c r="C95" s="77">
        <v>84.29</v>
      </c>
      <c r="D95" s="77">
        <v>211.85</v>
      </c>
      <c r="E95" s="12">
        <f t="shared" si="6"/>
        <v>0.397875855558178</v>
      </c>
      <c r="F95" s="4">
        <v>2205</v>
      </c>
      <c r="G95" s="12"/>
      <c r="H95" s="12"/>
      <c r="I95" s="52"/>
      <c r="J95" s="30"/>
      <c r="K95" s="101"/>
    </row>
    <row r="96" spans="1:11" ht="18" customHeight="1">
      <c r="A96" s="5" t="s">
        <v>20</v>
      </c>
      <c r="B96" s="4" t="s">
        <v>354</v>
      </c>
      <c r="C96" s="77">
        <v>65.69</v>
      </c>
      <c r="D96" s="77">
        <v>147.68</v>
      </c>
      <c r="E96" s="12">
        <f t="shared" si="6"/>
        <v>0.44481310942578545</v>
      </c>
      <c r="F96" s="4">
        <v>2037</v>
      </c>
      <c r="G96" s="12"/>
      <c r="H96" s="12"/>
      <c r="I96" s="52"/>
      <c r="J96" s="30"/>
      <c r="K96" s="101"/>
    </row>
    <row r="97" spans="1:11" ht="18" customHeight="1">
      <c r="A97" s="5" t="s">
        <v>20</v>
      </c>
      <c r="B97" s="4" t="s">
        <v>355</v>
      </c>
      <c r="C97" s="77">
        <v>61.05</v>
      </c>
      <c r="D97" s="77">
        <v>175.43</v>
      </c>
      <c r="E97" s="12">
        <f t="shared" si="6"/>
        <v>0.34800205210055291</v>
      </c>
      <c r="F97" s="4">
        <v>1602</v>
      </c>
      <c r="G97" s="12"/>
      <c r="H97" s="12"/>
      <c r="I97" s="52"/>
      <c r="J97" s="30"/>
      <c r="K97" s="101"/>
    </row>
    <row r="98" spans="1:11" ht="18" customHeight="1">
      <c r="A98" s="5" t="s">
        <v>20</v>
      </c>
      <c r="B98" s="4" t="s">
        <v>348</v>
      </c>
      <c r="C98" s="77"/>
      <c r="D98" s="77"/>
      <c r="E98" s="12"/>
      <c r="F98" s="4"/>
      <c r="G98" s="12">
        <v>80.260000000000005</v>
      </c>
      <c r="H98" s="12">
        <v>117.81</v>
      </c>
      <c r="I98" s="52">
        <f>G98/H98</f>
        <v>0.68126644597232833</v>
      </c>
      <c r="J98" s="30"/>
      <c r="K98" s="101"/>
    </row>
    <row r="99" spans="1:11" ht="18" customHeight="1">
      <c r="A99" s="5" t="s">
        <v>20</v>
      </c>
      <c r="B99" s="4" t="s">
        <v>349</v>
      </c>
      <c r="C99" s="77"/>
      <c r="D99" s="77"/>
      <c r="E99" s="12"/>
      <c r="F99" s="4"/>
      <c r="G99" s="12">
        <v>42.26</v>
      </c>
      <c r="H99" s="12">
        <v>64.819999999999993</v>
      </c>
      <c r="I99" s="52">
        <f t="shared" ref="I99:I100" si="8">G99/H99</f>
        <v>0.65195927182968227</v>
      </c>
      <c r="J99" s="30"/>
      <c r="K99" s="101"/>
    </row>
    <row r="100" spans="1:11" ht="18" customHeight="1">
      <c r="A100" s="5" t="s">
        <v>20</v>
      </c>
      <c r="B100" s="4" t="s">
        <v>350</v>
      </c>
      <c r="C100" s="77"/>
      <c r="D100" s="77"/>
      <c r="E100" s="12"/>
      <c r="F100" s="4"/>
      <c r="G100" s="12">
        <v>40.26</v>
      </c>
      <c r="H100" s="12">
        <v>61.28</v>
      </c>
      <c r="I100" s="52">
        <f t="shared" si="8"/>
        <v>0.65698433420365532</v>
      </c>
      <c r="J100" s="30"/>
      <c r="K100" s="101"/>
    </row>
    <row r="101" spans="1:11" ht="18" customHeight="1">
      <c r="A101" s="151" t="s">
        <v>20</v>
      </c>
      <c r="B101" s="134" t="s">
        <v>332</v>
      </c>
      <c r="C101" s="135"/>
      <c r="D101" s="135"/>
      <c r="E101" s="136"/>
      <c r="F101" s="134"/>
      <c r="G101" s="136"/>
      <c r="H101" s="136"/>
      <c r="I101" s="33"/>
      <c r="J101" s="31">
        <f>89.38/124.26</f>
        <v>0.71929824561403499</v>
      </c>
      <c r="K101" s="174">
        <f>127.25/(387-127.25)</f>
        <v>0.4898941289701636</v>
      </c>
    </row>
    <row r="102" spans="1:11" ht="18" customHeight="1">
      <c r="A102" s="175" t="s">
        <v>343</v>
      </c>
      <c r="B102" s="127"/>
      <c r="C102" s="128"/>
      <c r="D102" s="128"/>
      <c r="E102" s="129"/>
      <c r="F102" s="127"/>
      <c r="G102" s="129"/>
      <c r="H102" s="129"/>
      <c r="I102" s="130"/>
      <c r="J102" s="130"/>
      <c r="K102" s="131"/>
    </row>
    <row r="103" spans="1:11" ht="18" customHeight="1">
      <c r="A103" s="164" t="s">
        <v>345</v>
      </c>
      <c r="B103" s="127" t="s">
        <v>344</v>
      </c>
      <c r="C103" s="128"/>
      <c r="D103" s="128"/>
      <c r="E103" s="129"/>
      <c r="F103" s="127"/>
      <c r="G103" s="129"/>
      <c r="H103" s="129"/>
      <c r="I103" s="130"/>
      <c r="J103" s="130">
        <f>77.52/108.16</f>
        <v>0.71671597633136097</v>
      </c>
      <c r="K103" s="131"/>
    </row>
    <row r="104" spans="1:11" ht="18" customHeight="1">
      <c r="A104" s="164" t="s">
        <v>347</v>
      </c>
      <c r="B104" s="127" t="s">
        <v>346</v>
      </c>
      <c r="C104" s="128"/>
      <c r="D104" s="128"/>
      <c r="E104" s="129"/>
      <c r="F104" s="127"/>
      <c r="G104" s="129"/>
      <c r="H104" s="129"/>
      <c r="I104" s="130"/>
      <c r="J104" s="130">
        <f>87.04/113.54</f>
        <v>0.76660207856262108</v>
      </c>
      <c r="K104" s="131">
        <f>102.44/(364.86-102.44)</f>
        <v>0.39036658791250661</v>
      </c>
    </row>
    <row r="105" spans="1:11" ht="18" customHeight="1">
      <c r="A105" s="176" t="s">
        <v>2</v>
      </c>
      <c r="B105" s="177"/>
      <c r="C105" s="178"/>
      <c r="D105" s="178"/>
      <c r="E105" s="12"/>
      <c r="F105" s="177"/>
      <c r="G105" s="179"/>
      <c r="H105" s="179"/>
      <c r="I105" s="52"/>
      <c r="J105" s="52"/>
      <c r="K105" s="103"/>
    </row>
    <row r="106" spans="1:11" ht="18" customHeight="1">
      <c r="A106" s="5" t="s">
        <v>8</v>
      </c>
      <c r="B106" s="4" t="s">
        <v>230</v>
      </c>
      <c r="C106" s="77">
        <v>75.180000000000007</v>
      </c>
      <c r="D106" s="77">
        <v>167.8</v>
      </c>
      <c r="E106" s="12">
        <f>C106/D106</f>
        <v>0.44803337306317043</v>
      </c>
      <c r="F106" s="4">
        <v>6160</v>
      </c>
      <c r="G106" s="12"/>
      <c r="H106" s="12"/>
      <c r="I106" s="52"/>
      <c r="J106" s="52"/>
      <c r="K106" s="103"/>
    </row>
    <row r="107" spans="1:11" ht="18" customHeight="1">
      <c r="A107" s="5" t="s">
        <v>8</v>
      </c>
      <c r="B107" s="4" t="s">
        <v>231</v>
      </c>
      <c r="C107" s="77">
        <v>58.28</v>
      </c>
      <c r="D107" s="77">
        <v>144.6</v>
      </c>
      <c r="E107" s="12">
        <f>C107/D107</f>
        <v>0.40304287690179808</v>
      </c>
      <c r="F107" s="4">
        <v>4092</v>
      </c>
      <c r="G107" s="12"/>
      <c r="H107" s="12"/>
      <c r="I107" s="52"/>
      <c r="J107" s="52"/>
      <c r="K107" s="103"/>
    </row>
    <row r="108" spans="1:11" ht="18" customHeight="1">
      <c r="A108" s="5" t="s">
        <v>8</v>
      </c>
      <c r="B108" s="4" t="s">
        <v>232</v>
      </c>
      <c r="C108" s="77">
        <v>70.08</v>
      </c>
      <c r="D108" s="77">
        <v>150.19999999999999</v>
      </c>
      <c r="E108" s="12">
        <f t="shared" si="6"/>
        <v>0.46657789613848205</v>
      </c>
      <c r="F108" s="4">
        <v>4425</v>
      </c>
      <c r="G108" s="12"/>
      <c r="H108" s="12"/>
      <c r="I108" s="52"/>
      <c r="J108" s="52"/>
      <c r="K108" s="103"/>
    </row>
    <row r="109" spans="1:11" ht="18" customHeight="1">
      <c r="A109" s="5" t="s">
        <v>8</v>
      </c>
      <c r="B109" s="4" t="s">
        <v>233</v>
      </c>
      <c r="C109" s="77"/>
      <c r="D109" s="77"/>
      <c r="E109" s="12"/>
      <c r="F109" s="4">
        <v>4106</v>
      </c>
      <c r="G109" s="12"/>
      <c r="H109" s="12"/>
      <c r="I109" s="52"/>
      <c r="J109" s="52"/>
      <c r="K109" s="103"/>
    </row>
    <row r="110" spans="1:11" ht="18" customHeight="1">
      <c r="A110" s="5" t="s">
        <v>8</v>
      </c>
      <c r="B110" s="4" t="s">
        <v>234</v>
      </c>
      <c r="C110" s="77">
        <v>52.74</v>
      </c>
      <c r="D110" s="77">
        <v>104.2</v>
      </c>
      <c r="E110" s="12">
        <f t="shared" si="6"/>
        <v>0.50614203454894435</v>
      </c>
      <c r="F110" s="4">
        <v>2447</v>
      </c>
      <c r="G110" s="12"/>
      <c r="H110" s="12"/>
      <c r="I110" s="52"/>
      <c r="J110" s="52"/>
      <c r="K110" s="103"/>
    </row>
    <row r="111" spans="1:11" ht="18" customHeight="1">
      <c r="A111" s="5" t="s">
        <v>8</v>
      </c>
      <c r="B111" s="4" t="s">
        <v>235</v>
      </c>
      <c r="C111" s="77">
        <v>56.18</v>
      </c>
      <c r="D111" s="77">
        <v>107.96</v>
      </c>
      <c r="E111" s="12">
        <f t="shared" si="6"/>
        <v>0.5203779177473139</v>
      </c>
      <c r="F111" s="4">
        <v>3108</v>
      </c>
      <c r="G111" s="12"/>
      <c r="H111" s="12"/>
      <c r="I111" s="52"/>
      <c r="J111" s="52"/>
      <c r="K111" s="103"/>
    </row>
    <row r="112" spans="1:11" ht="18" customHeight="1">
      <c r="A112" s="5" t="s">
        <v>8</v>
      </c>
      <c r="B112" s="4" t="s">
        <v>236</v>
      </c>
      <c r="C112" s="77">
        <v>62.03</v>
      </c>
      <c r="D112" s="77">
        <v>105.9</v>
      </c>
      <c r="E112" s="12">
        <f t="shared" si="6"/>
        <v>0.58574126534466475</v>
      </c>
      <c r="F112" s="4">
        <v>3383</v>
      </c>
      <c r="G112" s="12"/>
      <c r="H112" s="12"/>
      <c r="I112" s="52"/>
      <c r="J112" s="52"/>
      <c r="K112" s="103"/>
    </row>
    <row r="113" spans="1:11" ht="18" customHeight="1">
      <c r="A113" s="5" t="s">
        <v>8</v>
      </c>
      <c r="B113" s="4" t="s">
        <v>237</v>
      </c>
      <c r="C113" s="77">
        <v>69.099999999999994</v>
      </c>
      <c r="D113" s="77">
        <v>130.83000000000001</v>
      </c>
      <c r="E113" s="12">
        <f t="shared" si="6"/>
        <v>0.52816632270885877</v>
      </c>
      <c r="F113" s="4">
        <v>2964</v>
      </c>
      <c r="G113" s="12"/>
      <c r="H113" s="12"/>
      <c r="I113" s="52"/>
      <c r="J113" s="52"/>
      <c r="K113" s="103"/>
    </row>
    <row r="114" spans="1:11" ht="18" customHeight="1">
      <c r="A114" s="5" t="s">
        <v>8</v>
      </c>
      <c r="B114" s="4" t="s">
        <v>238</v>
      </c>
      <c r="C114" s="77">
        <v>62.77</v>
      </c>
      <c r="D114" s="77">
        <v>128.74</v>
      </c>
      <c r="E114" s="12">
        <f t="shared" si="6"/>
        <v>0.48757185024079541</v>
      </c>
      <c r="F114" s="4">
        <v>3416</v>
      </c>
      <c r="G114" s="12"/>
      <c r="H114" s="12"/>
      <c r="I114" s="52"/>
      <c r="J114" s="52"/>
      <c r="K114" s="103"/>
    </row>
    <row r="115" spans="1:11" ht="18" customHeight="1">
      <c r="A115" s="5" t="s">
        <v>8</v>
      </c>
      <c r="B115" s="4" t="s">
        <v>239</v>
      </c>
      <c r="C115" s="77">
        <v>77.959999999999994</v>
      </c>
      <c r="D115" s="77">
        <v>147</v>
      </c>
      <c r="E115" s="12">
        <f t="shared" si="6"/>
        <v>0.53034013605442176</v>
      </c>
      <c r="F115" s="4">
        <v>2962</v>
      </c>
      <c r="G115" s="12"/>
      <c r="H115" s="12"/>
      <c r="I115" s="52"/>
      <c r="J115" s="52"/>
      <c r="K115" s="103"/>
    </row>
    <row r="116" spans="1:11" ht="18" customHeight="1">
      <c r="A116" s="5" t="s">
        <v>8</v>
      </c>
      <c r="B116" s="4" t="s">
        <v>240</v>
      </c>
      <c r="C116" s="77">
        <v>58.75</v>
      </c>
      <c r="D116" s="77">
        <v>123.55</v>
      </c>
      <c r="E116" s="12">
        <f t="shared" si="6"/>
        <v>0.4755159854309996</v>
      </c>
      <c r="F116" s="4">
        <v>2503</v>
      </c>
      <c r="G116" s="12"/>
      <c r="H116" s="12"/>
      <c r="I116" s="52"/>
      <c r="J116" s="52"/>
      <c r="K116" s="103"/>
    </row>
    <row r="117" spans="1:11" ht="18" customHeight="1">
      <c r="A117" s="5" t="s">
        <v>8</v>
      </c>
      <c r="B117" s="4" t="s">
        <v>241</v>
      </c>
      <c r="C117" s="77">
        <v>68.5</v>
      </c>
      <c r="D117" s="77">
        <v>137.81</v>
      </c>
      <c r="E117" s="12">
        <f t="shared" si="6"/>
        <v>0.49706117117770843</v>
      </c>
      <c r="F117" s="4">
        <v>3746</v>
      </c>
      <c r="G117" s="12"/>
      <c r="H117" s="12"/>
      <c r="I117" s="52"/>
      <c r="J117" s="52"/>
      <c r="K117" s="103"/>
    </row>
    <row r="118" spans="1:11" ht="18" customHeight="1">
      <c r="A118" s="5" t="s">
        <v>8</v>
      </c>
      <c r="B118" s="4" t="s">
        <v>242</v>
      </c>
      <c r="C118" s="77">
        <v>59.66</v>
      </c>
      <c r="D118" s="77">
        <v>118.13</v>
      </c>
      <c r="E118" s="12">
        <f t="shared" si="6"/>
        <v>0.50503682383814441</v>
      </c>
      <c r="F118" s="4">
        <v>2904</v>
      </c>
      <c r="G118" s="12"/>
      <c r="H118" s="12"/>
      <c r="I118" s="52"/>
      <c r="J118" s="52"/>
      <c r="K118" s="103"/>
    </row>
    <row r="119" spans="1:11" ht="18" customHeight="1">
      <c r="A119" s="5" t="s">
        <v>8</v>
      </c>
      <c r="B119" s="4" t="s">
        <v>243</v>
      </c>
      <c r="C119" s="77">
        <v>70.05</v>
      </c>
      <c r="D119" s="77">
        <v>127</v>
      </c>
      <c r="E119" s="12">
        <f t="shared" si="6"/>
        <v>0.55157480314960627</v>
      </c>
      <c r="F119" s="4">
        <v>3073</v>
      </c>
      <c r="G119" s="12"/>
      <c r="H119" s="12"/>
      <c r="I119" s="52"/>
      <c r="J119" s="52"/>
      <c r="K119" s="103"/>
    </row>
    <row r="120" spans="1:11" ht="18" customHeight="1">
      <c r="A120" s="5" t="s">
        <v>8</v>
      </c>
      <c r="B120" s="4" t="s">
        <v>244</v>
      </c>
      <c r="C120" s="77">
        <v>54.98</v>
      </c>
      <c r="D120" s="77">
        <v>120.45</v>
      </c>
      <c r="E120" s="12">
        <f t="shared" si="6"/>
        <v>0.45645496056454959</v>
      </c>
      <c r="F120" s="4">
        <v>3385</v>
      </c>
      <c r="G120" s="12"/>
      <c r="H120" s="12"/>
      <c r="I120" s="52"/>
      <c r="J120" s="52"/>
      <c r="K120" s="103"/>
    </row>
    <row r="121" spans="1:11" ht="18" customHeight="1">
      <c r="A121" s="5" t="s">
        <v>8</v>
      </c>
      <c r="B121" s="4" t="s">
        <v>245</v>
      </c>
      <c r="C121" s="77">
        <v>60.59</v>
      </c>
      <c r="D121" s="77">
        <v>132.97999999999999</v>
      </c>
      <c r="E121" s="12">
        <f t="shared" si="6"/>
        <v>0.45563242592871117</v>
      </c>
      <c r="F121" s="4">
        <v>4057</v>
      </c>
      <c r="G121" s="12"/>
      <c r="H121" s="12"/>
      <c r="I121" s="52"/>
      <c r="J121" s="52"/>
      <c r="K121" s="103"/>
    </row>
    <row r="122" spans="1:11" ht="18" customHeight="1">
      <c r="A122" s="5" t="s">
        <v>8</v>
      </c>
      <c r="B122" s="4" t="s">
        <v>246</v>
      </c>
      <c r="C122" s="77">
        <v>55.63</v>
      </c>
      <c r="D122" s="77">
        <v>133.94</v>
      </c>
      <c r="E122" s="12">
        <f t="shared" si="6"/>
        <v>0.41533522472748996</v>
      </c>
      <c r="F122" s="4">
        <v>3603</v>
      </c>
      <c r="G122" s="12"/>
      <c r="H122" s="12"/>
      <c r="I122" s="52"/>
      <c r="J122" s="52"/>
      <c r="K122" s="103"/>
    </row>
    <row r="123" spans="1:11" ht="18" customHeight="1">
      <c r="A123" s="5" t="s">
        <v>8</v>
      </c>
      <c r="B123" s="4" t="s">
        <v>247</v>
      </c>
      <c r="C123" s="77">
        <v>62.33</v>
      </c>
      <c r="D123" s="77">
        <v>112.93</v>
      </c>
      <c r="E123" s="12">
        <f t="shared" si="6"/>
        <v>0.55193482688391038</v>
      </c>
      <c r="F123" s="4">
        <v>2819</v>
      </c>
      <c r="G123" s="12"/>
      <c r="H123" s="12"/>
      <c r="I123" s="52"/>
      <c r="J123" s="52"/>
      <c r="K123" s="103"/>
    </row>
    <row r="124" spans="1:11" ht="18" customHeight="1">
      <c r="A124" s="5" t="s">
        <v>8</v>
      </c>
      <c r="B124" s="4" t="s">
        <v>248</v>
      </c>
      <c r="C124" s="77">
        <v>53.72</v>
      </c>
      <c r="D124" s="77">
        <v>122.55</v>
      </c>
      <c r="E124" s="12">
        <f t="shared" si="6"/>
        <v>0.43835169318645451</v>
      </c>
      <c r="F124" s="4">
        <v>3079</v>
      </c>
      <c r="G124" s="12"/>
      <c r="H124" s="12"/>
      <c r="I124" s="52"/>
      <c r="J124" s="52"/>
      <c r="K124" s="103"/>
    </row>
    <row r="125" spans="1:11" ht="18" customHeight="1">
      <c r="A125" s="5" t="s">
        <v>8</v>
      </c>
      <c r="B125" s="4" t="s">
        <v>249</v>
      </c>
      <c r="C125" s="77">
        <v>66.180000000000007</v>
      </c>
      <c r="D125" s="77">
        <v>130.52000000000001</v>
      </c>
      <c r="E125" s="12">
        <f t="shared" si="6"/>
        <v>0.50704872816426605</v>
      </c>
      <c r="F125" s="4">
        <v>3284</v>
      </c>
      <c r="G125" s="12"/>
      <c r="H125" s="12"/>
      <c r="I125" s="52"/>
      <c r="J125" s="52"/>
      <c r="K125" s="103"/>
    </row>
    <row r="126" spans="1:11" ht="18" customHeight="1">
      <c r="A126" s="5" t="s">
        <v>8</v>
      </c>
      <c r="B126" s="4" t="s">
        <v>250</v>
      </c>
      <c r="C126" s="77">
        <v>54</v>
      </c>
      <c r="D126" s="77">
        <v>103</v>
      </c>
      <c r="E126" s="12">
        <f t="shared" si="6"/>
        <v>0.52427184466019416</v>
      </c>
      <c r="F126" s="4">
        <v>1964</v>
      </c>
      <c r="G126" s="12"/>
      <c r="H126" s="12"/>
      <c r="I126" s="52"/>
      <c r="J126" s="52"/>
      <c r="K126" s="103"/>
    </row>
    <row r="127" spans="1:11" ht="18" customHeight="1">
      <c r="A127" s="5" t="s">
        <v>8</v>
      </c>
      <c r="B127" s="4" t="s">
        <v>251</v>
      </c>
      <c r="C127" s="77">
        <v>71</v>
      </c>
      <c r="D127" s="77">
        <v>151</v>
      </c>
      <c r="E127" s="12">
        <f t="shared" si="6"/>
        <v>0.47019867549668876</v>
      </c>
      <c r="F127" s="4">
        <v>4520</v>
      </c>
      <c r="G127" s="12"/>
      <c r="H127" s="12"/>
      <c r="I127" s="52"/>
      <c r="J127" s="52"/>
      <c r="K127" s="103"/>
    </row>
    <row r="128" spans="1:11" ht="18" customHeight="1">
      <c r="A128" s="5" t="s">
        <v>8</v>
      </c>
      <c r="B128" s="4" t="s">
        <v>252</v>
      </c>
      <c r="C128" s="77">
        <v>62</v>
      </c>
      <c r="D128" s="77">
        <v>134</v>
      </c>
      <c r="E128" s="12">
        <f t="shared" ref="E128:E133" si="9">C128/D128</f>
        <v>0.46268656716417911</v>
      </c>
      <c r="F128" s="4">
        <v>2677</v>
      </c>
      <c r="G128" s="12"/>
      <c r="H128" s="12"/>
      <c r="I128" s="52"/>
      <c r="J128" s="52"/>
      <c r="K128" s="103"/>
    </row>
    <row r="129" spans="1:11" ht="18" customHeight="1">
      <c r="A129" s="5" t="s">
        <v>8</v>
      </c>
      <c r="B129" s="4" t="s">
        <v>253</v>
      </c>
      <c r="C129" s="77">
        <v>71</v>
      </c>
      <c r="D129" s="77">
        <v>139</v>
      </c>
      <c r="E129" s="12">
        <f t="shared" si="9"/>
        <v>0.51079136690647486</v>
      </c>
      <c r="F129" s="4">
        <v>3404</v>
      </c>
      <c r="G129" s="12"/>
      <c r="H129" s="12"/>
      <c r="I129" s="52"/>
      <c r="J129" s="52"/>
      <c r="K129" s="103"/>
    </row>
    <row r="130" spans="1:11" ht="18" customHeight="1">
      <c r="A130" s="5" t="s">
        <v>8</v>
      </c>
      <c r="B130" s="4" t="s">
        <v>254</v>
      </c>
      <c r="C130" s="77">
        <v>71</v>
      </c>
      <c r="D130" s="77">
        <v>142</v>
      </c>
      <c r="E130" s="12">
        <f t="shared" si="9"/>
        <v>0.5</v>
      </c>
      <c r="F130" s="4">
        <v>3459</v>
      </c>
      <c r="G130" s="12"/>
      <c r="H130" s="12"/>
      <c r="I130" s="52"/>
      <c r="J130" s="52"/>
      <c r="K130" s="103"/>
    </row>
    <row r="131" spans="1:11" ht="18" customHeight="1">
      <c r="A131" s="5" t="s">
        <v>8</v>
      </c>
      <c r="B131" s="4" t="s">
        <v>255</v>
      </c>
      <c r="C131" s="77">
        <v>48</v>
      </c>
      <c r="D131" s="77">
        <v>102</v>
      </c>
      <c r="E131" s="12">
        <f t="shared" si="9"/>
        <v>0.47058823529411764</v>
      </c>
      <c r="F131" s="4">
        <v>2149</v>
      </c>
      <c r="G131" s="12"/>
      <c r="H131" s="12"/>
      <c r="I131" s="52"/>
      <c r="J131" s="52"/>
      <c r="K131" s="103"/>
    </row>
    <row r="132" spans="1:11" ht="18" customHeight="1">
      <c r="A132" s="5" t="s">
        <v>8</v>
      </c>
      <c r="B132" s="4" t="s">
        <v>256</v>
      </c>
      <c r="C132" s="77">
        <v>68</v>
      </c>
      <c r="D132" s="77">
        <v>147</v>
      </c>
      <c r="E132" s="12">
        <f t="shared" si="9"/>
        <v>0.46258503401360546</v>
      </c>
      <c r="F132" s="4">
        <v>3544</v>
      </c>
      <c r="G132" s="12"/>
      <c r="H132" s="12"/>
      <c r="I132" s="52"/>
      <c r="J132" s="52"/>
      <c r="K132" s="103"/>
    </row>
    <row r="133" spans="1:11" ht="18" customHeight="1">
      <c r="A133" s="5" t="s">
        <v>8</v>
      </c>
      <c r="B133" s="4" t="s">
        <v>257</v>
      </c>
      <c r="C133" s="77">
        <v>54</v>
      </c>
      <c r="D133" s="77">
        <v>122</v>
      </c>
      <c r="E133" s="12">
        <f t="shared" si="9"/>
        <v>0.44262295081967212</v>
      </c>
      <c r="F133" s="4">
        <v>3087</v>
      </c>
      <c r="G133" s="12"/>
      <c r="H133" s="12"/>
      <c r="I133" s="52"/>
      <c r="J133" s="52"/>
      <c r="K133" s="103"/>
    </row>
    <row r="134" spans="1:11" ht="18" customHeight="1">
      <c r="A134" s="5" t="s">
        <v>8</v>
      </c>
      <c r="B134" s="4" t="s">
        <v>258</v>
      </c>
      <c r="C134" s="77">
        <v>63</v>
      </c>
      <c r="D134" s="77">
        <v>121</v>
      </c>
      <c r="E134" s="12">
        <f t="shared" ref="E134:E137" si="10">C134/D134</f>
        <v>0.52066115702479343</v>
      </c>
      <c r="F134" s="4">
        <v>2828</v>
      </c>
      <c r="G134" s="12"/>
      <c r="H134" s="12"/>
      <c r="I134" s="52"/>
      <c r="J134" s="52"/>
      <c r="K134" s="103"/>
    </row>
    <row r="135" spans="1:11" ht="18" customHeight="1">
      <c r="A135" s="5" t="s">
        <v>8</v>
      </c>
      <c r="B135" s="4" t="s">
        <v>259</v>
      </c>
      <c r="C135" s="77">
        <v>59</v>
      </c>
      <c r="D135" s="77">
        <v>117</v>
      </c>
      <c r="E135" s="12">
        <f t="shared" si="10"/>
        <v>0.50427350427350426</v>
      </c>
      <c r="F135" s="4">
        <v>3616</v>
      </c>
      <c r="G135" s="12"/>
      <c r="H135" s="12"/>
      <c r="I135" s="52"/>
      <c r="J135" s="52"/>
      <c r="K135" s="103"/>
    </row>
    <row r="136" spans="1:11" ht="18" customHeight="1">
      <c r="A136" s="5" t="s">
        <v>8</v>
      </c>
      <c r="B136" s="4" t="s">
        <v>260</v>
      </c>
      <c r="C136" s="77">
        <v>63</v>
      </c>
      <c r="D136" s="77">
        <v>133</v>
      </c>
      <c r="E136" s="12">
        <f t="shared" si="10"/>
        <v>0.47368421052631576</v>
      </c>
      <c r="F136" s="4">
        <v>2599</v>
      </c>
      <c r="G136" s="12"/>
      <c r="H136" s="12"/>
      <c r="I136" s="52"/>
      <c r="J136" s="52"/>
      <c r="K136" s="103"/>
    </row>
    <row r="137" spans="1:11" ht="18" customHeight="1">
      <c r="A137" s="5" t="s">
        <v>8</v>
      </c>
      <c r="B137" s="4" t="s">
        <v>261</v>
      </c>
      <c r="C137" s="77">
        <v>64</v>
      </c>
      <c r="D137" s="77">
        <v>136</v>
      </c>
      <c r="E137" s="12">
        <f t="shared" si="10"/>
        <v>0.47058823529411764</v>
      </c>
      <c r="F137" s="4">
        <v>2387</v>
      </c>
      <c r="G137" s="12"/>
      <c r="H137" s="12"/>
      <c r="I137" s="52"/>
      <c r="J137" s="52"/>
      <c r="K137" s="103"/>
    </row>
    <row r="138" spans="1:11" ht="18" customHeight="1">
      <c r="A138" s="5" t="s">
        <v>8</v>
      </c>
      <c r="B138" s="4" t="s">
        <v>262</v>
      </c>
      <c r="C138" s="77">
        <v>67</v>
      </c>
      <c r="D138" s="77">
        <v>148</v>
      </c>
      <c r="E138" s="12">
        <f t="shared" ref="E138:E141" si="11">C138/D138</f>
        <v>0.45270270270270269</v>
      </c>
      <c r="F138" s="4">
        <v>2913</v>
      </c>
      <c r="G138" s="12"/>
      <c r="H138" s="12"/>
      <c r="I138" s="52"/>
      <c r="J138" s="52"/>
      <c r="K138" s="103"/>
    </row>
    <row r="139" spans="1:11" ht="18" customHeight="1">
      <c r="A139" s="5" t="s">
        <v>8</v>
      </c>
      <c r="B139" s="4" t="s">
        <v>263</v>
      </c>
      <c r="C139" s="77">
        <v>62</v>
      </c>
      <c r="D139" s="77">
        <v>134</v>
      </c>
      <c r="E139" s="12">
        <f t="shared" si="11"/>
        <v>0.46268656716417911</v>
      </c>
      <c r="F139" s="4">
        <v>3096</v>
      </c>
      <c r="G139" s="12"/>
      <c r="H139" s="12"/>
      <c r="I139" s="52"/>
      <c r="J139" s="52"/>
      <c r="K139" s="103"/>
    </row>
    <row r="140" spans="1:11" ht="18" customHeight="1">
      <c r="A140" s="5" t="s">
        <v>8</v>
      </c>
      <c r="B140" s="4" t="s">
        <v>264</v>
      </c>
      <c r="C140" s="77">
        <v>63</v>
      </c>
      <c r="D140" s="77">
        <v>142</v>
      </c>
      <c r="E140" s="12">
        <f t="shared" si="11"/>
        <v>0.44366197183098594</v>
      </c>
      <c r="F140" s="4">
        <v>3271</v>
      </c>
      <c r="G140" s="12"/>
      <c r="H140" s="12"/>
      <c r="I140" s="52"/>
      <c r="J140" s="52"/>
      <c r="K140" s="103"/>
    </row>
    <row r="141" spans="1:11" ht="18" customHeight="1">
      <c r="A141" s="5" t="s">
        <v>8</v>
      </c>
      <c r="B141" s="4" t="s">
        <v>265</v>
      </c>
      <c r="C141" s="77">
        <v>63</v>
      </c>
      <c r="D141" s="77">
        <v>134</v>
      </c>
      <c r="E141" s="12">
        <f t="shared" si="11"/>
        <v>0.47014925373134331</v>
      </c>
      <c r="F141" s="4">
        <v>3406</v>
      </c>
      <c r="G141" s="12"/>
      <c r="H141" s="12"/>
      <c r="I141" s="52"/>
      <c r="J141" s="52"/>
      <c r="K141" s="103"/>
    </row>
    <row r="142" spans="1:11" ht="18" customHeight="1">
      <c r="A142" s="5" t="s">
        <v>8</v>
      </c>
      <c r="B142" s="4" t="s">
        <v>266</v>
      </c>
      <c r="C142" s="77">
        <v>74.75</v>
      </c>
      <c r="D142" s="77">
        <v>142.30000000000001</v>
      </c>
      <c r="E142" s="12">
        <f t="shared" si="6"/>
        <v>0.52529866479269149</v>
      </c>
      <c r="F142" s="4">
        <v>4186</v>
      </c>
      <c r="G142" s="12"/>
      <c r="H142" s="12"/>
      <c r="I142" s="52"/>
      <c r="J142" s="52"/>
      <c r="K142" s="103"/>
    </row>
    <row r="143" spans="1:11" ht="18" customHeight="1">
      <c r="A143" s="5" t="s">
        <v>8</v>
      </c>
      <c r="B143" s="4" t="s">
        <v>212</v>
      </c>
      <c r="C143" s="77"/>
      <c r="D143" s="77"/>
      <c r="E143" s="12"/>
      <c r="F143" s="4"/>
      <c r="G143" s="12">
        <v>93.5</v>
      </c>
      <c r="H143" s="12">
        <v>135.5</v>
      </c>
      <c r="I143" s="52">
        <f t="shared" ref="I143:I160" si="12">G143/H143</f>
        <v>0.69003690036900367</v>
      </c>
      <c r="J143" s="52"/>
      <c r="K143" s="103"/>
    </row>
    <row r="144" spans="1:11" ht="18" customHeight="1">
      <c r="A144" s="5" t="s">
        <v>8</v>
      </c>
      <c r="B144" s="4" t="s">
        <v>213</v>
      </c>
      <c r="C144" s="77"/>
      <c r="D144" s="77"/>
      <c r="E144" s="12"/>
      <c r="F144" s="4"/>
      <c r="G144" s="12">
        <v>95.6</v>
      </c>
      <c r="H144" s="12">
        <v>151.4</v>
      </c>
      <c r="I144" s="52">
        <f t="shared" si="12"/>
        <v>0.63143989431968295</v>
      </c>
      <c r="J144" s="52"/>
      <c r="K144" s="103"/>
    </row>
    <row r="145" spans="1:11" ht="18" customHeight="1">
      <c r="A145" s="5" t="s">
        <v>8</v>
      </c>
      <c r="B145" s="4" t="s">
        <v>214</v>
      </c>
      <c r="C145" s="77"/>
      <c r="D145" s="77"/>
      <c r="E145" s="12"/>
      <c r="F145" s="4"/>
      <c r="G145" s="12">
        <v>73.8</v>
      </c>
      <c r="H145" s="12">
        <v>131.1</v>
      </c>
      <c r="I145" s="52">
        <f t="shared" si="12"/>
        <v>0.56292906178489699</v>
      </c>
      <c r="J145" s="52"/>
      <c r="K145" s="103"/>
    </row>
    <row r="146" spans="1:11" ht="18" customHeight="1">
      <c r="A146" s="5" t="s">
        <v>8</v>
      </c>
      <c r="B146" s="4" t="s">
        <v>215</v>
      </c>
      <c r="C146" s="77"/>
      <c r="D146" s="77"/>
      <c r="E146" s="12"/>
      <c r="F146" s="4"/>
      <c r="G146" s="12">
        <v>78.3</v>
      </c>
      <c r="H146" s="12">
        <v>128.4</v>
      </c>
      <c r="I146" s="52">
        <f t="shared" si="12"/>
        <v>0.60981308411214952</v>
      </c>
      <c r="J146" s="52"/>
      <c r="K146" s="103"/>
    </row>
    <row r="147" spans="1:11" ht="18" customHeight="1">
      <c r="A147" s="5" t="s">
        <v>8</v>
      </c>
      <c r="B147" s="4" t="s">
        <v>216</v>
      </c>
      <c r="C147" s="77"/>
      <c r="D147" s="77"/>
      <c r="E147" s="12"/>
      <c r="F147" s="4"/>
      <c r="G147" s="12">
        <v>85.2</v>
      </c>
      <c r="H147" s="12">
        <v>139.1</v>
      </c>
      <c r="I147" s="52">
        <f t="shared" si="12"/>
        <v>0.61250898634076212</v>
      </c>
      <c r="J147" s="52"/>
      <c r="K147" s="103"/>
    </row>
    <row r="148" spans="1:11" ht="18" customHeight="1">
      <c r="A148" s="5" t="s">
        <v>8</v>
      </c>
      <c r="B148" s="4" t="s">
        <v>217</v>
      </c>
      <c r="C148" s="77"/>
      <c r="D148" s="77"/>
      <c r="E148" s="12"/>
      <c r="F148" s="4"/>
      <c r="G148" s="12">
        <v>95</v>
      </c>
      <c r="H148" s="12">
        <v>138.19999999999999</v>
      </c>
      <c r="I148" s="52">
        <f t="shared" si="12"/>
        <v>0.68740955137481918</v>
      </c>
      <c r="J148" s="52"/>
      <c r="K148" s="103"/>
    </row>
    <row r="149" spans="1:11" ht="18" customHeight="1">
      <c r="A149" s="5" t="s">
        <v>8</v>
      </c>
      <c r="B149" s="4" t="s">
        <v>218</v>
      </c>
      <c r="C149" s="77"/>
      <c r="D149" s="77"/>
      <c r="E149" s="12"/>
      <c r="F149" s="4"/>
      <c r="G149" s="12">
        <v>88.5</v>
      </c>
      <c r="H149" s="12">
        <v>126.7</v>
      </c>
      <c r="I149" s="52">
        <f t="shared" si="12"/>
        <v>0.69850039463299129</v>
      </c>
      <c r="J149" s="52"/>
      <c r="K149" s="103"/>
    </row>
    <row r="150" spans="1:11" ht="18" customHeight="1">
      <c r="A150" s="5" t="s">
        <v>8</v>
      </c>
      <c r="B150" s="4" t="s">
        <v>219</v>
      </c>
      <c r="C150" s="77"/>
      <c r="D150" s="77"/>
      <c r="E150" s="12"/>
      <c r="F150" s="4"/>
      <c r="G150" s="12">
        <v>83.2</v>
      </c>
      <c r="H150" s="12">
        <v>135.30000000000001</v>
      </c>
      <c r="I150" s="52">
        <f t="shared" si="12"/>
        <v>0.61492978566149292</v>
      </c>
      <c r="J150" s="52"/>
      <c r="K150" s="103"/>
    </row>
    <row r="151" spans="1:11" ht="18" customHeight="1">
      <c r="A151" s="5" t="s">
        <v>8</v>
      </c>
      <c r="B151" s="4" t="s">
        <v>220</v>
      </c>
      <c r="C151" s="77"/>
      <c r="D151" s="77"/>
      <c r="E151" s="12"/>
      <c r="F151" s="4"/>
      <c r="G151" s="12">
        <v>85.1</v>
      </c>
      <c r="H151" s="12">
        <v>130.9</v>
      </c>
      <c r="I151" s="52">
        <f t="shared" si="12"/>
        <v>0.65011459129106186</v>
      </c>
      <c r="J151" s="52"/>
      <c r="K151" s="103"/>
    </row>
    <row r="152" spans="1:11" ht="18" customHeight="1">
      <c r="A152" s="5" t="s">
        <v>8</v>
      </c>
      <c r="B152" s="4" t="s">
        <v>221</v>
      </c>
      <c r="C152" s="77"/>
      <c r="D152" s="77"/>
      <c r="E152" s="12"/>
      <c r="F152" s="4"/>
      <c r="G152" s="12">
        <v>85</v>
      </c>
      <c r="H152" s="12">
        <v>139.1</v>
      </c>
      <c r="I152" s="52">
        <f t="shared" si="12"/>
        <v>0.61107117181883541</v>
      </c>
      <c r="J152" s="52"/>
      <c r="K152" s="103"/>
    </row>
    <row r="153" spans="1:11" ht="18" customHeight="1">
      <c r="A153" s="5" t="s">
        <v>8</v>
      </c>
      <c r="B153" s="4" t="s">
        <v>222</v>
      </c>
      <c r="C153" s="77"/>
      <c r="D153" s="77"/>
      <c r="E153" s="12"/>
      <c r="F153" s="4"/>
      <c r="G153" s="12">
        <v>88</v>
      </c>
      <c r="H153" s="12">
        <v>138.30000000000001</v>
      </c>
      <c r="I153" s="52">
        <f t="shared" si="12"/>
        <v>0.63629790310918288</v>
      </c>
      <c r="J153" s="52"/>
      <c r="K153" s="103"/>
    </row>
    <row r="154" spans="1:11" ht="18" customHeight="1">
      <c r="A154" s="5" t="s">
        <v>8</v>
      </c>
      <c r="B154" s="4" t="s">
        <v>223</v>
      </c>
      <c r="C154" s="77"/>
      <c r="D154" s="77"/>
      <c r="E154" s="12"/>
      <c r="F154" s="4"/>
      <c r="G154" s="12">
        <v>83.8</v>
      </c>
      <c r="H154" s="12">
        <v>143.4</v>
      </c>
      <c r="I154" s="52">
        <f t="shared" si="12"/>
        <v>0.58437935843793576</v>
      </c>
      <c r="J154" s="52"/>
      <c r="K154" s="103"/>
    </row>
    <row r="155" spans="1:11" ht="18" customHeight="1">
      <c r="A155" s="5" t="s">
        <v>8</v>
      </c>
      <c r="B155" s="4" t="s">
        <v>224</v>
      </c>
      <c r="C155" s="77"/>
      <c r="D155" s="77"/>
      <c r="E155" s="12"/>
      <c r="F155" s="4"/>
      <c r="G155" s="12">
        <v>91.9</v>
      </c>
      <c r="H155" s="12">
        <v>142.9</v>
      </c>
      <c r="I155" s="52">
        <f t="shared" si="12"/>
        <v>0.64310706787963612</v>
      </c>
      <c r="J155" s="52"/>
      <c r="K155" s="103"/>
    </row>
    <row r="156" spans="1:11" ht="18" customHeight="1">
      <c r="A156" s="5" t="s">
        <v>8</v>
      </c>
      <c r="B156" s="4" t="s">
        <v>225</v>
      </c>
      <c r="C156" s="77"/>
      <c r="D156" s="77"/>
      <c r="E156" s="12"/>
      <c r="F156" s="4"/>
      <c r="G156" s="12">
        <v>84.6</v>
      </c>
      <c r="H156" s="12">
        <v>146</v>
      </c>
      <c r="I156" s="52">
        <f t="shared" si="12"/>
        <v>0.57945205479452055</v>
      </c>
      <c r="J156" s="52"/>
      <c r="K156" s="103"/>
    </row>
    <row r="157" spans="1:11" ht="18" customHeight="1">
      <c r="A157" s="5" t="s">
        <v>8</v>
      </c>
      <c r="B157" s="4" t="s">
        <v>226</v>
      </c>
      <c r="C157" s="77"/>
      <c r="D157" s="77"/>
      <c r="E157" s="12"/>
      <c r="F157" s="4"/>
      <c r="G157" s="12">
        <v>77.3</v>
      </c>
      <c r="H157" s="12">
        <v>137.4</v>
      </c>
      <c r="I157" s="52">
        <f t="shared" si="12"/>
        <v>0.56259097525473067</v>
      </c>
      <c r="J157" s="52"/>
      <c r="K157" s="103"/>
    </row>
    <row r="158" spans="1:11" ht="18" customHeight="1">
      <c r="A158" s="5" t="s">
        <v>8</v>
      </c>
      <c r="B158" s="4" t="s">
        <v>227</v>
      </c>
      <c r="C158" s="77"/>
      <c r="D158" s="77"/>
      <c r="E158" s="12"/>
      <c r="F158" s="4"/>
      <c r="G158" s="12">
        <v>94.7</v>
      </c>
      <c r="H158" s="12">
        <v>145.30000000000001</v>
      </c>
      <c r="I158" s="52">
        <f t="shared" si="12"/>
        <v>0.65175498967653134</v>
      </c>
      <c r="J158" s="52"/>
      <c r="K158" s="103"/>
    </row>
    <row r="159" spans="1:11" ht="18" customHeight="1">
      <c r="A159" s="5" t="s">
        <v>8</v>
      </c>
      <c r="B159" s="4" t="s">
        <v>228</v>
      </c>
      <c r="C159" s="77"/>
      <c r="D159" s="77"/>
      <c r="E159" s="12"/>
      <c r="F159" s="4"/>
      <c r="G159" s="12">
        <v>83</v>
      </c>
      <c r="H159" s="12">
        <v>141.5</v>
      </c>
      <c r="I159" s="52">
        <f t="shared" si="12"/>
        <v>0.58657243816254412</v>
      </c>
      <c r="J159" s="52"/>
      <c r="K159" s="103"/>
    </row>
    <row r="160" spans="1:11" ht="18" customHeight="1">
      <c r="A160" s="5" t="s">
        <v>8</v>
      </c>
      <c r="B160" s="4" t="s">
        <v>229</v>
      </c>
      <c r="C160" s="77"/>
      <c r="D160" s="77"/>
      <c r="E160" s="12"/>
      <c r="F160" s="4"/>
      <c r="G160" s="12">
        <v>92</v>
      </c>
      <c r="H160" s="12">
        <v>149.5</v>
      </c>
      <c r="I160" s="52">
        <f t="shared" si="12"/>
        <v>0.61538461538461542</v>
      </c>
      <c r="J160" s="52"/>
      <c r="K160" s="103"/>
    </row>
    <row r="161" spans="1:11" ht="18" customHeight="1" thickBot="1">
      <c r="A161" s="151" t="s">
        <v>8</v>
      </c>
      <c r="B161" s="134" t="s">
        <v>269</v>
      </c>
      <c r="C161" s="180"/>
      <c r="D161" s="180"/>
      <c r="E161" s="181"/>
      <c r="F161" s="182"/>
      <c r="G161" s="181"/>
      <c r="H161" s="181"/>
      <c r="I161" s="183"/>
      <c r="J161" s="183">
        <f>136.46/132.77</f>
        <v>1.0277924229871205</v>
      </c>
      <c r="K161" s="184">
        <f>122.6/(395.9-122.6)</f>
        <v>0.44859129162092942</v>
      </c>
    </row>
    <row r="162" spans="1:11" ht="18" customHeight="1">
      <c r="A162" s="8" t="s">
        <v>13</v>
      </c>
      <c r="B162" s="17"/>
      <c r="C162" s="75"/>
      <c r="D162" s="75"/>
      <c r="E162" s="18"/>
      <c r="F162" s="17"/>
      <c r="G162" s="18"/>
      <c r="H162" s="18"/>
      <c r="I162" s="47"/>
      <c r="J162" s="47"/>
      <c r="K162" s="185"/>
    </row>
    <row r="163" spans="1:11" ht="18" customHeight="1">
      <c r="A163" s="22" t="s">
        <v>78</v>
      </c>
      <c r="B163" s="19"/>
      <c r="C163" s="76"/>
      <c r="D163" s="76"/>
      <c r="E163" s="20"/>
      <c r="F163" s="19"/>
      <c r="G163" s="20"/>
      <c r="H163" s="20"/>
      <c r="I163" s="122"/>
      <c r="J163" s="122"/>
      <c r="K163" s="102"/>
    </row>
    <row r="164" spans="1:11" ht="18" customHeight="1">
      <c r="A164" s="21" t="s">
        <v>79</v>
      </c>
      <c r="B164" s="19" t="s">
        <v>377</v>
      </c>
      <c r="C164" s="76">
        <v>54</v>
      </c>
      <c r="D164" s="76">
        <v>86</v>
      </c>
      <c r="E164" s="20">
        <f t="shared" ref="E164" si="13">C164/D164</f>
        <v>0.62790697674418605</v>
      </c>
      <c r="F164" s="19">
        <v>9137</v>
      </c>
      <c r="G164" s="20">
        <v>127.67</v>
      </c>
      <c r="H164" s="20">
        <v>151.66</v>
      </c>
      <c r="I164" s="122">
        <f t="shared" ref="I164" si="14">G164/H164</f>
        <v>0.84181722273506532</v>
      </c>
      <c r="J164" s="122"/>
      <c r="K164" s="102"/>
    </row>
    <row r="165" spans="1:11" ht="18" customHeight="1">
      <c r="A165" s="16" t="s">
        <v>14</v>
      </c>
      <c r="B165" s="4"/>
      <c r="C165" s="77"/>
      <c r="D165" s="77"/>
      <c r="E165" s="12"/>
      <c r="F165" s="4"/>
      <c r="G165" s="12"/>
      <c r="H165" s="12"/>
      <c r="I165" s="52"/>
      <c r="J165" s="52"/>
      <c r="K165" s="103"/>
    </row>
    <row r="166" spans="1:11" ht="18" customHeight="1">
      <c r="A166" s="5" t="s">
        <v>93</v>
      </c>
      <c r="B166" s="4" t="s">
        <v>313</v>
      </c>
      <c r="C166" s="77"/>
      <c r="D166" s="77"/>
      <c r="E166" s="12"/>
      <c r="F166" s="4"/>
      <c r="G166" s="12">
        <v>140</v>
      </c>
      <c r="H166" s="12">
        <v>198</v>
      </c>
      <c r="I166" s="52">
        <f>G166/H166</f>
        <v>0.70707070707070707</v>
      </c>
      <c r="J166" s="52"/>
      <c r="K166" s="103"/>
    </row>
    <row r="167" spans="1:11" ht="18" customHeight="1">
      <c r="A167" s="5" t="s">
        <v>93</v>
      </c>
      <c r="B167" s="4" t="s">
        <v>314</v>
      </c>
      <c r="C167" s="77"/>
      <c r="D167" s="77"/>
      <c r="E167" s="12"/>
      <c r="F167" s="4"/>
      <c r="G167" s="12">
        <v>122</v>
      </c>
      <c r="H167" s="12">
        <v>173</v>
      </c>
      <c r="I167" s="52">
        <f t="shared" ref="I167:I187" si="15">G167/H167</f>
        <v>0.7052023121387283</v>
      </c>
      <c r="J167" s="52"/>
      <c r="K167" s="103"/>
    </row>
    <row r="168" spans="1:11" ht="18" customHeight="1">
      <c r="A168" s="5" t="s">
        <v>93</v>
      </c>
      <c r="B168" s="4" t="s">
        <v>315</v>
      </c>
      <c r="C168" s="77"/>
      <c r="D168" s="77"/>
      <c r="E168" s="12"/>
      <c r="F168" s="4"/>
      <c r="G168" s="12">
        <v>88</v>
      </c>
      <c r="H168" s="12">
        <v>122</v>
      </c>
      <c r="I168" s="52">
        <f t="shared" si="15"/>
        <v>0.72131147540983609</v>
      </c>
      <c r="J168" s="52"/>
      <c r="K168" s="103"/>
    </row>
    <row r="169" spans="1:11" ht="18" customHeight="1">
      <c r="A169" s="5" t="s">
        <v>93</v>
      </c>
      <c r="B169" s="4" t="s">
        <v>316</v>
      </c>
      <c r="C169" s="77"/>
      <c r="D169" s="77"/>
      <c r="E169" s="12"/>
      <c r="F169" s="4"/>
      <c r="G169" s="12">
        <v>88</v>
      </c>
      <c r="H169" s="12">
        <v>113</v>
      </c>
      <c r="I169" s="52">
        <f t="shared" si="15"/>
        <v>0.77876106194690264</v>
      </c>
      <c r="J169" s="52"/>
      <c r="K169" s="103"/>
    </row>
    <row r="170" spans="1:11" ht="18" customHeight="1">
      <c r="A170" s="5" t="s">
        <v>93</v>
      </c>
      <c r="B170" s="4" t="s">
        <v>317</v>
      </c>
      <c r="C170" s="77"/>
      <c r="D170" s="77"/>
      <c r="E170" s="12"/>
      <c r="F170" s="4"/>
      <c r="G170" s="12">
        <v>104</v>
      </c>
      <c r="H170" s="12">
        <v>144</v>
      </c>
      <c r="I170" s="52">
        <f t="shared" si="15"/>
        <v>0.72222222222222221</v>
      </c>
      <c r="J170" s="52"/>
      <c r="K170" s="103"/>
    </row>
    <row r="171" spans="1:11" ht="18" customHeight="1">
      <c r="A171" s="5" t="s">
        <v>93</v>
      </c>
      <c r="B171" s="4" t="s">
        <v>318</v>
      </c>
      <c r="C171" s="77"/>
      <c r="D171" s="77"/>
      <c r="E171" s="12"/>
      <c r="F171" s="4"/>
      <c r="G171" s="12">
        <v>104</v>
      </c>
      <c r="H171" s="12">
        <v>138</v>
      </c>
      <c r="I171" s="52">
        <f t="shared" si="15"/>
        <v>0.75362318840579712</v>
      </c>
      <c r="J171" s="52"/>
      <c r="K171" s="103"/>
    </row>
    <row r="172" spans="1:11" ht="18" customHeight="1">
      <c r="A172" s="5" t="s">
        <v>93</v>
      </c>
      <c r="B172" s="4" t="s">
        <v>319</v>
      </c>
      <c r="C172" s="77"/>
      <c r="D172" s="77"/>
      <c r="E172" s="12"/>
      <c r="F172" s="4"/>
      <c r="G172" s="12">
        <v>133</v>
      </c>
      <c r="H172" s="12">
        <v>193</v>
      </c>
      <c r="I172" s="52">
        <f t="shared" si="15"/>
        <v>0.68911917098445596</v>
      </c>
      <c r="J172" s="52"/>
      <c r="K172" s="103"/>
    </row>
    <row r="173" spans="1:11" ht="18" customHeight="1">
      <c r="A173" s="5" t="s">
        <v>93</v>
      </c>
      <c r="B173" s="4" t="s">
        <v>320</v>
      </c>
      <c r="C173" s="77"/>
      <c r="D173" s="77"/>
      <c r="E173" s="12"/>
      <c r="F173" s="4"/>
      <c r="G173" s="12">
        <v>143</v>
      </c>
      <c r="H173" s="12">
        <v>194</v>
      </c>
      <c r="I173" s="52">
        <f t="shared" si="15"/>
        <v>0.73711340206185572</v>
      </c>
      <c r="J173" s="52"/>
      <c r="K173" s="103"/>
    </row>
    <row r="174" spans="1:11" ht="18" customHeight="1">
      <c r="A174" s="5" t="s">
        <v>93</v>
      </c>
      <c r="B174" s="4" t="s">
        <v>321</v>
      </c>
      <c r="C174" s="77"/>
      <c r="D174" s="77"/>
      <c r="E174" s="12"/>
      <c r="F174" s="4"/>
      <c r="G174" s="12">
        <v>98</v>
      </c>
      <c r="H174" s="12">
        <v>131</v>
      </c>
      <c r="I174" s="52">
        <f t="shared" si="15"/>
        <v>0.74809160305343514</v>
      </c>
      <c r="J174" s="52"/>
      <c r="K174" s="103"/>
    </row>
    <row r="175" spans="1:11" ht="18" customHeight="1">
      <c r="A175" s="5" t="s">
        <v>93</v>
      </c>
      <c r="B175" s="4" t="s">
        <v>322</v>
      </c>
      <c r="C175" s="77"/>
      <c r="D175" s="77"/>
      <c r="E175" s="12"/>
      <c r="F175" s="4"/>
      <c r="G175" s="12">
        <v>89</v>
      </c>
      <c r="H175" s="12">
        <v>117</v>
      </c>
      <c r="I175" s="52">
        <f t="shared" si="15"/>
        <v>0.76068376068376065</v>
      </c>
      <c r="J175" s="52"/>
      <c r="K175" s="103"/>
    </row>
    <row r="176" spans="1:11" ht="18" customHeight="1">
      <c r="A176" s="5" t="s">
        <v>93</v>
      </c>
      <c r="B176" s="4" t="s">
        <v>323</v>
      </c>
      <c r="C176" s="77"/>
      <c r="D176" s="77"/>
      <c r="E176" s="12"/>
      <c r="F176" s="4"/>
      <c r="G176" s="12">
        <v>134</v>
      </c>
      <c r="H176" s="12">
        <v>184</v>
      </c>
      <c r="I176" s="52">
        <f t="shared" si="15"/>
        <v>0.72826086956521741</v>
      </c>
      <c r="J176" s="52"/>
      <c r="K176" s="103"/>
    </row>
    <row r="177" spans="1:11" ht="18" customHeight="1">
      <c r="A177" s="5" t="s">
        <v>93</v>
      </c>
      <c r="B177" s="4" t="s">
        <v>324</v>
      </c>
      <c r="C177" s="77"/>
      <c r="D177" s="77"/>
      <c r="E177" s="12"/>
      <c r="F177" s="4"/>
      <c r="G177" s="12">
        <v>140</v>
      </c>
      <c r="H177" s="12">
        <v>190</v>
      </c>
      <c r="I177" s="52">
        <f t="shared" si="15"/>
        <v>0.73684210526315785</v>
      </c>
      <c r="J177" s="52"/>
      <c r="K177" s="103"/>
    </row>
    <row r="178" spans="1:11" ht="18" customHeight="1">
      <c r="A178" s="5" t="s">
        <v>93</v>
      </c>
      <c r="B178" s="4" t="s">
        <v>325</v>
      </c>
      <c r="C178" s="77"/>
      <c r="D178" s="77"/>
      <c r="E178" s="12"/>
      <c r="F178" s="4"/>
      <c r="G178" s="12">
        <v>64</v>
      </c>
      <c r="H178" s="12">
        <v>84</v>
      </c>
      <c r="I178" s="52">
        <f t="shared" si="15"/>
        <v>0.76190476190476186</v>
      </c>
      <c r="J178" s="52"/>
      <c r="K178" s="103"/>
    </row>
    <row r="179" spans="1:11" ht="18" customHeight="1">
      <c r="A179" s="5" t="s">
        <v>93</v>
      </c>
      <c r="B179" s="4" t="s">
        <v>326</v>
      </c>
      <c r="C179" s="77"/>
      <c r="D179" s="77"/>
      <c r="E179" s="12"/>
      <c r="F179" s="4"/>
      <c r="G179" s="12">
        <v>152</v>
      </c>
      <c r="H179" s="12">
        <v>195</v>
      </c>
      <c r="I179" s="52">
        <f t="shared" si="15"/>
        <v>0.77948717948717949</v>
      </c>
      <c r="J179" s="52"/>
      <c r="K179" s="103"/>
    </row>
    <row r="180" spans="1:11" ht="18" customHeight="1">
      <c r="A180" s="5" t="s">
        <v>93</v>
      </c>
      <c r="B180" s="4" t="s">
        <v>327</v>
      </c>
      <c r="C180" s="77"/>
      <c r="D180" s="77"/>
      <c r="E180" s="12"/>
      <c r="F180" s="4"/>
      <c r="G180" s="12">
        <v>65</v>
      </c>
      <c r="H180" s="12">
        <v>79</v>
      </c>
      <c r="I180" s="52">
        <f t="shared" si="15"/>
        <v>0.82278481012658233</v>
      </c>
      <c r="J180" s="52"/>
      <c r="K180" s="103"/>
    </row>
    <row r="181" spans="1:11" ht="18" customHeight="1">
      <c r="A181" s="5" t="s">
        <v>93</v>
      </c>
      <c r="B181" s="4" t="s">
        <v>328</v>
      </c>
      <c r="C181" s="77"/>
      <c r="D181" s="77"/>
      <c r="E181" s="12"/>
      <c r="F181" s="4"/>
      <c r="G181" s="12">
        <v>86</v>
      </c>
      <c r="H181" s="12">
        <v>124</v>
      </c>
      <c r="I181" s="52">
        <f t="shared" si="15"/>
        <v>0.69354838709677424</v>
      </c>
      <c r="J181" s="52"/>
      <c r="K181" s="103"/>
    </row>
    <row r="182" spans="1:11" ht="18" customHeight="1">
      <c r="A182" s="5" t="s">
        <v>93</v>
      </c>
      <c r="B182" s="4" t="s">
        <v>329</v>
      </c>
      <c r="C182" s="77"/>
      <c r="D182" s="77"/>
      <c r="E182" s="12"/>
      <c r="F182" s="4"/>
      <c r="G182" s="12">
        <v>65</v>
      </c>
      <c r="H182" s="12">
        <v>88</v>
      </c>
      <c r="I182" s="52">
        <f t="shared" si="15"/>
        <v>0.73863636363636365</v>
      </c>
      <c r="J182" s="52"/>
      <c r="K182" s="103"/>
    </row>
    <row r="183" spans="1:11" ht="18" customHeight="1">
      <c r="A183" s="5" t="s">
        <v>66</v>
      </c>
      <c r="B183" s="4" t="s">
        <v>330</v>
      </c>
      <c r="C183" s="77">
        <v>95.43</v>
      </c>
      <c r="D183" s="77">
        <v>152.6</v>
      </c>
      <c r="E183" s="12">
        <f t="shared" ref="E183:E184" si="16">C183/D183</f>
        <v>0.62536041939711673</v>
      </c>
      <c r="F183" s="4"/>
      <c r="G183" s="12">
        <v>176.36</v>
      </c>
      <c r="H183" s="12">
        <v>185.26</v>
      </c>
      <c r="I183" s="52">
        <f t="shared" si="15"/>
        <v>0.95195940839900695</v>
      </c>
      <c r="J183" s="52"/>
      <c r="K183" s="103"/>
    </row>
    <row r="184" spans="1:11" ht="18" customHeight="1">
      <c r="A184" s="5" t="s">
        <v>20</v>
      </c>
      <c r="B184" s="4" t="s">
        <v>331</v>
      </c>
      <c r="C184" s="77">
        <v>64.680000000000007</v>
      </c>
      <c r="D184" s="77">
        <v>102.44</v>
      </c>
      <c r="E184" s="12">
        <f t="shared" si="16"/>
        <v>0.6313939867239361</v>
      </c>
      <c r="F184" s="4"/>
      <c r="G184" s="12"/>
      <c r="H184" s="12"/>
      <c r="I184" s="52"/>
      <c r="J184" s="52"/>
      <c r="K184" s="103"/>
    </row>
    <row r="185" spans="1:11" ht="18" customHeight="1">
      <c r="A185" s="5" t="s">
        <v>65</v>
      </c>
      <c r="B185" s="4" t="s">
        <v>311</v>
      </c>
      <c r="C185" s="77">
        <v>91</v>
      </c>
      <c r="D185" s="77">
        <v>145</v>
      </c>
      <c r="E185" s="12">
        <f t="shared" ref="E185" si="17">C185/D185</f>
        <v>0.62758620689655176</v>
      </c>
      <c r="F185" s="4"/>
      <c r="G185" s="12">
        <v>84.5</v>
      </c>
      <c r="H185" s="12">
        <v>104.96</v>
      </c>
      <c r="I185" s="52">
        <f t="shared" si="15"/>
        <v>0.80506859756097571</v>
      </c>
      <c r="J185" s="52"/>
      <c r="K185" s="103"/>
    </row>
    <row r="186" spans="1:11" ht="18" customHeight="1">
      <c r="A186" s="151" t="s">
        <v>65</v>
      </c>
      <c r="B186" s="134" t="s">
        <v>312</v>
      </c>
      <c r="C186" s="135"/>
      <c r="D186" s="135"/>
      <c r="E186" s="136"/>
      <c r="F186" s="134"/>
      <c r="G186" s="186">
        <v>141.13</v>
      </c>
      <c r="H186" s="186">
        <v>201.84</v>
      </c>
      <c r="I186" s="33">
        <f t="shared" si="15"/>
        <v>0.69921720174395552</v>
      </c>
      <c r="J186" s="33"/>
      <c r="K186" s="137"/>
    </row>
    <row r="187" spans="1:11" ht="18" customHeight="1">
      <c r="A187" s="5" t="s">
        <v>15</v>
      </c>
      <c r="B187" s="4" t="s">
        <v>270</v>
      </c>
      <c r="C187" s="77"/>
      <c r="D187" s="77"/>
      <c r="E187" s="12"/>
      <c r="F187" s="4">
        <v>6423</v>
      </c>
      <c r="G187" s="12">
        <v>75.83</v>
      </c>
      <c r="H187" s="12">
        <v>153.04</v>
      </c>
      <c r="I187" s="52">
        <f t="shared" si="15"/>
        <v>0.49549137480397282</v>
      </c>
      <c r="J187" s="52"/>
      <c r="K187" s="103"/>
    </row>
    <row r="188" spans="1:11" ht="18" customHeight="1">
      <c r="A188" s="151" t="s">
        <v>15</v>
      </c>
      <c r="B188" s="134" t="s">
        <v>271</v>
      </c>
      <c r="C188" s="187"/>
      <c r="D188" s="187"/>
      <c r="E188" s="186"/>
      <c r="F188" s="188"/>
      <c r="G188" s="188"/>
      <c r="H188" s="188"/>
      <c r="I188" s="189"/>
      <c r="J188" s="189">
        <f>101.38/136.11</f>
        <v>0.74483873337741524</v>
      </c>
      <c r="K188" s="190">
        <f>65.35/(700-65.35)</f>
        <v>0.10297014102261089</v>
      </c>
    </row>
    <row r="189" spans="1:11" ht="18" customHeight="1" thickBot="1">
      <c r="A189" s="191" t="s">
        <v>16</v>
      </c>
      <c r="B189" s="192" t="s">
        <v>310</v>
      </c>
      <c r="C189" s="193">
        <v>75.19</v>
      </c>
      <c r="D189" s="193">
        <v>108.92</v>
      </c>
      <c r="E189" s="194">
        <f t="shared" ref="E189" si="18">C189/D189</f>
        <v>0.69032317297098789</v>
      </c>
      <c r="F189" s="192">
        <v>12827</v>
      </c>
      <c r="G189" s="194"/>
      <c r="H189" s="194"/>
      <c r="I189" s="97"/>
      <c r="J189" s="97"/>
      <c r="K189" s="195"/>
    </row>
    <row r="190" spans="1:11">
      <c r="A190" s="3"/>
      <c r="B190" s="3"/>
      <c r="C190" s="80"/>
      <c r="D190" s="80"/>
      <c r="E190" s="13"/>
      <c r="F190" s="3"/>
      <c r="G190" s="13"/>
      <c r="H190" s="13"/>
    </row>
  </sheetData>
  <mergeCells count="1">
    <mergeCell ref="A1:K1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"/>
  <sheetViews>
    <sheetView showGridLines="0" tabSelected="1" topLeftCell="A100" workbookViewId="0">
      <selection activeCell="I12" sqref="I12"/>
    </sheetView>
  </sheetViews>
  <sheetFormatPr defaultRowHeight="14.5"/>
  <cols>
    <col min="1" max="1" width="18.6328125" customWidth="1"/>
    <col min="2" max="2" width="25.6328125" customWidth="1"/>
    <col min="3" max="3" width="20.6328125" customWidth="1"/>
    <col min="4" max="5" width="8.6328125" customWidth="1"/>
    <col min="6" max="6" width="20.6328125" customWidth="1"/>
    <col min="7" max="9" width="8.6328125" customWidth="1"/>
    <col min="10" max="10" width="9.26953125" bestFit="1" customWidth="1"/>
  </cols>
  <sheetData>
    <row r="1" spans="1:9" ht="18" customHeight="1">
      <c r="A1" s="197" t="s">
        <v>107</v>
      </c>
      <c r="B1" s="198"/>
      <c r="C1" s="198"/>
      <c r="D1" s="198"/>
      <c r="E1" s="198"/>
      <c r="F1" s="198"/>
      <c r="G1" s="198"/>
      <c r="H1" s="198"/>
      <c r="I1" s="199"/>
    </row>
    <row r="2" spans="1:9" ht="18" customHeight="1" thickBot="1">
      <c r="A2" s="200"/>
      <c r="B2" s="201"/>
      <c r="C2" s="201"/>
      <c r="D2" s="201"/>
      <c r="E2" s="201"/>
      <c r="F2" s="201"/>
      <c r="G2" s="201"/>
      <c r="H2" s="201"/>
      <c r="I2" s="202"/>
    </row>
    <row r="3" spans="1:9" ht="18" customHeight="1">
      <c r="A3" s="203" t="s">
        <v>28</v>
      </c>
      <c r="B3" s="205" t="s">
        <v>48</v>
      </c>
      <c r="C3" s="207" t="s">
        <v>29</v>
      </c>
      <c r="D3" s="207"/>
      <c r="E3" s="207"/>
      <c r="F3" s="207" t="s">
        <v>30</v>
      </c>
      <c r="G3" s="207"/>
      <c r="H3" s="207"/>
      <c r="I3" s="208" t="s">
        <v>31</v>
      </c>
    </row>
    <row r="4" spans="1:9" ht="18" customHeight="1" thickBot="1">
      <c r="A4" s="204"/>
      <c r="B4" s="206"/>
      <c r="C4" s="42" t="s">
        <v>4</v>
      </c>
      <c r="D4" s="43" t="s">
        <v>32</v>
      </c>
      <c r="E4" s="43" t="s">
        <v>33</v>
      </c>
      <c r="F4" s="42" t="s">
        <v>4</v>
      </c>
      <c r="G4" s="43" t="s">
        <v>32</v>
      </c>
      <c r="H4" s="43" t="s">
        <v>33</v>
      </c>
      <c r="I4" s="209"/>
    </row>
    <row r="5" spans="1:9" ht="18" customHeight="1">
      <c r="A5" s="44" t="s">
        <v>81</v>
      </c>
      <c r="B5" s="45" t="s">
        <v>80</v>
      </c>
      <c r="C5" s="46" t="s">
        <v>77</v>
      </c>
      <c r="D5" s="47">
        <v>104.79</v>
      </c>
      <c r="E5" s="47">
        <f>10^(0.87*LOG10(D5)+0.73)</f>
        <v>307.38187902584559</v>
      </c>
      <c r="F5" s="46"/>
      <c r="G5" s="46"/>
      <c r="H5" s="46"/>
      <c r="I5" s="48"/>
    </row>
    <row r="6" spans="1:9" ht="18" customHeight="1" thickBot="1">
      <c r="A6" s="49"/>
      <c r="B6" s="50" t="s">
        <v>80</v>
      </c>
      <c r="C6" s="51"/>
      <c r="D6" s="52"/>
      <c r="E6" s="52"/>
      <c r="F6" s="51" t="s">
        <v>77</v>
      </c>
      <c r="G6" s="52">
        <v>181.64</v>
      </c>
      <c r="H6" s="52">
        <f>10^(0.88*LOG10(G6)+0.63)</f>
        <v>415.05544348591945</v>
      </c>
      <c r="I6" s="116">
        <f>(10^((2.22*LOG10(E5+H6))-0.37))/1000</f>
        <v>947.40655911198485</v>
      </c>
    </row>
    <row r="7" spans="1:9" ht="18" customHeight="1">
      <c r="A7" s="44" t="s">
        <v>34</v>
      </c>
      <c r="B7" s="45" t="s">
        <v>83</v>
      </c>
      <c r="C7" s="46" t="s">
        <v>35</v>
      </c>
      <c r="D7" s="47">
        <v>157</v>
      </c>
      <c r="E7" s="47">
        <v>436.95095974649161</v>
      </c>
      <c r="F7" s="46"/>
      <c r="G7" s="46"/>
      <c r="H7" s="46"/>
      <c r="I7" s="48"/>
    </row>
    <row r="8" spans="1:9" ht="18" customHeight="1" thickBot="1">
      <c r="A8" s="56"/>
      <c r="B8" s="95" t="s">
        <v>83</v>
      </c>
      <c r="C8" s="96"/>
      <c r="D8" s="97"/>
      <c r="E8" s="97"/>
      <c r="F8" s="96" t="s">
        <v>35</v>
      </c>
      <c r="G8" s="97">
        <v>234</v>
      </c>
      <c r="H8" s="97">
        <v>518.69248343980507</v>
      </c>
      <c r="I8" s="115">
        <f>(10^((2.22*LOG10(E7+H8))-0.37))/1000</f>
        <v>1763.0184748590348</v>
      </c>
    </row>
    <row r="9" spans="1:9" ht="18" customHeight="1">
      <c r="A9" s="44" t="s">
        <v>38</v>
      </c>
      <c r="B9" s="54" t="s">
        <v>274</v>
      </c>
      <c r="C9" s="55" t="s">
        <v>37</v>
      </c>
      <c r="D9" s="25">
        <v>66</v>
      </c>
      <c r="E9" s="27">
        <v>205.59058576432668</v>
      </c>
      <c r="F9" s="55"/>
      <c r="G9" s="25"/>
      <c r="H9" s="25"/>
      <c r="I9" s="48"/>
    </row>
    <row r="10" spans="1:9" ht="18" customHeight="1" thickBot="1">
      <c r="A10" s="56"/>
      <c r="B10" s="57" t="s">
        <v>274</v>
      </c>
      <c r="C10" s="58"/>
      <c r="D10" s="59"/>
      <c r="E10" s="59"/>
      <c r="F10" s="58" t="s">
        <v>37</v>
      </c>
      <c r="G10" s="59">
        <v>128</v>
      </c>
      <c r="H10" s="38">
        <v>305.03155822211613</v>
      </c>
      <c r="I10" s="115">
        <f>(10^((2.22*LOG10(E9+H10))-0.37))/1000</f>
        <v>438.51172634158576</v>
      </c>
    </row>
    <row r="11" spans="1:9" ht="18" customHeight="1" thickBot="1">
      <c r="A11" s="157" t="s">
        <v>272</v>
      </c>
      <c r="B11" s="152" t="s">
        <v>275</v>
      </c>
      <c r="C11" s="153" t="s">
        <v>273</v>
      </c>
      <c r="D11" s="154">
        <v>81.459999999999994</v>
      </c>
      <c r="E11" s="154">
        <f>10^(0.87*LOG10(D11)+0.73)</f>
        <v>246.90030874028619</v>
      </c>
      <c r="F11" s="153"/>
      <c r="G11" s="154"/>
      <c r="H11" s="155"/>
      <c r="I11" s="156">
        <f>(10^((2.22*LOG10(E11+1.4*E11))-0.37))/1000</f>
        <v>610.19266372393486</v>
      </c>
    </row>
    <row r="12" spans="1:9" ht="18" customHeight="1" thickBot="1">
      <c r="A12" s="158" t="s">
        <v>283</v>
      </c>
      <c r="B12" s="159" t="s">
        <v>284</v>
      </c>
      <c r="C12" s="160" t="s">
        <v>285</v>
      </c>
      <c r="D12" s="161">
        <v>103.8</v>
      </c>
      <c r="E12" s="161">
        <v>304.85385944630775</v>
      </c>
      <c r="F12" s="160"/>
      <c r="G12" s="161"/>
      <c r="H12" s="162"/>
      <c r="I12" s="163">
        <f>(10^((2.22*LOG10(E12+1.4*E12))-0.37))/1000</f>
        <v>974.43421583591305</v>
      </c>
    </row>
    <row r="13" spans="1:9" ht="18" customHeight="1">
      <c r="A13" s="44" t="s">
        <v>39</v>
      </c>
      <c r="B13" s="23" t="s">
        <v>278</v>
      </c>
      <c r="C13" s="24" t="s">
        <v>108</v>
      </c>
      <c r="D13" s="25">
        <v>68.569999999999993</v>
      </c>
      <c r="E13" s="25">
        <v>256</v>
      </c>
      <c r="F13" s="26"/>
      <c r="G13" s="27"/>
      <c r="H13" s="28"/>
      <c r="I13" s="48"/>
    </row>
    <row r="14" spans="1:9" ht="18" customHeight="1">
      <c r="A14" s="49"/>
      <c r="B14" s="29" t="s">
        <v>278</v>
      </c>
      <c r="C14" s="30" t="s">
        <v>109</v>
      </c>
      <c r="D14" s="31">
        <v>74.02</v>
      </c>
      <c r="E14" s="31">
        <v>290</v>
      </c>
      <c r="F14" s="32"/>
      <c r="G14" s="33"/>
      <c r="H14" s="34"/>
      <c r="I14" s="53"/>
    </row>
    <row r="15" spans="1:9" ht="18" customHeight="1">
      <c r="A15" s="49"/>
      <c r="B15" s="29" t="s">
        <v>278</v>
      </c>
      <c r="C15" s="30" t="s">
        <v>110</v>
      </c>
      <c r="D15" s="31">
        <v>65.260000000000005</v>
      </c>
      <c r="E15" s="31">
        <v>265</v>
      </c>
      <c r="F15" s="32"/>
      <c r="G15" s="33"/>
      <c r="H15" s="34"/>
      <c r="I15" s="53"/>
    </row>
    <row r="16" spans="1:9" ht="18" customHeight="1">
      <c r="A16" s="49"/>
      <c r="B16" s="29" t="s">
        <v>278</v>
      </c>
      <c r="C16" s="30" t="s">
        <v>111</v>
      </c>
      <c r="D16" s="31">
        <v>69.91</v>
      </c>
      <c r="E16" s="31">
        <v>249</v>
      </c>
      <c r="F16" s="32"/>
      <c r="G16" s="33"/>
      <c r="H16" s="34"/>
      <c r="I16" s="53"/>
    </row>
    <row r="17" spans="1:9" ht="18" customHeight="1">
      <c r="A17" s="49"/>
      <c r="B17" s="29" t="s">
        <v>278</v>
      </c>
      <c r="C17" s="30" t="s">
        <v>112</v>
      </c>
      <c r="D17" s="31">
        <v>73.59</v>
      </c>
      <c r="E17" s="31">
        <v>315</v>
      </c>
      <c r="F17" s="32"/>
      <c r="G17" s="33"/>
      <c r="H17" s="34"/>
      <c r="I17" s="53"/>
    </row>
    <row r="18" spans="1:9" ht="18" customHeight="1">
      <c r="A18" s="49"/>
      <c r="B18" s="29" t="s">
        <v>278</v>
      </c>
      <c r="C18" s="30" t="s">
        <v>113</v>
      </c>
      <c r="D18" s="31">
        <v>71.23</v>
      </c>
      <c r="E18" s="31">
        <v>270</v>
      </c>
      <c r="F18" s="32"/>
      <c r="G18" s="33"/>
      <c r="H18" s="34"/>
      <c r="I18" s="53"/>
    </row>
    <row r="19" spans="1:9" ht="18" customHeight="1">
      <c r="A19" s="60"/>
      <c r="B19" s="29" t="s">
        <v>278</v>
      </c>
      <c r="C19" s="30" t="s">
        <v>114</v>
      </c>
      <c r="D19" s="31">
        <v>77.86</v>
      </c>
      <c r="E19" s="31">
        <v>262</v>
      </c>
      <c r="F19" s="32"/>
      <c r="G19" s="33"/>
      <c r="H19" s="34"/>
      <c r="I19" s="53"/>
    </row>
    <row r="20" spans="1:9" ht="18" customHeight="1">
      <c r="A20" s="49"/>
      <c r="B20" s="29" t="s">
        <v>278</v>
      </c>
      <c r="C20" s="35" t="s">
        <v>115</v>
      </c>
      <c r="D20" s="31">
        <v>73.92</v>
      </c>
      <c r="E20" s="31">
        <v>270</v>
      </c>
      <c r="F20" s="32"/>
      <c r="G20" s="33"/>
      <c r="H20" s="34"/>
      <c r="I20" s="53"/>
    </row>
    <row r="21" spans="1:9" ht="18" customHeight="1">
      <c r="A21" s="49"/>
      <c r="B21" s="29" t="s">
        <v>278</v>
      </c>
      <c r="C21" s="35" t="s">
        <v>116</v>
      </c>
      <c r="D21" s="31">
        <v>88.4</v>
      </c>
      <c r="E21" s="31">
        <v>299</v>
      </c>
      <c r="F21" s="32"/>
      <c r="G21" s="33"/>
      <c r="H21" s="34"/>
      <c r="I21" s="53"/>
    </row>
    <row r="22" spans="1:9" ht="18" customHeight="1">
      <c r="A22" s="49"/>
      <c r="B22" s="29" t="s">
        <v>278</v>
      </c>
      <c r="C22" s="35" t="s">
        <v>117</v>
      </c>
      <c r="D22" s="31">
        <v>78.87</v>
      </c>
      <c r="E22" s="31">
        <v>287</v>
      </c>
      <c r="F22" s="32"/>
      <c r="G22" s="33"/>
      <c r="H22" s="34"/>
      <c r="I22" s="53"/>
    </row>
    <row r="23" spans="1:9" ht="18" customHeight="1">
      <c r="A23" s="49"/>
      <c r="B23" s="29" t="s">
        <v>278</v>
      </c>
      <c r="C23" s="35" t="s">
        <v>118</v>
      </c>
      <c r="D23" s="31">
        <v>78.95</v>
      </c>
      <c r="E23" s="31">
        <v>275</v>
      </c>
      <c r="F23" s="32"/>
      <c r="G23" s="33"/>
      <c r="H23" s="34"/>
      <c r="I23" s="53"/>
    </row>
    <row r="24" spans="1:9" ht="18" customHeight="1">
      <c r="A24" s="49"/>
      <c r="B24" s="29" t="s">
        <v>278</v>
      </c>
      <c r="C24" s="35" t="s">
        <v>119</v>
      </c>
      <c r="D24" s="31">
        <v>93.32</v>
      </c>
      <c r="E24" s="31">
        <v>309</v>
      </c>
      <c r="F24" s="32"/>
      <c r="G24" s="33"/>
      <c r="H24" s="34"/>
      <c r="I24" s="53"/>
    </row>
    <row r="25" spans="1:9" ht="18" customHeight="1">
      <c r="A25" s="49"/>
      <c r="B25" s="29" t="s">
        <v>278</v>
      </c>
      <c r="C25" s="35" t="s">
        <v>120</v>
      </c>
      <c r="D25" s="31">
        <v>76.8</v>
      </c>
      <c r="E25" s="31">
        <v>250</v>
      </c>
      <c r="F25" s="32"/>
      <c r="G25" s="33"/>
      <c r="H25" s="34"/>
      <c r="I25" s="53"/>
    </row>
    <row r="26" spans="1:9" ht="18" customHeight="1">
      <c r="A26" s="49"/>
      <c r="B26" s="29" t="s">
        <v>278</v>
      </c>
      <c r="C26" s="35" t="s">
        <v>121</v>
      </c>
      <c r="D26" s="31">
        <v>76.47</v>
      </c>
      <c r="E26" s="31">
        <v>253</v>
      </c>
      <c r="F26" s="32"/>
      <c r="G26" s="33"/>
      <c r="H26" s="34"/>
      <c r="I26" s="53"/>
    </row>
    <row r="27" spans="1:9" ht="18" customHeight="1">
      <c r="A27" s="49"/>
      <c r="B27" s="29" t="s">
        <v>278</v>
      </c>
      <c r="C27" s="35" t="s">
        <v>122</v>
      </c>
      <c r="D27" s="31">
        <v>78.83</v>
      </c>
      <c r="E27" s="31">
        <v>293</v>
      </c>
      <c r="F27" s="32"/>
      <c r="G27" s="33"/>
      <c r="H27" s="34"/>
      <c r="I27" s="53"/>
    </row>
    <row r="28" spans="1:9" ht="18" customHeight="1">
      <c r="A28" s="60"/>
      <c r="B28" s="29" t="s">
        <v>278</v>
      </c>
      <c r="C28" s="35" t="s">
        <v>123</v>
      </c>
      <c r="D28" s="31">
        <v>79.430000000000007</v>
      </c>
      <c r="E28" s="31">
        <v>285</v>
      </c>
      <c r="F28" s="32"/>
      <c r="G28" s="33"/>
      <c r="H28" s="34"/>
      <c r="I28" s="53"/>
    </row>
    <row r="29" spans="1:9" ht="18" customHeight="1">
      <c r="A29" s="49"/>
      <c r="B29" s="29" t="s">
        <v>278</v>
      </c>
      <c r="C29" s="35" t="s">
        <v>124</v>
      </c>
      <c r="D29" s="31">
        <v>78.930000000000007</v>
      </c>
      <c r="E29" s="31">
        <v>281</v>
      </c>
      <c r="F29" s="32"/>
      <c r="G29" s="33"/>
      <c r="H29" s="34"/>
      <c r="I29" s="53"/>
    </row>
    <row r="30" spans="1:9" ht="18" customHeight="1">
      <c r="A30" s="49"/>
      <c r="B30" s="29" t="s">
        <v>278</v>
      </c>
      <c r="C30" s="35" t="s">
        <v>125</v>
      </c>
      <c r="D30" s="31">
        <v>82.15</v>
      </c>
      <c r="E30" s="31">
        <v>305</v>
      </c>
      <c r="F30" s="32"/>
      <c r="G30" s="33"/>
      <c r="H30" s="34"/>
      <c r="I30" s="53"/>
    </row>
    <row r="31" spans="1:9" ht="18" customHeight="1">
      <c r="A31" s="49"/>
      <c r="B31" s="29" t="s">
        <v>278</v>
      </c>
      <c r="C31" s="35" t="s">
        <v>126</v>
      </c>
      <c r="D31" s="31">
        <v>88.39</v>
      </c>
      <c r="E31" s="31">
        <v>320</v>
      </c>
      <c r="F31" s="32"/>
      <c r="G31" s="33"/>
      <c r="H31" s="34"/>
      <c r="I31" s="53"/>
    </row>
    <row r="32" spans="1:9" ht="18" customHeight="1">
      <c r="A32" s="49"/>
      <c r="B32" s="29" t="s">
        <v>278</v>
      </c>
      <c r="C32" s="35" t="s">
        <v>127</v>
      </c>
      <c r="D32" s="31">
        <v>68.989999999999995</v>
      </c>
      <c r="E32" s="31">
        <v>280</v>
      </c>
      <c r="F32" s="32"/>
      <c r="G32" s="33"/>
      <c r="H32" s="34"/>
      <c r="I32" s="53"/>
    </row>
    <row r="33" spans="1:9" ht="18" customHeight="1">
      <c r="A33" s="49"/>
      <c r="B33" s="29" t="s">
        <v>278</v>
      </c>
      <c r="C33" s="35" t="s">
        <v>128</v>
      </c>
      <c r="D33" s="31">
        <v>72.430000000000007</v>
      </c>
      <c r="E33" s="31">
        <v>280</v>
      </c>
      <c r="F33" s="32"/>
      <c r="G33" s="33"/>
      <c r="H33" s="34"/>
      <c r="I33" s="53"/>
    </row>
    <row r="34" spans="1:9" ht="18" customHeight="1">
      <c r="A34" s="49"/>
      <c r="B34" s="29" t="s">
        <v>278</v>
      </c>
      <c r="C34" s="35" t="s">
        <v>129</v>
      </c>
      <c r="D34" s="31">
        <v>84.66</v>
      </c>
      <c r="E34" s="31">
        <v>275</v>
      </c>
      <c r="F34" s="32"/>
      <c r="G34" s="33"/>
      <c r="H34" s="34"/>
      <c r="I34" s="53"/>
    </row>
    <row r="35" spans="1:9" ht="18" customHeight="1">
      <c r="A35" s="49"/>
      <c r="B35" s="29" t="s">
        <v>278</v>
      </c>
      <c r="C35" s="35" t="s">
        <v>130</v>
      </c>
      <c r="D35" s="31">
        <v>89.1</v>
      </c>
      <c r="E35" s="31">
        <v>300</v>
      </c>
      <c r="F35" s="32"/>
      <c r="G35" s="33"/>
      <c r="H35" s="34"/>
      <c r="I35" s="53"/>
    </row>
    <row r="36" spans="1:9" ht="18" customHeight="1">
      <c r="A36" s="49"/>
      <c r="B36" s="29" t="s">
        <v>278</v>
      </c>
      <c r="C36" s="35" t="s">
        <v>131</v>
      </c>
      <c r="D36" s="31">
        <v>79.84</v>
      </c>
      <c r="E36" s="31">
        <v>312</v>
      </c>
      <c r="F36" s="32"/>
      <c r="G36" s="33"/>
      <c r="H36" s="34"/>
      <c r="I36" s="53"/>
    </row>
    <row r="37" spans="1:9" ht="18" customHeight="1">
      <c r="A37" s="49"/>
      <c r="B37" s="29" t="s">
        <v>278</v>
      </c>
      <c r="C37" s="35" t="s">
        <v>132</v>
      </c>
      <c r="D37" s="31">
        <v>68.86</v>
      </c>
      <c r="E37" s="31">
        <v>260</v>
      </c>
      <c r="F37" s="32"/>
      <c r="G37" s="33"/>
      <c r="H37" s="34"/>
      <c r="I37" s="53"/>
    </row>
    <row r="38" spans="1:9" ht="18" customHeight="1">
      <c r="A38" s="49"/>
      <c r="B38" s="29" t="s">
        <v>278</v>
      </c>
      <c r="C38" s="35" t="s">
        <v>133</v>
      </c>
      <c r="D38" s="31">
        <v>75.62</v>
      </c>
      <c r="E38" s="31">
        <v>259</v>
      </c>
      <c r="F38" s="32"/>
      <c r="G38" s="33"/>
      <c r="H38" s="34"/>
      <c r="I38" s="53"/>
    </row>
    <row r="39" spans="1:9" ht="18" customHeight="1">
      <c r="A39" s="49"/>
      <c r="B39" s="29" t="s">
        <v>278</v>
      </c>
      <c r="C39" s="35" t="s">
        <v>134</v>
      </c>
      <c r="D39" s="31">
        <v>88.73</v>
      </c>
      <c r="E39" s="31">
        <v>270</v>
      </c>
      <c r="F39" s="32"/>
      <c r="G39" s="33"/>
      <c r="H39" s="34"/>
      <c r="I39" s="53"/>
    </row>
    <row r="40" spans="1:9" ht="18" customHeight="1">
      <c r="A40" s="60"/>
      <c r="B40" s="29" t="s">
        <v>278</v>
      </c>
      <c r="C40" s="35" t="s">
        <v>135</v>
      </c>
      <c r="D40" s="31">
        <v>83.23</v>
      </c>
      <c r="E40" s="31">
        <v>310</v>
      </c>
      <c r="F40" s="32"/>
      <c r="G40" s="33"/>
      <c r="H40" s="34"/>
      <c r="I40" s="53"/>
    </row>
    <row r="41" spans="1:9" ht="18" customHeight="1">
      <c r="A41" s="49"/>
      <c r="B41" s="29" t="s">
        <v>278</v>
      </c>
      <c r="C41" s="35" t="s">
        <v>136</v>
      </c>
      <c r="D41" s="31">
        <v>67.25</v>
      </c>
      <c r="E41" s="31">
        <v>255</v>
      </c>
      <c r="F41" s="32"/>
      <c r="G41" s="33"/>
      <c r="H41" s="34"/>
      <c r="I41" s="53"/>
    </row>
    <row r="42" spans="1:9" ht="18" customHeight="1">
      <c r="A42" s="49"/>
      <c r="B42" s="29" t="s">
        <v>278</v>
      </c>
      <c r="C42" s="35" t="s">
        <v>137</v>
      </c>
      <c r="D42" s="31">
        <v>74.13</v>
      </c>
      <c r="E42" s="31">
        <v>284</v>
      </c>
      <c r="F42" s="32"/>
      <c r="G42" s="33"/>
      <c r="H42" s="34"/>
      <c r="I42" s="53"/>
    </row>
    <row r="43" spans="1:9" ht="18" customHeight="1">
      <c r="A43" s="49"/>
      <c r="B43" s="29" t="s">
        <v>278</v>
      </c>
      <c r="C43" s="35" t="s">
        <v>138</v>
      </c>
      <c r="D43" s="31">
        <v>77.849999999999994</v>
      </c>
      <c r="E43" s="31">
        <v>269</v>
      </c>
      <c r="F43" s="32"/>
      <c r="G43" s="33"/>
      <c r="H43" s="34"/>
      <c r="I43" s="53"/>
    </row>
    <row r="44" spans="1:9" ht="18" customHeight="1">
      <c r="A44" s="49"/>
      <c r="B44" s="29" t="s">
        <v>278</v>
      </c>
      <c r="C44" s="35" t="s">
        <v>139</v>
      </c>
      <c r="D44" s="31">
        <v>80.400000000000006</v>
      </c>
      <c r="E44" s="31">
        <v>243</v>
      </c>
      <c r="F44" s="32"/>
      <c r="G44" s="33"/>
      <c r="H44" s="34"/>
      <c r="I44" s="53"/>
    </row>
    <row r="45" spans="1:9" ht="18" customHeight="1">
      <c r="A45" s="49"/>
      <c r="B45" s="29" t="s">
        <v>278</v>
      </c>
      <c r="C45" s="35" t="s">
        <v>140</v>
      </c>
      <c r="D45" s="31">
        <v>82.3</v>
      </c>
      <c r="E45" s="31">
        <v>329</v>
      </c>
      <c r="F45" s="32"/>
      <c r="G45" s="33"/>
      <c r="H45" s="34"/>
      <c r="I45" s="53"/>
    </row>
    <row r="46" spans="1:9" ht="18" customHeight="1">
      <c r="A46" s="60"/>
      <c r="B46" s="29" t="s">
        <v>278</v>
      </c>
      <c r="C46" s="35" t="s">
        <v>141</v>
      </c>
      <c r="D46" s="31">
        <v>87.4</v>
      </c>
      <c r="E46" s="31">
        <v>303</v>
      </c>
      <c r="F46" s="32"/>
      <c r="G46" s="33"/>
      <c r="H46" s="34"/>
      <c r="I46" s="53"/>
    </row>
    <row r="47" spans="1:9" ht="18" customHeight="1">
      <c r="A47" s="49"/>
      <c r="B47" s="29" t="s">
        <v>278</v>
      </c>
      <c r="C47" s="35" t="s">
        <v>142</v>
      </c>
      <c r="D47" s="31">
        <v>72.14</v>
      </c>
      <c r="E47" s="31">
        <v>265</v>
      </c>
      <c r="F47" s="32"/>
      <c r="G47" s="33"/>
      <c r="H47" s="34"/>
      <c r="I47" s="53"/>
    </row>
    <row r="48" spans="1:9" ht="18" customHeight="1">
      <c r="A48" s="60"/>
      <c r="B48" s="29" t="s">
        <v>278</v>
      </c>
      <c r="C48" s="35" t="s">
        <v>143</v>
      </c>
      <c r="D48" s="31">
        <v>72.739999999999995</v>
      </c>
      <c r="E48" s="31">
        <v>268</v>
      </c>
      <c r="F48" s="32"/>
      <c r="G48" s="33"/>
      <c r="H48" s="34"/>
      <c r="I48" s="61"/>
    </row>
    <row r="49" spans="1:9" ht="18" customHeight="1">
      <c r="A49" s="49"/>
      <c r="B49" s="29" t="s">
        <v>278</v>
      </c>
      <c r="C49" s="35"/>
      <c r="D49" s="30"/>
      <c r="E49" s="30"/>
      <c r="F49" s="35" t="s">
        <v>144</v>
      </c>
      <c r="G49" s="30">
        <v>161.80000000000001</v>
      </c>
      <c r="H49" s="30">
        <v>393</v>
      </c>
      <c r="I49" s="53"/>
    </row>
    <row r="50" spans="1:9" ht="18" customHeight="1">
      <c r="A50" s="60"/>
      <c r="B50" s="29" t="s">
        <v>278</v>
      </c>
      <c r="C50" s="35"/>
      <c r="D50" s="30"/>
      <c r="E50" s="30"/>
      <c r="F50" s="35" t="s">
        <v>145</v>
      </c>
      <c r="G50" s="30">
        <v>148.84</v>
      </c>
      <c r="H50" s="30">
        <v>359</v>
      </c>
      <c r="I50" s="61"/>
    </row>
    <row r="51" spans="1:9" ht="18" customHeight="1">
      <c r="A51" s="49"/>
      <c r="B51" s="29" t="s">
        <v>278</v>
      </c>
      <c r="C51" s="35"/>
      <c r="D51" s="30"/>
      <c r="E51" s="30"/>
      <c r="F51" s="35" t="s">
        <v>146</v>
      </c>
      <c r="G51" s="30">
        <v>161.19</v>
      </c>
      <c r="H51" s="30">
        <v>409</v>
      </c>
      <c r="I51" s="53"/>
    </row>
    <row r="52" spans="1:9" ht="18" customHeight="1">
      <c r="A52" s="49"/>
      <c r="B52" s="29" t="s">
        <v>278</v>
      </c>
      <c r="C52" s="35"/>
      <c r="D52" s="30"/>
      <c r="E52" s="30"/>
      <c r="F52" s="35" t="s">
        <v>147</v>
      </c>
      <c r="G52" s="30">
        <v>158.25</v>
      </c>
      <c r="H52" s="30">
        <v>390</v>
      </c>
      <c r="I52" s="53"/>
    </row>
    <row r="53" spans="1:9" ht="18" customHeight="1">
      <c r="A53" s="49"/>
      <c r="B53" s="29" t="s">
        <v>278</v>
      </c>
      <c r="C53" s="35"/>
      <c r="D53" s="30"/>
      <c r="E53" s="30"/>
      <c r="F53" s="35" t="s">
        <v>148</v>
      </c>
      <c r="G53" s="30">
        <v>147.75</v>
      </c>
      <c r="H53" s="30">
        <v>357</v>
      </c>
      <c r="I53" s="62"/>
    </row>
    <row r="54" spans="1:9" ht="18" customHeight="1">
      <c r="A54" s="49"/>
      <c r="B54" s="29" t="s">
        <v>278</v>
      </c>
      <c r="C54" s="35"/>
      <c r="D54" s="30"/>
      <c r="E54" s="30"/>
      <c r="F54" s="35" t="s">
        <v>149</v>
      </c>
      <c r="G54" s="30">
        <v>166.3</v>
      </c>
      <c r="H54" s="30">
        <v>401</v>
      </c>
      <c r="I54" s="53"/>
    </row>
    <row r="55" spans="1:9" ht="18" customHeight="1">
      <c r="A55" s="49"/>
      <c r="B55" s="29" t="s">
        <v>278</v>
      </c>
      <c r="C55" s="35"/>
      <c r="D55" s="30"/>
      <c r="E55" s="30"/>
      <c r="F55" s="35" t="s">
        <v>150</v>
      </c>
      <c r="G55" s="30">
        <v>164.75</v>
      </c>
      <c r="H55" s="30">
        <v>401</v>
      </c>
      <c r="I55" s="62"/>
    </row>
    <row r="56" spans="1:9" ht="18" customHeight="1">
      <c r="A56" s="60"/>
      <c r="B56" s="29" t="s">
        <v>278</v>
      </c>
      <c r="C56" s="35"/>
      <c r="D56" s="30"/>
      <c r="E56" s="30"/>
      <c r="F56" s="35" t="s">
        <v>151</v>
      </c>
      <c r="G56" s="30">
        <v>147.38999999999999</v>
      </c>
      <c r="H56" s="30">
        <v>346</v>
      </c>
      <c r="I56" s="53"/>
    </row>
    <row r="57" spans="1:9" ht="18" customHeight="1">
      <c r="A57" s="49"/>
      <c r="B57" s="29" t="s">
        <v>278</v>
      </c>
      <c r="C57" s="35"/>
      <c r="D57" s="30"/>
      <c r="E57" s="30"/>
      <c r="F57" s="35" t="s">
        <v>152</v>
      </c>
      <c r="G57" s="30">
        <v>134.6</v>
      </c>
      <c r="H57" s="30">
        <v>334</v>
      </c>
      <c r="I57" s="62"/>
    </row>
    <row r="58" spans="1:9" ht="18" customHeight="1">
      <c r="A58" s="60"/>
      <c r="B58" s="29" t="s">
        <v>278</v>
      </c>
      <c r="C58" s="35"/>
      <c r="D58" s="30"/>
      <c r="E58" s="30"/>
      <c r="F58" s="35" t="s">
        <v>153</v>
      </c>
      <c r="G58" s="30">
        <v>171.95</v>
      </c>
      <c r="H58" s="30">
        <v>410</v>
      </c>
      <c r="I58" s="53"/>
    </row>
    <row r="59" spans="1:9" ht="18" customHeight="1">
      <c r="A59" s="49"/>
      <c r="B59" s="29" t="s">
        <v>278</v>
      </c>
      <c r="C59" s="35"/>
      <c r="D59" s="30"/>
      <c r="E59" s="30"/>
      <c r="F59" s="35" t="s">
        <v>154</v>
      </c>
      <c r="G59" s="30">
        <v>149.19999999999999</v>
      </c>
      <c r="H59" s="30">
        <v>367</v>
      </c>
      <c r="I59" s="53"/>
    </row>
    <row r="60" spans="1:9" ht="18" customHeight="1">
      <c r="A60" s="49"/>
      <c r="B60" s="29" t="s">
        <v>278</v>
      </c>
      <c r="C60" s="35"/>
      <c r="D60" s="30"/>
      <c r="E60" s="30"/>
      <c r="F60" s="35" t="s">
        <v>155</v>
      </c>
      <c r="G60" s="30">
        <v>178.34</v>
      </c>
      <c r="H60" s="30">
        <v>424</v>
      </c>
      <c r="I60" s="53"/>
    </row>
    <row r="61" spans="1:9" ht="18" customHeight="1">
      <c r="A61" s="60"/>
      <c r="B61" s="29" t="s">
        <v>278</v>
      </c>
      <c r="C61" s="35"/>
      <c r="D61" s="30"/>
      <c r="E61" s="30"/>
      <c r="F61" s="35" t="s">
        <v>156</v>
      </c>
      <c r="G61" s="30">
        <v>165.69</v>
      </c>
      <c r="H61" s="30">
        <v>403</v>
      </c>
      <c r="I61" s="53"/>
    </row>
    <row r="62" spans="1:9" ht="18" customHeight="1">
      <c r="A62" s="49"/>
      <c r="B62" s="29" t="s">
        <v>278</v>
      </c>
      <c r="C62" s="35"/>
      <c r="D62" s="30"/>
      <c r="E62" s="30"/>
      <c r="F62" s="35" t="s">
        <v>157</v>
      </c>
      <c r="G62" s="30">
        <v>166.77</v>
      </c>
      <c r="H62" s="30">
        <v>413</v>
      </c>
      <c r="I62" s="53"/>
    </row>
    <row r="63" spans="1:9" ht="18" customHeight="1">
      <c r="A63" s="60"/>
      <c r="B63" s="29" t="s">
        <v>278</v>
      </c>
      <c r="C63" s="35"/>
      <c r="D63" s="30"/>
      <c r="E63" s="30"/>
      <c r="F63" s="35" t="s">
        <v>158</v>
      </c>
      <c r="G63" s="30">
        <v>157.85</v>
      </c>
      <c r="H63" s="30">
        <v>380</v>
      </c>
      <c r="I63" s="62"/>
    </row>
    <row r="64" spans="1:9" ht="18" customHeight="1">
      <c r="A64" s="49"/>
      <c r="B64" s="29" t="s">
        <v>278</v>
      </c>
      <c r="C64" s="35"/>
      <c r="D64" s="30"/>
      <c r="E64" s="30"/>
      <c r="F64" s="35" t="s">
        <v>159</v>
      </c>
      <c r="G64" s="30">
        <v>168.85</v>
      </c>
      <c r="H64" s="30">
        <v>409</v>
      </c>
      <c r="I64" s="53"/>
    </row>
    <row r="65" spans="1:9" ht="18" customHeight="1">
      <c r="A65" s="60"/>
      <c r="B65" s="29" t="s">
        <v>278</v>
      </c>
      <c r="C65" s="35"/>
      <c r="D65" s="30"/>
      <c r="E65" s="30"/>
      <c r="F65" s="35" t="s">
        <v>160</v>
      </c>
      <c r="G65" s="30">
        <v>166.38</v>
      </c>
      <c r="H65" s="30">
        <v>403</v>
      </c>
      <c r="I65" s="53"/>
    </row>
    <row r="66" spans="1:9" ht="18" customHeight="1">
      <c r="A66" s="49"/>
      <c r="B66" s="29" t="s">
        <v>278</v>
      </c>
      <c r="C66" s="35"/>
      <c r="D66" s="30"/>
      <c r="E66" s="30"/>
      <c r="F66" s="35" t="s">
        <v>161</v>
      </c>
      <c r="G66" s="30">
        <v>177.13</v>
      </c>
      <c r="H66" s="30">
        <v>429</v>
      </c>
      <c r="I66" s="53"/>
    </row>
    <row r="67" spans="1:9" ht="18" customHeight="1">
      <c r="A67" s="49"/>
      <c r="B67" s="29" t="s">
        <v>278</v>
      </c>
      <c r="C67" s="35"/>
      <c r="D67" s="30"/>
      <c r="E67" s="30"/>
      <c r="F67" s="35" t="s">
        <v>162</v>
      </c>
      <c r="G67" s="30">
        <v>158.69999999999999</v>
      </c>
      <c r="H67" s="30">
        <v>383</v>
      </c>
      <c r="I67" s="53"/>
    </row>
    <row r="68" spans="1:9" ht="18" customHeight="1">
      <c r="A68" s="49"/>
      <c r="B68" s="29" t="s">
        <v>278</v>
      </c>
      <c r="C68" s="35"/>
      <c r="D68" s="30"/>
      <c r="E68" s="30"/>
      <c r="F68" s="35" t="s">
        <v>163</v>
      </c>
      <c r="G68" s="30">
        <v>167.77</v>
      </c>
      <c r="H68" s="30">
        <v>399</v>
      </c>
      <c r="I68" s="53"/>
    </row>
    <row r="69" spans="1:9" ht="18" customHeight="1">
      <c r="A69" s="49"/>
      <c r="B69" s="29" t="s">
        <v>278</v>
      </c>
      <c r="C69" s="35"/>
      <c r="D69" s="30"/>
      <c r="E69" s="30"/>
      <c r="F69" s="35" t="s">
        <v>164</v>
      </c>
      <c r="G69" s="30">
        <v>158.09</v>
      </c>
      <c r="H69" s="30">
        <v>380</v>
      </c>
      <c r="I69" s="53"/>
    </row>
    <row r="70" spans="1:9" ht="18" customHeight="1">
      <c r="A70" s="49"/>
      <c r="B70" s="29" t="s">
        <v>278</v>
      </c>
      <c r="C70" s="35"/>
      <c r="D70" s="30"/>
      <c r="E70" s="30"/>
      <c r="F70" s="35" t="s">
        <v>165</v>
      </c>
      <c r="G70" s="30">
        <v>162.4</v>
      </c>
      <c r="H70" s="30">
        <v>391</v>
      </c>
      <c r="I70" s="62"/>
    </row>
    <row r="71" spans="1:9" ht="18" customHeight="1">
      <c r="A71" s="60"/>
      <c r="B71" s="29" t="s">
        <v>278</v>
      </c>
      <c r="C71" s="35"/>
      <c r="D71" s="30"/>
      <c r="E71" s="30"/>
      <c r="F71" s="35" t="s">
        <v>166</v>
      </c>
      <c r="G71" s="30">
        <v>163.22</v>
      </c>
      <c r="H71" s="30">
        <v>395</v>
      </c>
      <c r="I71" s="53"/>
    </row>
    <row r="72" spans="1:9" ht="18" customHeight="1">
      <c r="A72" s="49"/>
      <c r="B72" s="29" t="s">
        <v>278</v>
      </c>
      <c r="C72" s="35"/>
      <c r="D72" s="30"/>
      <c r="E72" s="30"/>
      <c r="F72" s="35" t="s">
        <v>167</v>
      </c>
      <c r="G72" s="30">
        <v>135.25</v>
      </c>
      <c r="H72" s="30">
        <v>357</v>
      </c>
      <c r="I72" s="53"/>
    </row>
    <row r="73" spans="1:9" ht="18" customHeight="1">
      <c r="A73" s="49"/>
      <c r="B73" s="29" t="s">
        <v>278</v>
      </c>
      <c r="C73" s="35"/>
      <c r="D73" s="30"/>
      <c r="E73" s="30"/>
      <c r="F73" s="35" t="s">
        <v>168</v>
      </c>
      <c r="G73" s="30">
        <v>157.41999999999999</v>
      </c>
      <c r="H73" s="30">
        <v>382</v>
      </c>
      <c r="I73" s="62"/>
    </row>
    <row r="74" spans="1:9" ht="18" customHeight="1">
      <c r="A74" s="49"/>
      <c r="B74" s="29" t="s">
        <v>278</v>
      </c>
      <c r="C74" s="35"/>
      <c r="D74" s="30"/>
      <c r="E74" s="30"/>
      <c r="F74" s="35" t="s">
        <v>169</v>
      </c>
      <c r="G74" s="30">
        <v>156.59</v>
      </c>
      <c r="H74" s="30">
        <v>385</v>
      </c>
      <c r="I74" s="53"/>
    </row>
    <row r="75" spans="1:9" ht="18" customHeight="1">
      <c r="A75" s="49"/>
      <c r="B75" s="29" t="s">
        <v>278</v>
      </c>
      <c r="C75" s="35"/>
      <c r="D75" s="30"/>
      <c r="E75" s="30"/>
      <c r="F75" s="35" t="s">
        <v>170</v>
      </c>
      <c r="G75" s="30">
        <v>169.03</v>
      </c>
      <c r="H75" s="30">
        <v>406</v>
      </c>
      <c r="I75" s="62"/>
    </row>
    <row r="76" spans="1:9" ht="18" customHeight="1">
      <c r="A76" s="49"/>
      <c r="B76" s="29" t="s">
        <v>278</v>
      </c>
      <c r="C76" s="35"/>
      <c r="D76" s="30"/>
      <c r="E76" s="30"/>
      <c r="F76" s="35" t="s">
        <v>171</v>
      </c>
      <c r="G76" s="30">
        <v>146.4</v>
      </c>
      <c r="H76" s="30">
        <v>357</v>
      </c>
      <c r="I76" s="53"/>
    </row>
    <row r="77" spans="1:9" ht="18" customHeight="1">
      <c r="A77" s="49"/>
      <c r="B77" s="29" t="s">
        <v>278</v>
      </c>
      <c r="C77" s="35"/>
      <c r="D77" s="30"/>
      <c r="E77" s="30"/>
      <c r="F77" s="35" t="s">
        <v>172</v>
      </c>
      <c r="G77" s="30">
        <v>152.66</v>
      </c>
      <c r="H77" s="30">
        <v>373</v>
      </c>
      <c r="I77" s="53"/>
    </row>
    <row r="78" spans="1:9" ht="18" customHeight="1">
      <c r="A78" s="49"/>
      <c r="B78" s="29" t="s">
        <v>278</v>
      </c>
      <c r="C78" s="35"/>
      <c r="D78" s="30"/>
      <c r="E78" s="30"/>
      <c r="F78" s="35" t="s">
        <v>173</v>
      </c>
      <c r="G78" s="30">
        <v>142.03</v>
      </c>
      <c r="H78" s="30">
        <v>347</v>
      </c>
      <c r="I78" s="53"/>
    </row>
    <row r="79" spans="1:9" ht="18" customHeight="1">
      <c r="A79" s="49"/>
      <c r="B79" s="29" t="s">
        <v>278</v>
      </c>
      <c r="C79" s="35"/>
      <c r="D79" s="30"/>
      <c r="E79" s="30"/>
      <c r="F79" s="35" t="s">
        <v>174</v>
      </c>
      <c r="G79" s="30">
        <v>158.80000000000001</v>
      </c>
      <c r="H79" s="30">
        <v>378</v>
      </c>
      <c r="I79" s="53"/>
    </row>
    <row r="80" spans="1:9" ht="18" customHeight="1">
      <c r="A80" s="49"/>
      <c r="B80" s="29" t="s">
        <v>278</v>
      </c>
      <c r="C80" s="35"/>
      <c r="D80" s="30"/>
      <c r="E80" s="30"/>
      <c r="F80" s="35" t="s">
        <v>175</v>
      </c>
      <c r="G80" s="30">
        <v>171.89</v>
      </c>
      <c r="H80" s="30">
        <v>416</v>
      </c>
      <c r="I80" s="53"/>
    </row>
    <row r="81" spans="1:9" ht="18" customHeight="1">
      <c r="A81" s="49"/>
      <c r="B81" s="29" t="s">
        <v>278</v>
      </c>
      <c r="C81" s="32"/>
      <c r="D81" s="33"/>
      <c r="E81" s="33"/>
      <c r="F81" s="35" t="s">
        <v>176</v>
      </c>
      <c r="G81" s="30">
        <v>169.7</v>
      </c>
      <c r="H81" s="30">
        <v>408</v>
      </c>
      <c r="I81" s="53"/>
    </row>
    <row r="82" spans="1:9" ht="18" customHeight="1">
      <c r="A82" s="49"/>
      <c r="B82" s="29" t="s">
        <v>278</v>
      </c>
      <c r="C82" s="32"/>
      <c r="D82" s="33"/>
      <c r="E82" s="33"/>
      <c r="F82" s="35" t="s">
        <v>177</v>
      </c>
      <c r="G82" s="30">
        <v>158.30000000000001</v>
      </c>
      <c r="H82" s="30">
        <v>391</v>
      </c>
      <c r="I82" s="53"/>
    </row>
    <row r="83" spans="1:9" ht="18" customHeight="1">
      <c r="A83" s="49"/>
      <c r="B83" s="29" t="s">
        <v>278</v>
      </c>
      <c r="C83" s="32"/>
      <c r="D83" s="33"/>
      <c r="E83" s="33"/>
      <c r="F83" s="35" t="s">
        <v>178</v>
      </c>
      <c r="G83" s="30">
        <v>162.91999999999999</v>
      </c>
      <c r="H83" s="30">
        <v>392</v>
      </c>
      <c r="I83" s="53"/>
    </row>
    <row r="84" spans="1:9" ht="18" customHeight="1">
      <c r="A84" s="49"/>
      <c r="B84" s="29" t="s">
        <v>278</v>
      </c>
      <c r="C84" s="32"/>
      <c r="D84" s="33"/>
      <c r="E84" s="33"/>
      <c r="F84" s="35" t="s">
        <v>179</v>
      </c>
      <c r="G84" s="30">
        <v>156.69999999999999</v>
      </c>
      <c r="H84" s="30">
        <v>378</v>
      </c>
      <c r="I84" s="53"/>
    </row>
    <row r="85" spans="1:9" ht="18" customHeight="1">
      <c r="A85" s="49"/>
      <c r="B85" s="29" t="s">
        <v>278</v>
      </c>
      <c r="C85" s="32"/>
      <c r="D85" s="33"/>
      <c r="E85" s="33"/>
      <c r="F85" s="35" t="s">
        <v>180</v>
      </c>
      <c r="G85" s="30">
        <v>174.49</v>
      </c>
      <c r="H85" s="30">
        <v>419</v>
      </c>
      <c r="I85" s="53"/>
    </row>
    <row r="86" spans="1:9" ht="18" customHeight="1">
      <c r="A86" s="49"/>
      <c r="B86" s="29" t="s">
        <v>278</v>
      </c>
      <c r="C86" s="32"/>
      <c r="D86" s="33"/>
      <c r="E86" s="33"/>
      <c r="F86" s="35" t="s">
        <v>181</v>
      </c>
      <c r="G86" s="30">
        <v>133.19999999999999</v>
      </c>
      <c r="H86" s="30">
        <v>338</v>
      </c>
      <c r="I86" s="53"/>
    </row>
    <row r="87" spans="1:9" ht="18" customHeight="1">
      <c r="A87" s="49"/>
      <c r="B87" s="29" t="s">
        <v>278</v>
      </c>
      <c r="C87" s="32"/>
      <c r="D87" s="33"/>
      <c r="E87" s="33"/>
      <c r="F87" s="35" t="s">
        <v>182</v>
      </c>
      <c r="G87" s="30">
        <v>169.67</v>
      </c>
      <c r="H87" s="30">
        <v>409</v>
      </c>
      <c r="I87" s="53"/>
    </row>
    <row r="88" spans="1:9" ht="18" customHeight="1">
      <c r="A88" s="49"/>
      <c r="B88" s="29" t="s">
        <v>278</v>
      </c>
      <c r="C88" s="32"/>
      <c r="D88" s="33"/>
      <c r="E88" s="33"/>
      <c r="F88" s="35" t="s">
        <v>183</v>
      </c>
      <c r="G88" s="30">
        <v>173.95</v>
      </c>
      <c r="H88" s="30">
        <v>421</v>
      </c>
      <c r="I88" s="53"/>
    </row>
    <row r="89" spans="1:9" ht="18" customHeight="1">
      <c r="A89" s="106" t="s">
        <v>37</v>
      </c>
      <c r="B89" s="107"/>
      <c r="C89" s="108"/>
      <c r="D89" s="109">
        <f>AVERAGE(D13:D88)</f>
        <v>77.793611111111119</v>
      </c>
      <c r="E89" s="109">
        <f t="shared" ref="E89:H89" si="0">AVERAGE(E13:E88)</f>
        <v>280.44444444444446</v>
      </c>
      <c r="F89" s="109"/>
      <c r="G89" s="109">
        <f t="shared" si="0"/>
        <v>159.80524999999994</v>
      </c>
      <c r="H89" s="109">
        <f t="shared" si="0"/>
        <v>388.32499999999999</v>
      </c>
      <c r="I89" s="110">
        <f>(10^((2.22*LOG10(AVERAGE(E13:E48)+AVERAGE(H49:H88))-0.37))/1000)</f>
        <v>798.20355468812113</v>
      </c>
    </row>
    <row r="90" spans="1:9" ht="18" customHeight="1" thickBot="1">
      <c r="A90" s="111" t="s">
        <v>105</v>
      </c>
      <c r="B90" s="112"/>
      <c r="C90" s="113"/>
      <c r="D90" s="114">
        <f>STDEV(D13:D88)</f>
        <v>6.9898612914002243</v>
      </c>
      <c r="E90" s="114">
        <f t="shared" ref="E90:H90" si="1">STDEV(E13:E88)</f>
        <v>22.455599930840663</v>
      </c>
      <c r="F90" s="114"/>
      <c r="G90" s="114">
        <f t="shared" si="1"/>
        <v>11.401564667140359</v>
      </c>
      <c r="H90" s="114">
        <f t="shared" si="1"/>
        <v>24.616429264692297</v>
      </c>
      <c r="I90" s="115"/>
    </row>
    <row r="91" spans="1:9" ht="18" customHeight="1">
      <c r="A91" s="44" t="s">
        <v>87</v>
      </c>
      <c r="B91" s="23" t="s">
        <v>278</v>
      </c>
      <c r="C91" s="26" t="s">
        <v>184</v>
      </c>
      <c r="D91" s="27">
        <v>55.24</v>
      </c>
      <c r="E91" s="27">
        <v>176.10054207436235</v>
      </c>
      <c r="F91" s="24"/>
      <c r="G91" s="24"/>
      <c r="H91" s="24"/>
      <c r="I91" s="48"/>
    </row>
    <row r="92" spans="1:9" ht="18" customHeight="1">
      <c r="A92" s="49"/>
      <c r="B92" s="29" t="s">
        <v>278</v>
      </c>
      <c r="C92" s="32" t="s">
        <v>185</v>
      </c>
      <c r="D92" s="33">
        <v>52.54</v>
      </c>
      <c r="E92" s="33">
        <v>168.58788393260889</v>
      </c>
      <c r="F92" s="30"/>
      <c r="G92" s="30"/>
      <c r="H92" s="30"/>
      <c r="I92" s="53"/>
    </row>
    <row r="93" spans="1:9" ht="18" customHeight="1">
      <c r="A93" s="49"/>
      <c r="B93" s="29" t="s">
        <v>278</v>
      </c>
      <c r="C93" s="32"/>
      <c r="D93" s="33"/>
      <c r="E93" s="33"/>
      <c r="F93" s="35" t="s">
        <v>186</v>
      </c>
      <c r="G93" s="30">
        <v>117.34</v>
      </c>
      <c r="H93" s="30">
        <v>282.56121790648132</v>
      </c>
      <c r="I93" s="53"/>
    </row>
    <row r="94" spans="1:9" ht="18" customHeight="1">
      <c r="A94" s="106" t="s">
        <v>37</v>
      </c>
      <c r="B94" s="107"/>
      <c r="C94" s="108"/>
      <c r="D94" s="109">
        <f>AVERAGE(D91:D93)</f>
        <v>53.89</v>
      </c>
      <c r="E94" s="109">
        <f t="shared" ref="E94:H94" si="2">AVERAGE(E91:E93)</f>
        <v>172.34421300348561</v>
      </c>
      <c r="F94" s="109"/>
      <c r="G94" s="109">
        <f t="shared" si="2"/>
        <v>117.34</v>
      </c>
      <c r="H94" s="109">
        <f t="shared" si="2"/>
        <v>282.56121790648132</v>
      </c>
      <c r="I94" s="110">
        <f>(10^((2.22*LOG10(AVERAGE(E91:E92)+H93))-0.37))/1000</f>
        <v>339.30080512984301</v>
      </c>
    </row>
    <row r="95" spans="1:9" ht="18" customHeight="1" thickBot="1">
      <c r="A95" s="111" t="s">
        <v>105</v>
      </c>
      <c r="B95" s="112"/>
      <c r="C95" s="113"/>
      <c r="D95" s="114">
        <f>STDEV(D91:D93)</f>
        <v>1.9091883092035544</v>
      </c>
      <c r="E95" s="114">
        <f t="shared" ref="E95" si="3">STDEV(E91:E93)</f>
        <v>5.3122515167712159</v>
      </c>
      <c r="F95" s="114"/>
      <c r="G95" s="114"/>
      <c r="H95" s="114"/>
      <c r="I95" s="115"/>
    </row>
    <row r="96" spans="1:9" ht="18" customHeight="1" thickBot="1">
      <c r="A96" s="158" t="s">
        <v>286</v>
      </c>
      <c r="B96" s="159" t="s">
        <v>287</v>
      </c>
      <c r="C96" s="160" t="s">
        <v>297</v>
      </c>
      <c r="D96" s="161">
        <v>26.67</v>
      </c>
      <c r="E96" s="161">
        <f>10^(0.87*LOG10(D96)+0.73)</f>
        <v>93.463065990830842</v>
      </c>
      <c r="F96" s="160"/>
      <c r="G96" s="161"/>
      <c r="H96" s="162"/>
      <c r="I96" s="163">
        <f>(10^((2.22*LOG10(E96+1.35*E96))-0.37))/1000</f>
        <v>67.38938713469571</v>
      </c>
    </row>
    <row r="97" spans="1:10" ht="18" customHeight="1">
      <c r="A97" s="44" t="s">
        <v>40</v>
      </c>
      <c r="B97" s="23" t="s">
        <v>288</v>
      </c>
      <c r="C97" s="26" t="s">
        <v>35</v>
      </c>
      <c r="D97" s="27">
        <v>49</v>
      </c>
      <c r="E97" s="27">
        <v>158.66114701567972</v>
      </c>
      <c r="F97" s="41"/>
      <c r="G97" s="24"/>
      <c r="H97" s="24"/>
      <c r="I97" s="48"/>
    </row>
    <row r="98" spans="1:10" ht="18" customHeight="1" thickBot="1">
      <c r="A98" s="56"/>
      <c r="B98" s="36" t="s">
        <v>288</v>
      </c>
      <c r="C98" s="37"/>
      <c r="D98" s="38"/>
      <c r="E98" s="38"/>
      <c r="F98" s="39" t="s">
        <v>35</v>
      </c>
      <c r="G98" s="40">
        <v>75</v>
      </c>
      <c r="H98" s="40">
        <v>190.56972698159404</v>
      </c>
      <c r="I98" s="115">
        <f>(10^((2.22*LOG10(E97+H98))-0.37))/1000</f>
        <v>188.6731240054377</v>
      </c>
    </row>
    <row r="99" spans="1:10" ht="18" customHeight="1">
      <c r="A99" s="44" t="s">
        <v>70</v>
      </c>
      <c r="B99" s="23" t="s">
        <v>279</v>
      </c>
      <c r="C99" s="26" t="s">
        <v>41</v>
      </c>
      <c r="D99" s="27">
        <v>66</v>
      </c>
      <c r="E99" s="27">
        <v>205.59058576432668</v>
      </c>
      <c r="F99" s="41"/>
      <c r="G99" s="24"/>
      <c r="H99" s="24"/>
      <c r="I99" s="48"/>
    </row>
    <row r="100" spans="1:10" ht="18" customHeight="1">
      <c r="A100" s="63"/>
      <c r="B100" s="29" t="s">
        <v>279</v>
      </c>
      <c r="C100" s="67"/>
      <c r="D100" s="68"/>
      <c r="E100" s="68"/>
      <c r="F100" s="67" t="s">
        <v>42</v>
      </c>
      <c r="G100" s="68">
        <v>180</v>
      </c>
      <c r="H100" s="68">
        <v>411.75587501933182</v>
      </c>
      <c r="I100" s="93">
        <f>(10^((2.22*LOG10(E99+H100))-0.37))/1000</f>
        <v>668.30436420788533</v>
      </c>
    </row>
    <row r="101" spans="1:10" ht="18" customHeight="1">
      <c r="A101" s="63"/>
      <c r="B101" s="64" t="s">
        <v>280</v>
      </c>
      <c r="C101" s="67" t="s">
        <v>43</v>
      </c>
      <c r="D101" s="68">
        <v>59.4</v>
      </c>
      <c r="E101" s="68">
        <v>187.58331527048546</v>
      </c>
      <c r="F101" s="67"/>
      <c r="G101" s="68"/>
      <c r="H101" s="68"/>
      <c r="I101" s="53"/>
    </row>
    <row r="102" spans="1:10" ht="18" customHeight="1">
      <c r="A102" s="63"/>
      <c r="B102" s="64" t="s">
        <v>280</v>
      </c>
      <c r="C102" s="67"/>
      <c r="D102" s="68"/>
      <c r="E102" s="68"/>
      <c r="F102" s="67" t="s">
        <v>44</v>
      </c>
      <c r="G102" s="68">
        <v>158</v>
      </c>
      <c r="H102" s="68">
        <v>367.12861551296828</v>
      </c>
      <c r="I102" s="93">
        <f>(10^((2.22*LOG10(E101+H102))-0.37))/1000</f>
        <v>527.0233595687771</v>
      </c>
    </row>
    <row r="103" spans="1:10" ht="18" customHeight="1">
      <c r="A103" s="65"/>
      <c r="B103" s="64" t="s">
        <v>281</v>
      </c>
      <c r="C103" s="67" t="s">
        <v>22</v>
      </c>
      <c r="D103" s="68">
        <v>62.3</v>
      </c>
      <c r="E103" s="68">
        <v>209</v>
      </c>
      <c r="F103" s="67"/>
      <c r="G103" s="68"/>
      <c r="H103" s="68"/>
      <c r="I103" s="53"/>
    </row>
    <row r="104" spans="1:10" ht="18" customHeight="1">
      <c r="A104" s="65"/>
      <c r="B104" s="64" t="s">
        <v>281</v>
      </c>
      <c r="C104" s="67"/>
      <c r="D104" s="68"/>
      <c r="E104" s="68"/>
      <c r="F104" s="67" t="s">
        <v>22</v>
      </c>
      <c r="G104" s="68">
        <v>160.6</v>
      </c>
      <c r="H104" s="68">
        <v>370</v>
      </c>
      <c r="I104" s="53"/>
    </row>
    <row r="105" spans="1:10" ht="18" customHeight="1">
      <c r="A105" s="65"/>
      <c r="B105" s="64" t="s">
        <v>281</v>
      </c>
      <c r="C105" s="67" t="s">
        <v>45</v>
      </c>
      <c r="D105" s="68">
        <v>68.900000000000006</v>
      </c>
      <c r="E105" s="68">
        <v>229</v>
      </c>
      <c r="F105" s="67"/>
      <c r="G105" s="68"/>
      <c r="H105" s="68"/>
      <c r="I105" s="53"/>
      <c r="J105" s="119"/>
    </row>
    <row r="106" spans="1:10" ht="18" customHeight="1">
      <c r="A106" s="86"/>
      <c r="B106" s="64" t="s">
        <v>281</v>
      </c>
      <c r="C106" s="67"/>
      <c r="D106" s="68"/>
      <c r="E106" s="68"/>
      <c r="F106" s="67" t="s">
        <v>46</v>
      </c>
      <c r="G106" s="68">
        <v>161.30000000000001</v>
      </c>
      <c r="H106" s="68">
        <v>368</v>
      </c>
      <c r="I106" s="69"/>
    </row>
    <row r="107" spans="1:10" ht="18" customHeight="1">
      <c r="A107" s="86"/>
      <c r="B107" s="64" t="s">
        <v>281</v>
      </c>
      <c r="C107" s="67"/>
      <c r="D107" s="68"/>
      <c r="E107" s="68"/>
      <c r="F107" s="67" t="s">
        <v>47</v>
      </c>
      <c r="G107" s="68">
        <v>156.5</v>
      </c>
      <c r="H107" s="68">
        <v>359</v>
      </c>
      <c r="I107" s="93">
        <f>(10^((2.22*LOG10(AVERAGE(E103:E105)+AVERAGE(H104:H107))-0.37))/1000)</f>
        <v>592.29286661469075</v>
      </c>
    </row>
    <row r="108" spans="1:10" ht="18" customHeight="1">
      <c r="A108" s="106" t="s">
        <v>37</v>
      </c>
      <c r="B108" s="107"/>
      <c r="C108" s="108"/>
      <c r="D108" s="109">
        <f>AVERAGE(D99:D107)</f>
        <v>64.150000000000006</v>
      </c>
      <c r="E108" s="109">
        <f>AVERAGE(E99:E107)</f>
        <v>207.79347525870304</v>
      </c>
      <c r="F108" s="109"/>
      <c r="G108" s="109">
        <f>AVERAGE(G99:G107)</f>
        <v>163.28000000000003</v>
      </c>
      <c r="H108" s="109">
        <f>AVERAGE(H99:H107)</f>
        <v>375.17689810646004</v>
      </c>
      <c r="I108" s="118">
        <f>(10^((2.22*LOG10(AVERAGE(E99:E105)+AVERAGE(H100:H107))-0.37))/1000)</f>
        <v>588.48472613274203</v>
      </c>
    </row>
    <row r="109" spans="1:10" ht="18" customHeight="1" thickBot="1">
      <c r="A109" s="111" t="s">
        <v>105</v>
      </c>
      <c r="B109" s="112"/>
      <c r="C109" s="113"/>
      <c r="D109" s="114">
        <f>STDEV(D36:D107)</f>
        <v>22.604738564224654</v>
      </c>
      <c r="E109" s="114">
        <f>STDEV(E36:E107)</f>
        <v>84.243838355009842</v>
      </c>
      <c r="F109" s="114"/>
      <c r="G109" s="114">
        <f>STDEV(G36:G107)</f>
        <v>27.295693032799225</v>
      </c>
      <c r="H109" s="114">
        <f>STDEV(H36:H107)</f>
        <v>64.828429381456147</v>
      </c>
      <c r="I109" s="69"/>
    </row>
    <row r="110" spans="1:10" ht="18" customHeight="1">
      <c r="A110" s="88" t="s">
        <v>67</v>
      </c>
      <c r="B110" s="82" t="s">
        <v>289</v>
      </c>
      <c r="C110" s="83" t="s">
        <v>53</v>
      </c>
      <c r="D110" s="84">
        <v>37.79</v>
      </c>
      <c r="E110" s="84">
        <f>10^(0.87*LOG10(D110)+0.73)</f>
        <v>126.56624512701346</v>
      </c>
      <c r="F110" s="83"/>
      <c r="G110" s="84"/>
      <c r="H110" s="84"/>
      <c r="I110" s="85"/>
    </row>
    <row r="111" spans="1:10" ht="18" customHeight="1" thickBot="1">
      <c r="A111" s="87"/>
      <c r="B111" s="66" t="s">
        <v>289</v>
      </c>
      <c r="C111" s="70"/>
      <c r="D111" s="71"/>
      <c r="E111" s="71"/>
      <c r="F111" s="70" t="s">
        <v>54</v>
      </c>
      <c r="G111" s="71">
        <v>48.45</v>
      </c>
      <c r="H111" s="71">
        <f>10^(0.88*LOG10(G111)+0.63)</f>
        <v>129.73540969028792</v>
      </c>
      <c r="I111" s="117">
        <f>(10^((2.22*LOG10(E110+H111))-0.37))/1000</f>
        <v>94.935388220530896</v>
      </c>
    </row>
    <row r="112" spans="1:10" ht="18" customHeight="1">
      <c r="A112" s="88" t="s">
        <v>72</v>
      </c>
      <c r="B112" s="82" t="s">
        <v>290</v>
      </c>
      <c r="C112" s="83" t="s">
        <v>57</v>
      </c>
      <c r="D112" s="84">
        <v>20.88</v>
      </c>
      <c r="E112" s="84">
        <f>10^(0.87*LOG10(D112)+0.73)</f>
        <v>75.538008370637073</v>
      </c>
      <c r="F112" s="83"/>
      <c r="G112" s="84"/>
      <c r="H112" s="84"/>
      <c r="I112" s="85"/>
    </row>
    <row r="113" spans="1:9" ht="18" customHeight="1">
      <c r="A113" s="86"/>
      <c r="B113" s="64" t="s">
        <v>290</v>
      </c>
      <c r="C113" s="67"/>
      <c r="D113" s="68"/>
      <c r="E113" s="68"/>
      <c r="F113" s="67" t="s">
        <v>57</v>
      </c>
      <c r="G113" s="68">
        <v>27.31</v>
      </c>
      <c r="H113" s="68">
        <f>10^(0.88*LOG10(G113)+0.63)</f>
        <v>78.336307419564534</v>
      </c>
      <c r="I113" s="118"/>
    </row>
    <row r="114" spans="1:9" ht="18" customHeight="1">
      <c r="A114" s="86"/>
      <c r="B114" s="64" t="s">
        <v>282</v>
      </c>
      <c r="C114" s="67" t="s">
        <v>75</v>
      </c>
      <c r="D114" s="68">
        <v>25.6</v>
      </c>
      <c r="E114" s="68">
        <v>86</v>
      </c>
      <c r="F114" s="67"/>
      <c r="G114" s="68"/>
      <c r="H114" s="68"/>
      <c r="I114" s="93"/>
    </row>
    <row r="115" spans="1:9" ht="18" customHeight="1">
      <c r="A115" s="86"/>
      <c r="B115" s="64" t="s">
        <v>282</v>
      </c>
      <c r="C115" s="67"/>
      <c r="D115" s="68"/>
      <c r="E115" s="68"/>
      <c r="F115" s="67" t="s">
        <v>76</v>
      </c>
      <c r="G115" s="68">
        <v>37.6</v>
      </c>
      <c r="H115" s="68">
        <v>98</v>
      </c>
      <c r="I115" s="118"/>
    </row>
    <row r="116" spans="1:9" ht="18" customHeight="1">
      <c r="A116" s="106" t="s">
        <v>37</v>
      </c>
      <c r="B116" s="107"/>
      <c r="C116" s="108"/>
      <c r="D116" s="109">
        <f>AVERAGE(D112:D115)</f>
        <v>23.240000000000002</v>
      </c>
      <c r="E116" s="109">
        <f t="shared" ref="E116:H116" si="4">AVERAGE(E112:E115)</f>
        <v>80.769004185318536</v>
      </c>
      <c r="F116" s="109"/>
      <c r="G116" s="109">
        <f t="shared" si="4"/>
        <v>32.454999999999998</v>
      </c>
      <c r="H116" s="109">
        <f t="shared" si="4"/>
        <v>88.168153709782274</v>
      </c>
      <c r="I116" s="118">
        <f>(10^((2.22*LOG10(E116+H116))-0.37))/1000</f>
        <v>37.631359437530833</v>
      </c>
    </row>
    <row r="117" spans="1:9" ht="18" customHeight="1" thickBot="1">
      <c r="A117" s="111" t="s">
        <v>105</v>
      </c>
      <c r="B117" s="112"/>
      <c r="C117" s="113"/>
      <c r="D117" s="114">
        <f>STDEV(D112:D115)</f>
        <v>3.3375440072005151</v>
      </c>
      <c r="E117" s="114">
        <f t="shared" ref="E117:H117" si="5">STDEV(E112:E115)</f>
        <v>7.397745225839417</v>
      </c>
      <c r="F117" s="114"/>
      <c r="G117" s="114">
        <f t="shared" si="5"/>
        <v>7.2761287784096131</v>
      </c>
      <c r="H117" s="114">
        <f t="shared" si="5"/>
        <v>13.904330366793419</v>
      </c>
      <c r="I117" s="69"/>
    </row>
    <row r="118" spans="1:9" ht="18" customHeight="1">
      <c r="A118" s="88" t="s">
        <v>71</v>
      </c>
      <c r="B118" s="82" t="s">
        <v>291</v>
      </c>
      <c r="C118" s="83" t="s">
        <v>60</v>
      </c>
      <c r="D118" s="84">
        <v>15.97</v>
      </c>
      <c r="E118" s="84">
        <f>10^(0.87*LOG10(D118)+0.73)</f>
        <v>59.823976476508903</v>
      </c>
      <c r="F118" s="83"/>
      <c r="G118" s="84"/>
      <c r="H118" s="84"/>
      <c r="I118" s="85"/>
    </row>
    <row r="119" spans="1:9" ht="18" customHeight="1" thickBot="1">
      <c r="A119" s="87"/>
      <c r="B119" s="66" t="s">
        <v>291</v>
      </c>
      <c r="C119" s="70"/>
      <c r="D119" s="71"/>
      <c r="E119" s="71"/>
      <c r="F119" s="70" t="s">
        <v>61</v>
      </c>
      <c r="G119" s="71">
        <v>17.670000000000002</v>
      </c>
      <c r="H119" s="71">
        <f>10^(0.88*LOG10(G119)+0.63)</f>
        <v>53.403308477694772</v>
      </c>
      <c r="I119" s="117">
        <f>(10^((2.22*LOG10(E118+H119))-0.37))/1000</f>
        <v>15.480016805149708</v>
      </c>
    </row>
    <row r="120" spans="1:9" ht="18" customHeight="1">
      <c r="A120" s="91" t="s">
        <v>36</v>
      </c>
    </row>
    <row r="121" spans="1:9" ht="18" customHeight="1">
      <c r="A121" s="94" t="s">
        <v>82</v>
      </c>
    </row>
    <row r="122" spans="1:9" ht="18" customHeight="1">
      <c r="A122" s="92" t="s">
        <v>84</v>
      </c>
    </row>
    <row r="123" spans="1:9" ht="18" customHeight="1">
      <c r="A123" s="92" t="s">
        <v>85</v>
      </c>
    </row>
    <row r="124" spans="1:9" ht="18" customHeight="1">
      <c r="A124" s="92" t="s">
        <v>277</v>
      </c>
    </row>
    <row r="125" spans="1:9" ht="18" customHeight="1">
      <c r="A125" s="92" t="s">
        <v>276</v>
      </c>
    </row>
    <row r="126" spans="1:9" ht="18" customHeight="1">
      <c r="A126" s="92" t="s">
        <v>292</v>
      </c>
    </row>
    <row r="127" spans="1:9" ht="18" customHeight="1">
      <c r="A127" s="92" t="s">
        <v>293</v>
      </c>
    </row>
    <row r="128" spans="1:9" ht="18" customHeight="1">
      <c r="A128" s="89" t="s">
        <v>294</v>
      </c>
    </row>
    <row r="129" spans="1:1">
      <c r="A129" s="89" t="s">
        <v>295</v>
      </c>
    </row>
    <row r="130" spans="1:1">
      <c r="A130" s="89" t="s">
        <v>296</v>
      </c>
    </row>
    <row r="131" spans="1:1">
      <c r="A131" s="90"/>
    </row>
  </sheetData>
  <mergeCells count="6">
    <mergeCell ref="A1:I2"/>
    <mergeCell ref="A3:A4"/>
    <mergeCell ref="B3:B4"/>
    <mergeCell ref="C3:E3"/>
    <mergeCell ref="F3:H3"/>
    <mergeCell ref="I3:I4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2022-04-15T19:03:32Z</dcterms:created>
  <dcterms:modified xsi:type="dcterms:W3CDTF">2023-05-27T19:24:54Z</dcterms:modified>
</cp:coreProperties>
</file>