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-33680" yWindow="11800" windowWidth="35000" windowHeight="23540" tabRatio="500"/>
  </bookViews>
  <sheets>
    <sheet name="magma ocean model" sheetId="3" r:id="rId1"/>
    <sheet name="Mass balance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8" i="3" l="1"/>
  <c r="F125" i="3"/>
  <c r="F126" i="3"/>
  <c r="F119" i="3"/>
  <c r="D75" i="3"/>
  <c r="C87" i="3"/>
  <c r="C110" i="3"/>
  <c r="F110" i="3"/>
  <c r="C112" i="3"/>
  <c r="C113" i="3"/>
  <c r="F113" i="3"/>
  <c r="C114" i="3"/>
  <c r="F114" i="3"/>
  <c r="F116" i="3"/>
  <c r="F90" i="3"/>
  <c r="C92" i="3"/>
  <c r="C50" i="3"/>
  <c r="C55" i="3"/>
  <c r="F93" i="3"/>
  <c r="C43" i="3"/>
  <c r="C44" i="3"/>
  <c r="C30" i="3"/>
  <c r="C31" i="3"/>
  <c r="C40" i="3"/>
  <c r="C45" i="3"/>
  <c r="C58" i="3"/>
  <c r="C63" i="3"/>
  <c r="C97" i="3"/>
  <c r="C98" i="3"/>
  <c r="D44" i="3"/>
  <c r="D29" i="3"/>
  <c r="D40" i="3"/>
  <c r="D45" i="3"/>
  <c r="D58" i="3"/>
  <c r="D63" i="3"/>
  <c r="E44" i="3"/>
  <c r="E29" i="3"/>
  <c r="E40" i="3"/>
  <c r="E45" i="3"/>
  <c r="E58" i="3"/>
  <c r="E63" i="3"/>
  <c r="F44" i="3"/>
  <c r="F29" i="3"/>
  <c r="F40" i="3"/>
  <c r="F45" i="3"/>
  <c r="F58" i="3"/>
  <c r="F63" i="3"/>
  <c r="G44" i="3"/>
  <c r="G29" i="3"/>
  <c r="G40" i="3"/>
  <c r="G45" i="3"/>
  <c r="G49" i="3"/>
  <c r="G58" i="3"/>
  <c r="G63" i="3"/>
  <c r="C95" i="3"/>
  <c r="C54" i="3"/>
  <c r="D50" i="3"/>
  <c r="E50" i="3"/>
  <c r="F50" i="3"/>
  <c r="G50" i="3"/>
  <c r="F97" i="3"/>
  <c r="F98" i="3"/>
  <c r="C100" i="3"/>
  <c r="C101" i="3"/>
  <c r="D74" i="3"/>
  <c r="D77" i="3"/>
  <c r="F100" i="3"/>
  <c r="F101" i="3"/>
  <c r="F107" i="3"/>
  <c r="C103" i="3"/>
  <c r="F103" i="3"/>
  <c r="F121" i="3"/>
  <c r="F122" i="3"/>
  <c r="C125" i="3"/>
  <c r="C126" i="3"/>
  <c r="F9" i="3"/>
  <c r="F7" i="3"/>
  <c r="F8" i="3"/>
  <c r="C130" i="3"/>
  <c r="C129" i="3"/>
  <c r="C131" i="3"/>
  <c r="D131" i="3"/>
  <c r="F10" i="3"/>
  <c r="E87" i="3"/>
  <c r="C93" i="3"/>
  <c r="F92" i="3"/>
  <c r="C107" i="3"/>
  <c r="F105" i="3"/>
  <c r="F106" i="3"/>
  <c r="C41" i="3"/>
  <c r="C46" i="3"/>
  <c r="D78" i="3"/>
  <c r="C105" i="3"/>
  <c r="C106" i="3"/>
  <c r="F95" i="3"/>
  <c r="C74" i="3"/>
  <c r="D69" i="3"/>
  <c r="E69" i="3"/>
  <c r="C69" i="3"/>
  <c r="C70" i="3"/>
  <c r="E70" i="3"/>
  <c r="D70" i="3"/>
  <c r="D71" i="3"/>
  <c r="E71" i="3"/>
  <c r="C71" i="3"/>
  <c r="K3" i="4"/>
  <c r="K6" i="4"/>
  <c r="L7" i="4"/>
  <c r="D76" i="3"/>
  <c r="E8" i="4"/>
  <c r="I8" i="4"/>
  <c r="F3" i="4"/>
  <c r="C59" i="3"/>
  <c r="C60" i="3"/>
  <c r="C51" i="3"/>
  <c r="D51" i="3"/>
  <c r="H7" i="4"/>
  <c r="H6" i="4"/>
  <c r="H5" i="4"/>
  <c r="D7" i="4"/>
  <c r="C7" i="4"/>
  <c r="D2" i="4"/>
  <c r="D3" i="4"/>
  <c r="D4" i="4"/>
  <c r="D5" i="4"/>
  <c r="D6" i="4"/>
  <c r="D8" i="4"/>
  <c r="C8" i="4"/>
  <c r="C3" i="4"/>
  <c r="C4" i="4"/>
  <c r="C5" i="4"/>
  <c r="C6" i="4"/>
  <c r="C2" i="4"/>
  <c r="E4" i="4"/>
  <c r="I4" i="4"/>
  <c r="E3" i="4"/>
  <c r="I3" i="4"/>
  <c r="I10" i="4"/>
  <c r="E7" i="4"/>
  <c r="I7" i="4"/>
  <c r="K7" i="4"/>
  <c r="F4" i="4"/>
  <c r="F6" i="4"/>
  <c r="F7" i="4"/>
  <c r="F5" i="4"/>
  <c r="E2" i="4"/>
  <c r="E6" i="4"/>
  <c r="I6" i="4"/>
  <c r="L4" i="4"/>
  <c r="L3" i="4"/>
  <c r="E5" i="4"/>
  <c r="L5" i="4"/>
  <c r="I5" i="4"/>
  <c r="L6" i="4"/>
  <c r="D41" i="3"/>
  <c r="E41" i="3"/>
  <c r="F41" i="3"/>
  <c r="K5" i="4"/>
  <c r="K4" i="4"/>
  <c r="I11" i="4"/>
  <c r="I9" i="4"/>
  <c r="C75" i="3"/>
  <c r="C64" i="3"/>
  <c r="G41" i="3"/>
  <c r="E46" i="3"/>
  <c r="F46" i="3"/>
  <c r="G46" i="3"/>
  <c r="D46" i="3"/>
  <c r="D59" i="3"/>
  <c r="D64" i="3"/>
  <c r="E59" i="3"/>
  <c r="E64" i="3"/>
  <c r="C65" i="3"/>
  <c r="D60" i="3"/>
  <c r="F59" i="3"/>
  <c r="F64" i="3"/>
  <c r="D65" i="3"/>
  <c r="G59" i="3"/>
  <c r="I64" i="3"/>
  <c r="I59" i="3"/>
  <c r="E60" i="3"/>
  <c r="E65" i="3"/>
  <c r="G64" i="3"/>
  <c r="F60" i="3"/>
  <c r="I58" i="3"/>
  <c r="I60" i="3"/>
  <c r="I63" i="3"/>
  <c r="I65" i="3"/>
  <c r="F65" i="3"/>
  <c r="G60" i="3"/>
  <c r="G65" i="3"/>
  <c r="E51" i="3"/>
  <c r="E74" i="3"/>
  <c r="F51" i="3"/>
  <c r="G51" i="3"/>
  <c r="F6" i="3"/>
</calcChain>
</file>

<file path=xl/sharedStrings.xml><?xml version="1.0" encoding="utf-8"?>
<sst xmlns="http://schemas.openxmlformats.org/spreadsheetml/2006/main" count="202" uniqueCount="177">
  <si>
    <t>vol (m3)</t>
  </si>
  <si>
    <t>radius (km)</t>
  </si>
  <si>
    <t>radius (m)</t>
  </si>
  <si>
    <t>BSE</t>
  </si>
  <si>
    <t>external radius crust</t>
  </si>
  <si>
    <t>internal radius crust</t>
  </si>
  <si>
    <t>core-mantle radius</t>
  </si>
  <si>
    <t>present-day BSE content (ppm)</t>
  </si>
  <si>
    <t>Molar mass</t>
  </si>
  <si>
    <t>(Pu/U) initial</t>
  </si>
  <si>
    <t>U initial (mol)</t>
  </si>
  <si>
    <t>Pu initial (mol)</t>
  </si>
  <si>
    <t>density crust (kg/m3)</t>
  </si>
  <si>
    <t>mass (g)</t>
  </si>
  <si>
    <t>T1/2 U (yr)</t>
  </si>
  <si>
    <t>T1/2 Pu (yr)</t>
  </si>
  <si>
    <t>age solar system</t>
  </si>
  <si>
    <t>reservoirs</t>
  </si>
  <si>
    <t>Mass total mantle</t>
  </si>
  <si>
    <t>thickness hadean crust (km)</t>
  </si>
  <si>
    <t>Intial, t=0</t>
  </si>
  <si>
    <t>time after CAI (yr)</t>
  </si>
  <si>
    <t>U concentration hadean crust (ppm)</t>
  </si>
  <si>
    <t>equivalent present-day U (ppm)</t>
  </si>
  <si>
    <t>mol Pu  left to decay</t>
  </si>
  <si>
    <t>equivalent present-day U (ppb)</t>
  </si>
  <si>
    <t>parameters to modify</t>
  </si>
  <si>
    <t>outputs</t>
  </si>
  <si>
    <t>present U content cont. crust (ppm)</t>
  </si>
  <si>
    <t>A</t>
  </si>
  <si>
    <t>time onset subduction (yr ago)</t>
  </si>
  <si>
    <t>Mass subd. material (g/yr)</t>
  </si>
  <si>
    <t>U content subd. material (ppm)</t>
  </si>
  <si>
    <t>density MORB (kg/m3)</t>
  </si>
  <si>
    <t>vol emitted MORBS (m3/yr)</t>
  </si>
  <si>
    <t>D(U)</t>
  </si>
  <si>
    <t>D(Th)</t>
  </si>
  <si>
    <t>Ref</t>
  </si>
  <si>
    <t>Note</t>
  </si>
  <si>
    <t>H2020a</t>
  </si>
  <si>
    <t>CaPv</t>
  </si>
  <si>
    <t>H2020b</t>
  </si>
  <si>
    <t>Maj</t>
  </si>
  <si>
    <t>Cpx</t>
  </si>
  <si>
    <t>Opx</t>
  </si>
  <si>
    <t>Assumed</t>
  </si>
  <si>
    <t>B</t>
  </si>
  <si>
    <t>C</t>
  </si>
  <si>
    <t>&gt; 22 Gpa</t>
  </si>
  <si>
    <t>22-18 Gpa</t>
  </si>
  <si>
    <t>U</t>
  </si>
  <si>
    <t>Th</t>
  </si>
  <si>
    <t>fraction trapped</t>
  </si>
  <si>
    <t>% left liquid</t>
  </si>
  <si>
    <t>18-15 Gpa</t>
  </si>
  <si>
    <t>15-2.5 Gpa</t>
  </si>
  <si>
    <t>2.5-0 Gpa</t>
  </si>
  <si>
    <t>D</t>
  </si>
  <si>
    <t>E</t>
  </si>
  <si>
    <t>Summary</t>
  </si>
  <si>
    <t>km</t>
  </si>
  <si>
    <t>ppm</t>
  </si>
  <si>
    <t>ppb</t>
  </si>
  <si>
    <t xml:space="preserve">hadean crust thickness </t>
  </si>
  <si>
    <t xml:space="preserve"> Uranium</t>
  </si>
  <si>
    <t>Plutonium</t>
  </si>
  <si>
    <t>Critical parameters</t>
  </si>
  <si>
    <t>Cumulate (ppm)</t>
  </si>
  <si>
    <t>Fractional crystallization</t>
  </si>
  <si>
    <t>batch = 1   fractional = 0</t>
  </si>
  <si>
    <t>cristalization rate 2.5-0 Gpa</t>
  </si>
  <si>
    <t>% modal CaPv &gt; 22 Gpa</t>
  </si>
  <si>
    <t>%</t>
  </si>
  <si>
    <t>Th/U</t>
  </si>
  <si>
    <t>hadean crust extraction (Myr after CAI)</t>
  </si>
  <si>
    <t>Partition coefficients</t>
  </si>
  <si>
    <t>Mineralogical Assemblages</t>
  </si>
  <si>
    <t>Bulk Ds</t>
  </si>
  <si>
    <t>Bulk Ds+trapped liquid</t>
  </si>
  <si>
    <t>Composition of cumulates and liquids</t>
  </si>
  <si>
    <t>UM depletion factor</t>
  </si>
  <si>
    <t>average value</t>
  </si>
  <si>
    <t>P (Gpa)</t>
  </si>
  <si>
    <t>density</t>
  </si>
  <si>
    <t>croute</t>
  </si>
  <si>
    <t>LM</t>
  </si>
  <si>
    <t>TZ1</t>
  </si>
  <si>
    <t>TZ2</t>
  </si>
  <si>
    <t>Gt field</t>
  </si>
  <si>
    <t>Sp field</t>
  </si>
  <si>
    <t>Total</t>
  </si>
  <si>
    <t>UM</t>
  </si>
  <si>
    <t>X (mass)</t>
  </si>
  <si>
    <t>X (volume)</t>
  </si>
  <si>
    <t>Fp</t>
  </si>
  <si>
    <t>Ol</t>
  </si>
  <si>
    <t>preferred value</t>
  </si>
  <si>
    <t>mol U left to decay @Td</t>
  </si>
  <si>
    <t>Magma ocean crystallisation model</t>
  </si>
  <si>
    <t>Trapped melt fraction (%)</t>
  </si>
  <si>
    <t>Trapped melt</t>
  </si>
  <si>
    <t>Bg</t>
  </si>
  <si>
    <t>Sp</t>
  </si>
  <si>
    <t>Grt</t>
  </si>
  <si>
    <t>Liquid (ppm)</t>
  </si>
  <si>
    <t>Mass lower mantle (PLM)</t>
  </si>
  <si>
    <t>depth (km)</t>
  </si>
  <si>
    <t>Radius (km)</t>
  </si>
  <si>
    <t>CMB</t>
  </si>
  <si>
    <t>Note: Pressure-depth "gradient" is adjusted to obtain the correct P at a given depth</t>
  </si>
  <si>
    <t>gradient (Gpa/km)</t>
  </si>
  <si>
    <t>Mass of reservoirs (kg)</t>
  </si>
  <si>
    <t>Melt volume (km3)</t>
  </si>
  <si>
    <t>Volume initial</t>
  </si>
  <si>
    <t>residual liquid / BSE</t>
  </si>
  <si>
    <t>U concentration BSE @Td (mol/g)</t>
  </si>
  <si>
    <t>Mass convecting mantle</t>
  </si>
  <si>
    <t>U concentration BSE@Td (ppm)</t>
  </si>
  <si>
    <t>mol U convecting mantle</t>
  </si>
  <si>
    <t>mass of U convecting mantle (U)</t>
  </si>
  <si>
    <t>U content convecting mantle (ppb)</t>
  </si>
  <si>
    <t>mass U in BMO (g)</t>
  </si>
  <si>
    <t>mol U in BMO (g)</t>
  </si>
  <si>
    <t>% U BSE in BMO</t>
  </si>
  <si>
    <t>mass U hadean crust</t>
  </si>
  <si>
    <t>mol U hadean crust (g)</t>
  </si>
  <si>
    <t>% U BSE in crust</t>
  </si>
  <si>
    <t>% U (BSE-BMO) in crust</t>
  </si>
  <si>
    <t>Mass residual liquid (g)</t>
  </si>
  <si>
    <t>Mass SMO (residual liquid, g)</t>
  </si>
  <si>
    <t>Mass BMO (residual liquid, g)</t>
  </si>
  <si>
    <t>% U BSE in convecting mantle</t>
  </si>
  <si>
    <t>mol U primitive convecting mantle</t>
  </si>
  <si>
    <t>convecting mantle U depletion factor</t>
  </si>
  <si>
    <t>mol U left to decay today</t>
  </si>
  <si>
    <t>Total mass crust (g)</t>
  </si>
  <si>
    <t>Total mass U crust (g)</t>
  </si>
  <si>
    <t xml:space="preserve">mass U left to decay (g) </t>
  </si>
  <si>
    <t>Total mass U in mantle (g)</t>
  </si>
  <si>
    <t>Hadean crust</t>
  </si>
  <si>
    <t>Extraction Hadean crust</t>
  </si>
  <si>
    <t>Present day rate of subduction (after Nielsen 2010)</t>
  </si>
  <si>
    <t>mol U crust</t>
  </si>
  <si>
    <t>mol U mantle</t>
  </si>
  <si>
    <t xml:space="preserve"> U content N-MORB (ppb)</t>
  </si>
  <si>
    <t>mass emitted N-MORBS (g/yr)</t>
  </si>
  <si>
    <t>Flux MORB U (mol/yr)</t>
  </si>
  <si>
    <t>Mass U subd. (g/yr)</t>
  </si>
  <si>
    <t>Flux subd. U (mol/yr)</t>
  </si>
  <si>
    <t>Mass U MORB (g/yr)</t>
  </si>
  <si>
    <t>present day net mantle U increase (mol/yr)</t>
  </si>
  <si>
    <t>net mantle U balance since onset subd. (mol/yr)</t>
  </si>
  <si>
    <t>% U (BSE-BMO) in mantle</t>
  </si>
  <si>
    <t xml:space="preserve">hadean crust U conc </t>
  </si>
  <si>
    <t xml:space="preserve">equivalent present-day mantle U </t>
  </si>
  <si>
    <t>bulk U conc mantle (ppb)</t>
  </si>
  <si>
    <t>today: 1.96E+07</t>
  </si>
  <si>
    <t>factor of mantle U increase</t>
  </si>
  <si>
    <t>mol U extracted convection</t>
  </si>
  <si>
    <t xml:space="preserve">mol U subducted </t>
  </si>
  <si>
    <t>factor subduction efficiency</t>
  </si>
  <si>
    <t>mantle U balance since onset subd. (mol/yr)</t>
  </si>
  <si>
    <t>X (Mass fraction crystallized, wt%)</t>
  </si>
  <si>
    <t>clinopyroxene</t>
  </si>
  <si>
    <t>orthopyroxene</t>
  </si>
  <si>
    <t>olivine</t>
  </si>
  <si>
    <t>feldspath</t>
  </si>
  <si>
    <t>spinel</t>
  </si>
  <si>
    <t>calcium perovskite</t>
  </si>
  <si>
    <t>bridgmanite</t>
  </si>
  <si>
    <t>majorite</t>
  </si>
  <si>
    <t>garnet</t>
  </si>
  <si>
    <t>Present day bulk mantle U content (following approch by Tissot et al. 2015)</t>
  </si>
  <si>
    <t>Beattie - ref 94</t>
  </si>
  <si>
    <t>Salters &amp; Longhi - ref 95</t>
  </si>
  <si>
    <t>Corgne et al. - ref 96</t>
  </si>
  <si>
    <t>Corgne &amp; Wood - ref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</si>
</sst>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E+00;\_x0000_"/>
    <numFmt numFmtId="165" formatCode="0.0E+00;\_x0000_"/>
    <numFmt numFmtId="166" formatCode="0.0"/>
    <numFmt numFmtId="167" formatCode="0.0%"/>
    <numFmt numFmtId="168" formatCode="0.000"/>
    <numFmt numFmtId="169" formatCode="0.0000"/>
    <numFmt numFmtId="170" formatCode="0.0E+0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name val="Calibri"/>
      <family val="2"/>
    </font>
    <font>
      <i/>
      <sz val="12"/>
      <color theme="0" tint="-0.499984740745262"/>
      <name val="Calibri"/>
      <family val="2"/>
    </font>
    <font>
      <i/>
      <sz val="12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i/>
      <sz val="12"/>
      <color theme="0" tint="-0.499984740745262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3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2">
    <xf numFmtId="0" fontId="0" fillId="0" borderId="0" xfId="0"/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1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1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7" fontId="5" fillId="0" borderId="0" xfId="1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169" fontId="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8" fontId="5" fillId="0" borderId="7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0" fontId="8" fillId="0" borderId="0" xfId="0" applyNumberFormat="1" applyFont="1" applyFill="1" applyBorder="1" applyAlignment="1" applyProtection="1">
      <alignment horizontal="center" vertical="center"/>
    </xf>
    <xf numFmtId="11" fontId="8" fillId="0" borderId="7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1" fontId="8" fillId="0" borderId="7" xfId="0" applyNumberFormat="1" applyFont="1" applyFill="1" applyBorder="1" applyAlignment="1" applyProtection="1">
      <alignment horizontal="center" vertical="center"/>
    </xf>
    <xf numFmtId="168" fontId="7" fillId="0" borderId="0" xfId="0" applyNumberFormat="1" applyFont="1" applyFill="1" applyBorder="1" applyAlignment="1" applyProtection="1">
      <alignment horizontal="center" vertical="center"/>
    </xf>
    <xf numFmtId="168" fontId="7" fillId="0" borderId="7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6" borderId="6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7" xfId="0" applyNumberFormat="1" applyFont="1" applyFill="1" applyBorder="1" applyAlignment="1" applyProtection="1">
      <alignment horizontal="center" vertical="center"/>
    </xf>
    <xf numFmtId="0" fontId="8" fillId="4" borderId="0" xfId="0" applyNumberFormat="1" applyFont="1" applyFill="1" applyBorder="1" applyAlignment="1" applyProtection="1">
      <alignment horizontal="center" vertical="center"/>
    </xf>
    <xf numFmtId="0" fontId="8" fillId="4" borderId="7" xfId="0" applyNumberFormat="1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6" fontId="8" fillId="0" borderId="7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1" fontId="5" fillId="0" borderId="7" xfId="0" applyNumberFormat="1" applyFont="1" applyBorder="1" applyAlignment="1">
      <alignment horizontal="center" vertical="center"/>
    </xf>
    <xf numFmtId="11" fontId="4" fillId="0" borderId="7" xfId="0" applyNumberFormat="1" applyFont="1" applyBorder="1" applyAlignment="1">
      <alignment horizontal="center" vertical="center"/>
    </xf>
    <xf numFmtId="166" fontId="5" fillId="3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1" fontId="4" fillId="0" borderId="10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1" fontId="5" fillId="2" borderId="7" xfId="0" applyNumberFormat="1" applyFont="1" applyFill="1" applyBorder="1" applyAlignment="1">
      <alignment horizontal="center" vertical="center"/>
    </xf>
    <xf numFmtId="11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8" fontId="8" fillId="0" borderId="7" xfId="0" applyNumberFormat="1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168" fontId="7" fillId="0" borderId="12" xfId="0" applyNumberFormat="1" applyFont="1" applyFill="1" applyBorder="1" applyAlignment="1" applyProtection="1">
      <alignment horizontal="center" vertical="center"/>
    </xf>
    <xf numFmtId="0" fontId="8" fillId="6" borderId="12" xfId="0" applyNumberFormat="1" applyFont="1" applyFill="1" applyBorder="1" applyAlignment="1" applyProtection="1">
      <alignment horizontal="center" vertical="center"/>
    </xf>
    <xf numFmtId="168" fontId="8" fillId="0" borderId="12" xfId="0" applyNumberFormat="1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 applyProtection="1">
      <alignment horizontal="center" vertical="center"/>
    </xf>
    <xf numFmtId="168" fontId="12" fillId="0" borderId="9" xfId="0" applyNumberFormat="1" applyFont="1" applyFill="1" applyBorder="1" applyAlignment="1" applyProtection="1">
      <alignment horizontal="center" vertical="center"/>
    </xf>
    <xf numFmtId="168" fontId="12" fillId="0" borderId="10" xfId="0" applyNumberFormat="1" applyFont="1" applyFill="1" applyBorder="1" applyAlignment="1" applyProtection="1">
      <alignment horizontal="center" vertical="center"/>
    </xf>
    <xf numFmtId="0" fontId="16" fillId="0" borderId="6" xfId="0" applyNumberFormat="1" applyFont="1" applyFill="1" applyBorder="1" applyAlignment="1" applyProtection="1">
      <alignment horizontal="center" vertical="center"/>
    </xf>
    <xf numFmtId="168" fontId="12" fillId="0" borderId="0" xfId="0" applyNumberFormat="1" applyFont="1" applyFill="1" applyBorder="1" applyAlignment="1" applyProtection="1">
      <alignment horizontal="center" vertical="center"/>
    </xf>
    <xf numFmtId="168" fontId="12" fillId="0" borderId="7" xfId="0" applyNumberFormat="1" applyFont="1" applyFill="1" applyBorder="1" applyAlignment="1" applyProtection="1">
      <alignment horizontal="center" vertical="center"/>
    </xf>
    <xf numFmtId="168" fontId="12" fillId="0" borderId="13" xfId="0" applyNumberFormat="1" applyFont="1" applyFill="1" applyBorder="1" applyAlignment="1" applyProtection="1">
      <alignment horizontal="center" vertical="center"/>
    </xf>
    <xf numFmtId="168" fontId="12" fillId="0" borderId="12" xfId="0" applyNumberFormat="1" applyFont="1" applyFill="1" applyBorder="1" applyAlignment="1" applyProtection="1">
      <alignment horizontal="center" vertical="center"/>
    </xf>
    <xf numFmtId="1" fontId="9" fillId="2" borderId="10" xfId="1" applyNumberFormat="1" applyFont="1" applyFill="1" applyBorder="1" applyAlignment="1">
      <alignment horizontal="center" vertical="center"/>
    </xf>
    <xf numFmtId="0" fontId="19" fillId="4" borderId="6" xfId="0" applyNumberFormat="1" applyFont="1" applyFill="1" applyBorder="1" applyAlignment="1" applyProtection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11" fontId="4" fillId="6" borderId="1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8" fontId="0" fillId="0" borderId="0" xfId="0" applyNumberFormat="1"/>
    <xf numFmtId="11" fontId="0" fillId="0" borderId="0" xfId="0" applyNumberFormat="1"/>
    <xf numFmtId="166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20" fillId="0" borderId="0" xfId="0" applyFont="1" applyBorder="1"/>
    <xf numFmtId="0" fontId="20" fillId="0" borderId="2" xfId="0" applyFont="1" applyBorder="1"/>
    <xf numFmtId="0" fontId="21" fillId="0" borderId="0" xfId="0" applyFont="1" applyBorder="1" applyAlignment="1">
      <alignment horizontal="center" vertical="center"/>
    </xf>
    <xf numFmtId="2" fontId="8" fillId="0" borderId="7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0" fillId="5" borderId="16" xfId="0" applyFont="1" applyFill="1" applyBorder="1" applyAlignment="1">
      <alignment horizontal="center"/>
    </xf>
    <xf numFmtId="0" fontId="20" fillId="5" borderId="16" xfId="0" applyFont="1" applyFill="1" applyBorder="1"/>
    <xf numFmtId="0" fontId="0" fillId="0" borderId="0" xfId="0" applyFont="1" applyFill="1" applyBorder="1"/>
    <xf numFmtId="168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8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0" fillId="0" borderId="0" xfId="0" applyFont="1" applyAlignment="1">
      <alignment horizontal="center"/>
    </xf>
    <xf numFmtId="11" fontId="20" fillId="0" borderId="0" xfId="0" applyNumberFormat="1" applyFont="1" applyAlignment="1">
      <alignment horizontal="center"/>
    </xf>
    <xf numFmtId="0" fontId="20" fillId="4" borderId="16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2" fillId="0" borderId="1" xfId="0" applyFont="1" applyBorder="1"/>
    <xf numFmtId="1" fontId="22" fillId="0" borderId="0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9" fontId="8" fillId="0" borderId="0" xfId="1" applyFont="1" applyFill="1" applyBorder="1" applyAlignment="1" applyProtection="1">
      <alignment horizontal="center" vertical="center"/>
    </xf>
    <xf numFmtId="11" fontId="23" fillId="0" borderId="0" xfId="0" applyNumberFormat="1" applyFont="1" applyFill="1" applyBorder="1" applyAlignment="1" applyProtection="1">
      <alignment horizontal="center" vertical="center"/>
    </xf>
    <xf numFmtId="11" fontId="8" fillId="0" borderId="0" xfId="0" applyNumberFormat="1" applyFont="1" applyFill="1" applyBorder="1" applyAlignment="1" applyProtection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center" vertic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1" fontId="24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9" fontId="4" fillId="3" borderId="0" xfId="1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Fill="1" applyBorder="1" applyAlignment="1">
      <alignment horizontal="center" vertical="center"/>
    </xf>
    <xf numFmtId="167" fontId="4" fillId="7" borderId="7" xfId="1" applyNumberFormat="1" applyFont="1" applyFill="1" applyBorder="1" applyAlignment="1">
      <alignment horizontal="center" vertical="center"/>
    </xf>
    <xf numFmtId="11" fontId="5" fillId="0" borderId="0" xfId="1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1" fontId="24" fillId="0" borderId="0" xfId="0" applyNumberFormat="1" applyFont="1" applyFill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11" fontId="4" fillId="3" borderId="7" xfId="0" applyNumberFormat="1" applyFont="1" applyFill="1" applyBorder="1" applyAlignment="1">
      <alignment horizontal="center" vertical="center"/>
    </xf>
    <xf numFmtId="9" fontId="4" fillId="3" borderId="9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1" fontId="4" fillId="3" borderId="9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9" fontId="4" fillId="7" borderId="7" xfId="1" applyNumberFormat="1" applyFont="1" applyFill="1" applyBorder="1" applyAlignment="1">
      <alignment horizontal="center" vertical="center"/>
    </xf>
    <xf numFmtId="2" fontId="4" fillId="7" borderId="10" xfId="1" applyNumberFormat="1" applyFont="1" applyFill="1" applyBorder="1" applyAlignment="1">
      <alignment horizontal="center" vertical="center"/>
    </xf>
    <xf numFmtId="11" fontId="4" fillId="0" borderId="7" xfId="0" applyNumberFormat="1" applyFont="1" applyFill="1" applyBorder="1" applyAlignment="1">
      <alignment horizontal="center" vertical="center"/>
    </xf>
    <xf numFmtId="11" fontId="11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11" fontId="5" fillId="3" borderId="9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9" fontId="10" fillId="0" borderId="9" xfId="1" applyFont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11" fontId="11" fillId="3" borderId="0" xfId="0" applyNumberFormat="1" applyFont="1" applyFill="1" applyBorder="1" applyAlignment="1">
      <alignment horizontal="center" vertical="center"/>
    </xf>
  </cellXfs>
  <cellStyles count="336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Normal" xfId="0" builtinId="0"/>
    <cellStyle name="Pourcentag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topLeftCell="C1" zoomScale="200" zoomScaleNormal="200" zoomScalePageLayoutView="200" workbookViewId="0">
      <selection activeCell="E19" sqref="E19"/>
    </sheetView>
  </sheetViews>
  <sheetFormatPr baseColWidth="10" defaultColWidth="10.83203125" defaultRowHeight="15" x14ac:dyDescent="0"/>
  <cols>
    <col min="1" max="1" width="10.83203125" style="2"/>
    <col min="2" max="2" width="41.83203125" style="2" customWidth="1"/>
    <col min="3" max="3" width="22.6640625" style="2" customWidth="1"/>
    <col min="4" max="4" width="25.1640625" style="2" customWidth="1"/>
    <col min="5" max="5" width="44.83203125" style="2" customWidth="1"/>
    <col min="6" max="6" width="26.1640625" style="2" customWidth="1"/>
    <col min="7" max="7" width="22.33203125" style="2" customWidth="1"/>
    <col min="8" max="8" width="15" style="2" customWidth="1"/>
    <col min="9" max="9" width="31.33203125" style="2" customWidth="1"/>
    <col min="10" max="10" width="12.1640625" style="2" bestFit="1" customWidth="1"/>
    <col min="11" max="16384" width="10.83203125" style="2"/>
  </cols>
  <sheetData>
    <row r="1" spans="2:10" ht="16" thickBot="1"/>
    <row r="2" spans="2:10" ht="16" thickBot="1">
      <c r="B2" s="4"/>
      <c r="C2" s="3" t="s">
        <v>26</v>
      </c>
      <c r="F2" s="106" t="s">
        <v>16</v>
      </c>
      <c r="G2" s="107">
        <v>4568000000</v>
      </c>
      <c r="I2"/>
      <c r="J2"/>
    </row>
    <row r="3" spans="2:10" s="7" customFormat="1">
      <c r="B3" s="5"/>
      <c r="C3" s="48" t="s">
        <v>27</v>
      </c>
      <c r="I3"/>
      <c r="J3" s="109"/>
    </row>
    <row r="4" spans="2:10" s="7" customFormat="1" ht="16" thickBot="1">
      <c r="B4" s="47"/>
      <c r="C4" s="48"/>
      <c r="I4"/>
      <c r="J4" s="109"/>
    </row>
    <row r="5" spans="2:10" s="7" customFormat="1" ht="20">
      <c r="B5" s="84" t="s">
        <v>66</v>
      </c>
      <c r="C5" s="88"/>
      <c r="E5" s="79" t="s">
        <v>59</v>
      </c>
      <c r="F5" s="80"/>
      <c r="G5" s="81"/>
    </row>
    <row r="6" spans="2:10" s="7" customFormat="1">
      <c r="B6" s="85" t="s">
        <v>69</v>
      </c>
      <c r="C6" s="86">
        <v>1</v>
      </c>
      <c r="E6" s="33" t="s">
        <v>63</v>
      </c>
      <c r="F6" s="82">
        <f>E74</f>
        <v>40.025945446462174</v>
      </c>
      <c r="G6" s="45" t="s">
        <v>60</v>
      </c>
    </row>
    <row r="7" spans="2:10" s="7" customFormat="1">
      <c r="B7" s="85" t="s">
        <v>70</v>
      </c>
      <c r="C7" s="86">
        <v>0.59499999999999997</v>
      </c>
      <c r="E7" s="33" t="s">
        <v>153</v>
      </c>
      <c r="F7" s="24">
        <f>C95</f>
        <v>1.3205051096798033</v>
      </c>
      <c r="G7" s="45" t="s">
        <v>61</v>
      </c>
    </row>
    <row r="8" spans="2:10" s="7" customFormat="1">
      <c r="B8" s="85" t="s">
        <v>99</v>
      </c>
      <c r="C8" s="86">
        <v>0</v>
      </c>
      <c r="E8" s="33" t="s">
        <v>154</v>
      </c>
      <c r="F8" s="24">
        <f>F101</f>
        <v>4.5678892221022753</v>
      </c>
      <c r="G8" s="45" t="s">
        <v>62</v>
      </c>
    </row>
    <row r="9" spans="2:10" s="7" customFormat="1">
      <c r="B9" s="85" t="s">
        <v>74</v>
      </c>
      <c r="C9" s="86">
        <v>170</v>
      </c>
      <c r="D9" s="129"/>
      <c r="E9" s="108" t="s">
        <v>80</v>
      </c>
      <c r="F9" s="82">
        <f>F103*100</f>
        <v>27.02280274236497</v>
      </c>
      <c r="G9" s="45" t="s">
        <v>72</v>
      </c>
    </row>
    <row r="10" spans="2:10" s="7" customFormat="1" ht="16" thickBot="1">
      <c r="B10" s="87" t="s">
        <v>71</v>
      </c>
      <c r="C10" s="104">
        <v>1</v>
      </c>
      <c r="E10" s="83" t="s">
        <v>151</v>
      </c>
      <c r="F10" s="186">
        <f>F119</f>
        <v>321460770.44162816</v>
      </c>
      <c r="G10" s="187" t="s">
        <v>156</v>
      </c>
      <c r="H10" s="130"/>
    </row>
    <row r="11" spans="2:10" s="7" customFormat="1">
      <c r="B11" s="47"/>
      <c r="C11" s="48"/>
    </row>
    <row r="12" spans="2:10" ht="16" thickBot="1"/>
    <row r="13" spans="2:10" ht="20">
      <c r="B13" s="222" t="s">
        <v>98</v>
      </c>
      <c r="C13" s="223"/>
      <c r="D13" s="223"/>
      <c r="E13" s="223"/>
      <c r="F13" s="223"/>
      <c r="G13" s="224"/>
      <c r="I13" s="95" t="s">
        <v>68</v>
      </c>
    </row>
    <row r="14" spans="2:10">
      <c r="B14" s="25"/>
      <c r="C14" s="154"/>
      <c r="D14" s="154"/>
      <c r="E14" s="154"/>
      <c r="F14" s="154"/>
      <c r="G14" s="26"/>
      <c r="I14" s="90"/>
    </row>
    <row r="15" spans="2:10" ht="18">
      <c r="B15" s="152" t="s">
        <v>75</v>
      </c>
      <c r="C15" s="10" t="s">
        <v>35</v>
      </c>
      <c r="D15" s="10" t="s">
        <v>36</v>
      </c>
      <c r="E15" s="10" t="s">
        <v>37</v>
      </c>
      <c r="F15" s="10" t="s">
        <v>38</v>
      </c>
      <c r="G15" s="55"/>
      <c r="I15" s="90"/>
    </row>
    <row r="16" spans="2:10">
      <c r="B16" s="153" t="s">
        <v>169</v>
      </c>
      <c r="C16" s="154">
        <v>3.3000000000000002E-2</v>
      </c>
      <c r="D16" s="154">
        <v>6.0000000000000001E-3</v>
      </c>
      <c r="E16" s="31" t="s">
        <v>175</v>
      </c>
      <c r="F16" s="154" t="s">
        <v>39</v>
      </c>
      <c r="G16" s="26"/>
      <c r="I16" s="90"/>
    </row>
    <row r="17" spans="2:9">
      <c r="B17" s="153" t="s">
        <v>168</v>
      </c>
      <c r="C17" s="126">
        <v>15</v>
      </c>
      <c r="D17" s="126">
        <v>18</v>
      </c>
      <c r="E17" s="31" t="s">
        <v>175</v>
      </c>
      <c r="F17" s="154" t="s">
        <v>41</v>
      </c>
      <c r="G17" s="26"/>
      <c r="I17" s="90"/>
    </row>
    <row r="18" spans="2:9">
      <c r="B18" s="153" t="s">
        <v>170</v>
      </c>
      <c r="C18" s="29">
        <v>0.02</v>
      </c>
      <c r="D18" s="29">
        <v>1.7000000000000001E-2</v>
      </c>
      <c r="E18" s="31" t="s">
        <v>176</v>
      </c>
      <c r="F18" s="154" t="s">
        <v>96</v>
      </c>
      <c r="G18" s="26"/>
      <c r="I18" s="90"/>
    </row>
    <row r="19" spans="2:9">
      <c r="B19" s="153" t="s">
        <v>171</v>
      </c>
      <c r="C19" s="154">
        <v>2.7699999999999999E-2</v>
      </c>
      <c r="D19" s="154">
        <v>9.7999999999999997E-3</v>
      </c>
      <c r="E19" s="31" t="s">
        <v>174</v>
      </c>
      <c r="F19" s="154" t="s">
        <v>81</v>
      </c>
      <c r="G19" s="26"/>
      <c r="I19" s="90"/>
    </row>
    <row r="20" spans="2:9">
      <c r="B20" s="153" t="s">
        <v>163</v>
      </c>
      <c r="C20" s="154">
        <v>7.4999999999999997E-3</v>
      </c>
      <c r="D20" s="30">
        <v>6.7000000000000002E-3</v>
      </c>
      <c r="E20" s="31" t="s">
        <v>174</v>
      </c>
      <c r="F20" s="154" t="s">
        <v>81</v>
      </c>
      <c r="G20" s="26"/>
      <c r="I20" s="90"/>
    </row>
    <row r="21" spans="2:9">
      <c r="B21" s="153" t="s">
        <v>164</v>
      </c>
      <c r="C21" s="154">
        <v>2.3E-3</v>
      </c>
      <c r="D21" s="154">
        <v>6.9999999999999999E-4</v>
      </c>
      <c r="E21" s="31" t="s">
        <v>174</v>
      </c>
      <c r="F21" s="154" t="s">
        <v>81</v>
      </c>
      <c r="G21" s="26"/>
      <c r="I21" s="90"/>
    </row>
    <row r="22" spans="2:9">
      <c r="B22" s="153" t="s">
        <v>165</v>
      </c>
      <c r="C22" s="154">
        <v>0</v>
      </c>
      <c r="D22" s="154">
        <v>0</v>
      </c>
      <c r="E22" s="31"/>
      <c r="F22" s="154" t="s">
        <v>45</v>
      </c>
      <c r="G22" s="26"/>
      <c r="I22" s="90"/>
    </row>
    <row r="23" spans="2:9">
      <c r="B23" s="153" t="s">
        <v>166</v>
      </c>
      <c r="C23" s="154">
        <v>0</v>
      </c>
      <c r="D23" s="154">
        <v>0</v>
      </c>
      <c r="E23" s="31"/>
      <c r="F23" s="154" t="s">
        <v>45</v>
      </c>
      <c r="G23" s="26"/>
      <c r="I23" s="90"/>
    </row>
    <row r="24" spans="2:9">
      <c r="B24" s="153" t="s">
        <v>167</v>
      </c>
      <c r="C24" s="15">
        <v>1.1E-4</v>
      </c>
      <c r="D24" s="15">
        <v>1.7000000000000001E-4</v>
      </c>
      <c r="E24" s="31" t="s">
        <v>173</v>
      </c>
      <c r="F24" s="154"/>
      <c r="G24" s="26"/>
      <c r="I24" s="90"/>
    </row>
    <row r="25" spans="2:9">
      <c r="B25" s="153" t="s">
        <v>100</v>
      </c>
      <c r="C25" s="126">
        <v>1</v>
      </c>
      <c r="D25" s="154">
        <v>1</v>
      </c>
      <c r="E25" s="154"/>
      <c r="F25" s="154"/>
      <c r="G25" s="26"/>
      <c r="I25" s="90"/>
    </row>
    <row r="26" spans="2:9">
      <c r="B26" s="153"/>
      <c r="C26" s="154"/>
      <c r="D26" s="31"/>
      <c r="E26" s="154"/>
      <c r="F26" s="154"/>
      <c r="G26" s="26"/>
      <c r="I26" s="90"/>
    </row>
    <row r="27" spans="2:9">
      <c r="B27" s="225" t="s">
        <v>76</v>
      </c>
      <c r="C27" s="10" t="s">
        <v>29</v>
      </c>
      <c r="D27" s="10" t="s">
        <v>46</v>
      </c>
      <c r="E27" s="10" t="s">
        <v>47</v>
      </c>
      <c r="F27" s="10" t="s">
        <v>57</v>
      </c>
      <c r="G27" s="55" t="s">
        <v>58</v>
      </c>
      <c r="I27" s="90"/>
    </row>
    <row r="28" spans="2:9">
      <c r="B28" s="226"/>
      <c r="C28" s="52" t="s">
        <v>48</v>
      </c>
      <c r="D28" s="52" t="s">
        <v>49</v>
      </c>
      <c r="E28" s="52" t="s">
        <v>54</v>
      </c>
      <c r="F28" s="52" t="s">
        <v>55</v>
      </c>
      <c r="G28" s="53" t="s">
        <v>56</v>
      </c>
      <c r="I28" s="90"/>
    </row>
    <row r="29" spans="2:9">
      <c r="B29" s="32" t="s">
        <v>95</v>
      </c>
      <c r="C29" s="1"/>
      <c r="D29" s="44">
        <f>1-D33</f>
        <v>0.44999999999999996</v>
      </c>
      <c r="E29" s="44">
        <f>1-E33-E35</f>
        <v>0.4</v>
      </c>
      <c r="F29" s="44">
        <f>1-F34-F35-F37</f>
        <v>0.49999999999999994</v>
      </c>
      <c r="G29" s="46">
        <f>1-G36-G35-G37</f>
        <v>0.49999999999999994</v>
      </c>
      <c r="I29" s="90"/>
    </row>
    <row r="30" spans="2:9">
      <c r="B30" s="32" t="s">
        <v>40</v>
      </c>
      <c r="C30" s="1">
        <f>C10/100</f>
        <v>0.01</v>
      </c>
      <c r="D30" s="1"/>
      <c r="E30" s="1"/>
      <c r="F30" s="1"/>
      <c r="G30" s="27"/>
      <c r="I30" s="90"/>
    </row>
    <row r="31" spans="2:9">
      <c r="B31" s="32" t="s">
        <v>101</v>
      </c>
      <c r="C31" s="1">
        <f>1-C30-C32</f>
        <v>0.98</v>
      </c>
      <c r="D31" s="1"/>
      <c r="E31" s="1"/>
      <c r="F31" s="1"/>
      <c r="G31" s="27"/>
      <c r="I31" s="90"/>
    </row>
    <row r="32" spans="2:9">
      <c r="B32" s="32" t="s">
        <v>94</v>
      </c>
      <c r="C32" s="1">
        <v>0.01</v>
      </c>
      <c r="D32" s="1"/>
      <c r="E32" s="1"/>
      <c r="F32" s="1"/>
      <c r="G32" s="27"/>
      <c r="I32" s="90"/>
    </row>
    <row r="33" spans="2:9">
      <c r="B33" s="32" t="s">
        <v>42</v>
      </c>
      <c r="C33" s="1"/>
      <c r="D33" s="1">
        <v>0.55000000000000004</v>
      </c>
      <c r="E33" s="1">
        <v>0.25</v>
      </c>
      <c r="F33" s="1"/>
      <c r="G33" s="27"/>
      <c r="I33" s="90"/>
    </row>
    <row r="34" spans="2:9">
      <c r="B34" s="32" t="s">
        <v>103</v>
      </c>
      <c r="C34" s="1"/>
      <c r="D34" s="1"/>
      <c r="E34" s="1"/>
      <c r="F34" s="1">
        <v>0.1</v>
      </c>
      <c r="G34" s="27"/>
      <c r="I34" s="90"/>
    </row>
    <row r="35" spans="2:9">
      <c r="B35" s="32" t="s">
        <v>43</v>
      </c>
      <c r="C35" s="1"/>
      <c r="D35" s="1"/>
      <c r="E35" s="1">
        <v>0.35</v>
      </c>
      <c r="F35" s="1">
        <v>0.2</v>
      </c>
      <c r="G35" s="27">
        <v>0.2</v>
      </c>
      <c r="I35" s="90"/>
    </row>
    <row r="36" spans="2:9">
      <c r="B36" s="32" t="s">
        <v>102</v>
      </c>
      <c r="C36" s="1"/>
      <c r="D36" s="1"/>
      <c r="E36" s="1"/>
      <c r="F36" s="1"/>
      <c r="G36" s="27">
        <v>0.1</v>
      </c>
      <c r="I36" s="90"/>
    </row>
    <row r="37" spans="2:9">
      <c r="B37" s="32" t="s">
        <v>44</v>
      </c>
      <c r="C37" s="1"/>
      <c r="D37" s="1"/>
      <c r="E37" s="1"/>
      <c r="F37" s="1">
        <v>0.2</v>
      </c>
      <c r="G37" s="27">
        <v>0.2</v>
      </c>
      <c r="I37" s="90"/>
    </row>
    <row r="38" spans="2:9">
      <c r="B38" s="25"/>
      <c r="C38" s="154"/>
      <c r="D38" s="154"/>
      <c r="E38" s="154"/>
      <c r="F38" s="154"/>
      <c r="G38" s="26"/>
      <c r="I38" s="90"/>
    </row>
    <row r="39" spans="2:9" ht="18">
      <c r="B39" s="152" t="s">
        <v>77</v>
      </c>
      <c r="C39" s="18"/>
      <c r="D39" s="18"/>
      <c r="E39" s="18"/>
      <c r="F39" s="18"/>
      <c r="G39" s="54"/>
      <c r="I39" s="90"/>
    </row>
    <row r="40" spans="2:9">
      <c r="B40" s="153" t="s">
        <v>50</v>
      </c>
      <c r="C40" s="29">
        <f>C30*C17+C31*C16+C32*C23</f>
        <v>0.18234</v>
      </c>
      <c r="D40" s="29">
        <f>D29*C22+D33*C18</f>
        <v>1.1000000000000001E-2</v>
      </c>
      <c r="E40" s="29">
        <f>E29*C22+E33*C18+E35*C20</f>
        <v>7.6249999999999998E-3</v>
      </c>
      <c r="F40" s="29">
        <f>F29*$C22+F34*$C19+F35*$C20+F37*$C21</f>
        <v>4.7299999999999998E-3</v>
      </c>
      <c r="G40" s="34">
        <f>G29*$C22+G36*$C24+G35*$C20+G37*$C21</f>
        <v>1.9710000000000001E-3</v>
      </c>
      <c r="I40" s="90"/>
    </row>
    <row r="41" spans="2:9">
      <c r="B41" s="153" t="s">
        <v>51</v>
      </c>
      <c r="C41" s="29">
        <f>C30*D17+C31*D16+C32*C23</f>
        <v>0.18587999999999999</v>
      </c>
      <c r="D41" s="29">
        <f>D29*D22+D33*D18</f>
        <v>9.3500000000000007E-3</v>
      </c>
      <c r="E41" s="29">
        <f>E29*D22+E33*D18+E35*D20</f>
        <v>6.5950000000000002E-3</v>
      </c>
      <c r="F41" s="29">
        <f>F29*$D22+F34*$D19+F35*$D20+F37*$D21</f>
        <v>2.4599999999999999E-3</v>
      </c>
      <c r="G41" s="34">
        <f>G29*$D22+G36*$D24+G35*$D20+G37*$D21</f>
        <v>1.4970000000000001E-3</v>
      </c>
      <c r="I41" s="90"/>
    </row>
    <row r="42" spans="2:9">
      <c r="B42" s="153"/>
      <c r="C42" s="20"/>
      <c r="D42" s="29"/>
      <c r="E42" s="29"/>
      <c r="F42" s="29"/>
      <c r="G42" s="34"/>
      <c r="I42" s="90"/>
    </row>
    <row r="43" spans="2:9" ht="18">
      <c r="B43" s="152" t="s">
        <v>78</v>
      </c>
      <c r="C43" s="10">
        <f>C8/100</f>
        <v>0</v>
      </c>
      <c r="D43" s="18"/>
      <c r="E43" s="18"/>
      <c r="F43" s="18"/>
      <c r="G43" s="54"/>
      <c r="I43" s="90"/>
    </row>
    <row r="44" spans="2:9">
      <c r="B44" s="35" t="s">
        <v>52</v>
      </c>
      <c r="C44" s="23">
        <f>C43</f>
        <v>0</v>
      </c>
      <c r="D44" s="23">
        <f>C43</f>
        <v>0</v>
      </c>
      <c r="E44" s="23">
        <f>C43</f>
        <v>0</v>
      </c>
      <c r="F44" s="23">
        <f>C43</f>
        <v>0</v>
      </c>
      <c r="G44" s="28">
        <f>C43</f>
        <v>0</v>
      </c>
      <c r="H44" s="14"/>
      <c r="I44" s="90"/>
    </row>
    <row r="45" spans="2:9">
      <c r="B45" s="153" t="s">
        <v>50</v>
      </c>
      <c r="C45" s="29">
        <f>(1-C44)*C40+C44*C25</f>
        <v>0.18234</v>
      </c>
      <c r="D45" s="29">
        <f>(1-D44)*D40+D44*C25</f>
        <v>1.1000000000000001E-2</v>
      </c>
      <c r="E45" s="29">
        <f>(1-E44)*E40+E44*C25</f>
        <v>7.6249999999999998E-3</v>
      </c>
      <c r="F45" s="29">
        <f>(1-F44)*F40+F44*C25</f>
        <v>4.7299999999999998E-3</v>
      </c>
      <c r="G45" s="34">
        <f>(1-G44)*G40+G44*C25</f>
        <v>1.9710000000000001E-3</v>
      </c>
      <c r="I45" s="90"/>
    </row>
    <row r="46" spans="2:9">
      <c r="B46" s="153" t="s">
        <v>51</v>
      </c>
      <c r="C46" s="29">
        <f>(1-C44)*C41+C44*D25</f>
        <v>0.18587999999999999</v>
      </c>
      <c r="D46" s="29">
        <f>(1-D44)*D41+D44*D25</f>
        <v>9.3500000000000007E-3</v>
      </c>
      <c r="E46" s="29">
        <f>(1-E44)*E41+E44*D25</f>
        <v>6.5950000000000002E-3</v>
      </c>
      <c r="F46" s="29">
        <f>(1-F44)*F41+F44*D25</f>
        <v>2.4599999999999999E-3</v>
      </c>
      <c r="G46" s="34">
        <f>(1-G44)*G41+G44*D25</f>
        <v>1.4970000000000001E-3</v>
      </c>
      <c r="I46" s="90"/>
    </row>
    <row r="47" spans="2:9">
      <c r="B47" s="25"/>
      <c r="C47" s="154"/>
      <c r="D47" s="154"/>
      <c r="E47" s="154"/>
      <c r="F47" s="154"/>
      <c r="G47" s="26"/>
      <c r="I47" s="90"/>
    </row>
    <row r="48" spans="2:9" ht="18">
      <c r="B48" s="105" t="s">
        <v>79</v>
      </c>
      <c r="C48" s="52" t="s">
        <v>48</v>
      </c>
      <c r="D48" s="52" t="s">
        <v>49</v>
      </c>
      <c r="E48" s="52" t="s">
        <v>54</v>
      </c>
      <c r="F48" s="52" t="s">
        <v>55</v>
      </c>
      <c r="G48" s="53" t="s">
        <v>56</v>
      </c>
      <c r="H48" s="14"/>
      <c r="I48" s="91" t="s">
        <v>56</v>
      </c>
    </row>
    <row r="49" spans="2:9">
      <c r="B49" s="32" t="s">
        <v>162</v>
      </c>
      <c r="C49" s="162">
        <v>0.5</v>
      </c>
      <c r="D49" s="162">
        <v>0.2</v>
      </c>
      <c r="E49" s="162">
        <v>0.2</v>
      </c>
      <c r="F49" s="163">
        <v>0.8</v>
      </c>
      <c r="G49" s="127">
        <f>C7</f>
        <v>0.59499999999999997</v>
      </c>
      <c r="H49" s="14"/>
      <c r="I49" s="90"/>
    </row>
    <row r="50" spans="2:9">
      <c r="B50" s="32" t="s">
        <v>128</v>
      </c>
      <c r="C50" s="37">
        <f>(1-C49)*D75</f>
        <v>2.0260191928835551E+27</v>
      </c>
      <c r="D50" s="37">
        <f>(1-D49)*C54</f>
        <v>9.0765659841183295E+26</v>
      </c>
      <c r="E50" s="37">
        <f>(1-E49)*D50</f>
        <v>7.2612527872946633E+26</v>
      </c>
      <c r="F50" s="37">
        <f>(1-F49)*E50</f>
        <v>1.4522505574589324E+26</v>
      </c>
      <c r="G50" s="38">
        <f>(1-G49)*F50</f>
        <v>5.8816147577086764E+25</v>
      </c>
      <c r="H50" s="23"/>
      <c r="I50" s="90"/>
    </row>
    <row r="51" spans="2:9">
      <c r="B51" s="32" t="s">
        <v>53</v>
      </c>
      <c r="C51" s="57">
        <f>100*C50/(D75)</f>
        <v>49.999999999999993</v>
      </c>
      <c r="D51" s="57">
        <f>100*D50/(D75)</f>
        <v>22.400000000000006</v>
      </c>
      <c r="E51" s="57">
        <f>100*E50/(D75)</f>
        <v>17.920000000000005</v>
      </c>
      <c r="F51" s="57">
        <f>100*F50/(D75)</f>
        <v>3.5840000000000001</v>
      </c>
      <c r="G51" s="56">
        <f>100*G50/(D75)</f>
        <v>1.4515200000000001</v>
      </c>
      <c r="H51" s="14"/>
      <c r="I51" s="90"/>
    </row>
    <row r="52" spans="2:9">
      <c r="B52" s="32"/>
      <c r="C52" s="156"/>
      <c r="D52" s="39"/>
      <c r="E52" s="39"/>
      <c r="F52" s="39"/>
      <c r="G52" s="40"/>
      <c r="H52" s="14"/>
      <c r="I52" s="90"/>
    </row>
    <row r="53" spans="2:9">
      <c r="B53" s="32"/>
      <c r="C53" s="156"/>
      <c r="D53" s="39" t="s">
        <v>114</v>
      </c>
      <c r="E53" s="39"/>
      <c r="F53" s="39"/>
      <c r="G53" s="40"/>
      <c r="H53" s="149"/>
      <c r="I53" s="90"/>
    </row>
    <row r="54" spans="2:9">
      <c r="B54" s="32" t="s">
        <v>129</v>
      </c>
      <c r="C54" s="158">
        <f>C50*D54/(1-C49)</f>
        <v>1.1345707480147911E+27</v>
      </c>
      <c r="D54" s="157">
        <v>0.28000000000000003</v>
      </c>
      <c r="E54" s="159"/>
      <c r="F54" s="39"/>
      <c r="G54" s="40"/>
      <c r="H54" s="149"/>
      <c r="I54" s="90"/>
    </row>
    <row r="55" spans="2:9">
      <c r="B55" s="32" t="s">
        <v>130</v>
      </c>
      <c r="C55" s="158">
        <f>C50*D55/(1-C49)</f>
        <v>8.9144844486876422E+26</v>
      </c>
      <c r="D55" s="157">
        <v>0.22</v>
      </c>
      <c r="E55" s="39"/>
      <c r="F55" s="39"/>
      <c r="G55" s="40"/>
      <c r="H55" s="149"/>
      <c r="I55" s="90"/>
    </row>
    <row r="56" spans="2:9">
      <c r="B56" s="32"/>
      <c r="C56" s="158"/>
      <c r="D56" s="157"/>
      <c r="E56" s="39"/>
      <c r="F56" s="39"/>
      <c r="G56" s="40"/>
      <c r="H56" s="149"/>
      <c r="I56" s="90"/>
    </row>
    <row r="57" spans="2:9">
      <c r="B57" s="49" t="s">
        <v>67</v>
      </c>
      <c r="C57" s="50"/>
      <c r="D57" s="50"/>
      <c r="E57" s="50"/>
      <c r="F57" s="50"/>
      <c r="G57" s="51"/>
      <c r="I57" s="93" t="s">
        <v>67</v>
      </c>
    </row>
    <row r="58" spans="2:9">
      <c r="B58" s="32" t="s">
        <v>50</v>
      </c>
      <c r="C58" s="41">
        <f>(F93*C45)/(C45*C49+(1-C49))</f>
        <v>1.2814528389125744E-2</v>
      </c>
      <c r="D58" s="41">
        <f>(C63*D45)/(D45*D49+(1-D49))</f>
        <v>9.6367524872291118E-4</v>
      </c>
      <c r="E58" s="41">
        <f>(D63*E45)/(E45*E49+(1-E49))</f>
        <v>8.3341400585953442E-4</v>
      </c>
      <c r="F58" s="41">
        <f>(E63*F45)/(F45*F49+(1-F49))</f>
        <v>2.5369505659258622E-3</v>
      </c>
      <c r="G58" s="89">
        <f>(F63*G45)/(G45*G49+(1-G49))</f>
        <v>2.6027155711788922E-3</v>
      </c>
      <c r="I58" s="94">
        <f>(1-(1-G49)^G45)/G49*F63</f>
        <v>1.604496743340059E-3</v>
      </c>
    </row>
    <row r="59" spans="2:9">
      <c r="B59" s="32" t="s">
        <v>51</v>
      </c>
      <c r="C59" s="41">
        <f>(0.0795*C46)/(C46*C49+(1-C49))</f>
        <v>2.4922353020541705E-2</v>
      </c>
      <c r="D59" s="41">
        <f>(C64*D46)/(D46*D49+(1-D49))</f>
        <v>1.5633781027572236E-3</v>
      </c>
      <c r="E59" s="41">
        <f>(D64*E46)/(E46*E49+(1-E49))</f>
        <v>1.3761373218905181E-3</v>
      </c>
      <c r="F59" s="41">
        <f>(E64*F46)/(F46*F49+(1-F49))</f>
        <v>2.5415550196458622E-3</v>
      </c>
      <c r="G59" s="89">
        <f>(F64*G46)/(G46*G49+(1-G49))</f>
        <v>3.8104572389017033E-3</v>
      </c>
      <c r="I59" s="94">
        <f>(1-(1-G49)^G46)/G49*F64</f>
        <v>2.347905263670676E-3</v>
      </c>
    </row>
    <row r="60" spans="2:9">
      <c r="B60" s="99" t="s">
        <v>73</v>
      </c>
      <c r="C60" s="100">
        <f>C59/C58</f>
        <v>1.944851364306978</v>
      </c>
      <c r="D60" s="100">
        <f t="shared" ref="D60:G60" si="0">D59/D58</f>
        <v>1.6223080387600024</v>
      </c>
      <c r="E60" s="100">
        <f t="shared" si="0"/>
        <v>1.6512049380202707</v>
      </c>
      <c r="F60" s="100">
        <f t="shared" si="0"/>
        <v>1.0018149560270677</v>
      </c>
      <c r="G60" s="101">
        <f t="shared" si="0"/>
        <v>1.4640313682742399</v>
      </c>
      <c r="I60" s="103">
        <f>I59/I58</f>
        <v>1.463328157826655</v>
      </c>
    </row>
    <row r="61" spans="2:9">
      <c r="B61" s="32"/>
      <c r="C61" s="41"/>
      <c r="D61" s="41"/>
      <c r="E61" s="41"/>
      <c r="F61" s="41"/>
      <c r="G61" s="42"/>
      <c r="I61" s="92"/>
    </row>
    <row r="62" spans="2:9">
      <c r="B62" s="49" t="s">
        <v>104</v>
      </c>
      <c r="C62" s="50"/>
      <c r="D62" s="50"/>
      <c r="E62" s="50"/>
      <c r="F62" s="50"/>
      <c r="G62" s="51"/>
      <c r="I62" s="93" t="s">
        <v>104</v>
      </c>
    </row>
    <row r="63" spans="2:9">
      <c r="B63" s="32" t="s">
        <v>50</v>
      </c>
      <c r="C63" s="41">
        <f t="shared" ref="C63:G64" si="1">C58/C45</f>
        <v>7.0278207684138116E-2</v>
      </c>
      <c r="D63" s="41">
        <f t="shared" si="1"/>
        <v>8.7606840792991914E-2</v>
      </c>
      <c r="E63" s="41">
        <f t="shared" si="1"/>
        <v>0.10930019748977501</v>
      </c>
      <c r="F63" s="41">
        <f t="shared" si="1"/>
        <v>0.53635318518517172</v>
      </c>
      <c r="G63" s="89">
        <f t="shared" si="1"/>
        <v>1.3205051096798033</v>
      </c>
      <c r="I63" s="94">
        <f>(1-G49)^(G45-1)*F63</f>
        <v>1.32197162869848</v>
      </c>
    </row>
    <row r="64" spans="2:9">
      <c r="B64" s="32" t="s">
        <v>51</v>
      </c>
      <c r="C64" s="41">
        <f t="shared" si="1"/>
        <v>0.13407764697945829</v>
      </c>
      <c r="D64" s="41">
        <f t="shared" si="1"/>
        <v>0.16720621419863352</v>
      </c>
      <c r="E64" s="41">
        <f t="shared" si="1"/>
        <v>0.20866373341781927</v>
      </c>
      <c r="F64" s="41">
        <f t="shared" si="1"/>
        <v>1.0331524470105131</v>
      </c>
      <c r="G64" s="89">
        <f t="shared" si="1"/>
        <v>2.5453956171688064</v>
      </c>
      <c r="I64" s="94">
        <f>(1-G49)^(G46-1)*F64</f>
        <v>2.5475443046385902</v>
      </c>
    </row>
    <row r="65" spans="2:10" ht="16" thickBot="1">
      <c r="B65" s="96" t="s">
        <v>73</v>
      </c>
      <c r="C65" s="97">
        <f>C64/C63</f>
        <v>1.9078125552385108</v>
      </c>
      <c r="D65" s="97">
        <f t="shared" ref="D65" si="2">D64/D63</f>
        <v>1.9085976926588264</v>
      </c>
      <c r="E65" s="97">
        <f t="shared" ref="E65" si="3">E64/E63</f>
        <v>1.9090883475973561</v>
      </c>
      <c r="F65" s="97">
        <f t="shared" ref="F65" si="4">F64/F63</f>
        <v>1.9262539601658659</v>
      </c>
      <c r="G65" s="98">
        <f t="shared" ref="G65" si="5">G64/G63</f>
        <v>1.9275924027177866</v>
      </c>
      <c r="I65" s="102">
        <f>I64/I63</f>
        <v>1.9270794087666787</v>
      </c>
    </row>
    <row r="66" spans="2:10">
      <c r="B66" s="36"/>
      <c r="C66" s="41"/>
      <c r="D66" s="41"/>
      <c r="E66" s="41"/>
      <c r="F66" s="41"/>
      <c r="G66" s="41"/>
      <c r="I66" s="41"/>
    </row>
    <row r="67" spans="2:10" ht="16" thickBot="1"/>
    <row r="68" spans="2:10" ht="20">
      <c r="B68" s="151" t="s">
        <v>17</v>
      </c>
      <c r="C68" s="58" t="s">
        <v>0</v>
      </c>
      <c r="D68" s="58" t="s">
        <v>1</v>
      </c>
      <c r="E68" s="59" t="s">
        <v>2</v>
      </c>
    </row>
    <row r="69" spans="2:10">
      <c r="B69" s="25" t="s">
        <v>4</v>
      </c>
      <c r="C69" s="8">
        <f>4/3*PI()*E69^3</f>
        <v>1.0826969324300023E+21</v>
      </c>
      <c r="D69" s="154">
        <f>6370</f>
        <v>6370</v>
      </c>
      <c r="E69" s="60">
        <f>D69*1000</f>
        <v>6370000</v>
      </c>
      <c r="F69" s="160"/>
      <c r="G69" s="22"/>
    </row>
    <row r="70" spans="2:10">
      <c r="B70" s="25" t="s">
        <v>5</v>
      </c>
      <c r="C70" s="8">
        <f>C69-C74</f>
        <v>1.0624155022310069E+21</v>
      </c>
      <c r="D70" s="21">
        <f>E70/1000</f>
        <v>6329.9740545535378</v>
      </c>
      <c r="E70" s="60">
        <f>(C70*3/4/PI())^(1/3)</f>
        <v>6329974.0545535376</v>
      </c>
      <c r="G70" s="22"/>
    </row>
    <row r="71" spans="2:10">
      <c r="B71" s="25" t="s">
        <v>6</v>
      </c>
      <c r="C71" s="8">
        <f>4/3*PI()*E71^3</f>
        <v>1.7668540614808365E+20</v>
      </c>
      <c r="D71" s="126">
        <f>D69-2889</f>
        <v>3481</v>
      </c>
      <c r="E71" s="60">
        <f>D71*1000</f>
        <v>3481000</v>
      </c>
      <c r="G71" s="155"/>
    </row>
    <row r="72" spans="2:10">
      <c r="B72" s="25"/>
      <c r="C72" s="8"/>
      <c r="D72" s="154"/>
      <c r="E72" s="26"/>
    </row>
    <row r="73" spans="2:10">
      <c r="B73" s="25"/>
      <c r="C73" s="10" t="s">
        <v>0</v>
      </c>
      <c r="D73" s="10" t="s">
        <v>13</v>
      </c>
      <c r="E73" s="55" t="s">
        <v>19</v>
      </c>
    </row>
    <row r="74" spans="2:10">
      <c r="B74" s="25" t="s">
        <v>139</v>
      </c>
      <c r="C74" s="11">
        <f>D74/1000/E80</f>
        <v>2.0281430198995436E+19</v>
      </c>
      <c r="D74" s="11">
        <f>G50</f>
        <v>5.8816147577086764E+25</v>
      </c>
      <c r="E74" s="62">
        <f>D69-D70</f>
        <v>40.025945446462174</v>
      </c>
      <c r="G74" s="22"/>
    </row>
    <row r="75" spans="2:10">
      <c r="B75" s="25" t="s">
        <v>3</v>
      </c>
      <c r="C75" s="11">
        <f>C69-C71</f>
        <v>9.0601152628191868E+20</v>
      </c>
      <c r="D75" s="16">
        <f>1000*'Mass balance'!I9</f>
        <v>4.0520383857671103E+27</v>
      </c>
      <c r="E75" s="26"/>
    </row>
    <row r="76" spans="2:10">
      <c r="B76" s="25" t="s">
        <v>18</v>
      </c>
      <c r="C76" s="11"/>
      <c r="D76" s="11">
        <f>D75-D74</f>
        <v>3.9932222381900236E+27</v>
      </c>
      <c r="E76" s="26"/>
    </row>
    <row r="77" spans="2:10">
      <c r="B77" s="25" t="s">
        <v>116</v>
      </c>
      <c r="C77" s="11"/>
      <c r="D77" s="11">
        <f>D75*(1-D55)-D74</f>
        <v>3.1017737933212592E+27</v>
      </c>
      <c r="E77" s="26"/>
      <c r="J77" s="160"/>
    </row>
    <row r="78" spans="2:10">
      <c r="B78" s="25" t="s">
        <v>105</v>
      </c>
      <c r="C78" s="11"/>
      <c r="D78" s="11">
        <f>D75*D55</f>
        <v>8.9144844486876422E+26</v>
      </c>
      <c r="E78" s="26"/>
      <c r="F78" s="128"/>
    </row>
    <row r="79" spans="2:10">
      <c r="B79" s="25"/>
      <c r="C79" s="154"/>
      <c r="D79" s="154"/>
      <c r="E79" s="26"/>
    </row>
    <row r="80" spans="2:10" ht="16" thickBot="1">
      <c r="B80" s="63"/>
      <c r="C80" s="64"/>
      <c r="D80" s="64" t="s">
        <v>12</v>
      </c>
      <c r="E80" s="161">
        <v>2900</v>
      </c>
      <c r="F80" s="128"/>
      <c r="G80" s="43"/>
    </row>
    <row r="81" spans="2:10" ht="16" thickBot="1">
      <c r="F81" s="19"/>
      <c r="J81" s="160"/>
    </row>
    <row r="82" spans="2:10" ht="20">
      <c r="B82" s="209" t="s">
        <v>20</v>
      </c>
      <c r="C82" s="220"/>
      <c r="D82" s="220"/>
      <c r="E82" s="221"/>
      <c r="H82" s="9"/>
    </row>
    <row r="83" spans="2:10">
      <c r="B83" s="227" t="s">
        <v>64</v>
      </c>
      <c r="C83" s="202"/>
      <c r="D83" s="213" t="s">
        <v>65</v>
      </c>
      <c r="E83" s="228"/>
    </row>
    <row r="84" spans="2:10">
      <c r="B84" s="25" t="s">
        <v>7</v>
      </c>
      <c r="C84" s="6">
        <v>2.1000000000000001E-2</v>
      </c>
      <c r="D84" s="6" t="s">
        <v>9</v>
      </c>
      <c r="E84" s="26">
        <v>6.7999999999999996E-3</v>
      </c>
    </row>
    <row r="85" spans="2:10">
      <c r="B85" s="25" t="s">
        <v>8</v>
      </c>
      <c r="C85" s="6">
        <v>237.99</v>
      </c>
      <c r="D85" s="6" t="s">
        <v>8</v>
      </c>
      <c r="E85" s="26">
        <v>244</v>
      </c>
    </row>
    <row r="86" spans="2:10">
      <c r="B86" s="25" t="s">
        <v>14</v>
      </c>
      <c r="C86" s="13">
        <v>4468000000</v>
      </c>
      <c r="D86" s="6" t="s">
        <v>15</v>
      </c>
      <c r="E86" s="60">
        <v>82000000</v>
      </c>
    </row>
    <row r="87" spans="2:10" ht="16" thickBot="1">
      <c r="B87" s="65" t="s">
        <v>10</v>
      </c>
      <c r="C87" s="66">
        <f>D75*C84*0.000001/C85*EXP((LN(2)/C86)*G2)</f>
        <v>7.2627584209496243E+17</v>
      </c>
      <c r="D87" s="67" t="s">
        <v>11</v>
      </c>
      <c r="E87" s="68">
        <f>C87*E84</f>
        <v>4938675726245744</v>
      </c>
    </row>
    <row r="88" spans="2:10" ht="16" thickBot="1">
      <c r="B88" s="6"/>
      <c r="C88" s="6"/>
      <c r="D88" s="6"/>
      <c r="E88" s="6"/>
    </row>
    <row r="89" spans="2:10" ht="20">
      <c r="B89" s="209" t="s">
        <v>140</v>
      </c>
      <c r="C89" s="218"/>
      <c r="D89" s="218"/>
      <c r="E89" s="218"/>
      <c r="F89" s="219"/>
    </row>
    <row r="90" spans="2:10" ht="20">
      <c r="B90" s="166"/>
      <c r="C90" s="165"/>
      <c r="D90" s="216" t="s">
        <v>21</v>
      </c>
      <c r="E90" s="202"/>
      <c r="F90" s="70">
        <f>C9*1000000</f>
        <v>170000000</v>
      </c>
    </row>
    <row r="91" spans="2:10" s="7" customFormat="1" ht="16" customHeight="1">
      <c r="B91" s="166"/>
      <c r="C91" s="170"/>
      <c r="D91" s="149"/>
      <c r="E91" s="164"/>
      <c r="F91" s="71"/>
    </row>
    <row r="92" spans="2:10">
      <c r="B92" s="69" t="s">
        <v>97</v>
      </c>
      <c r="C92" s="15">
        <f>C87*EXP(-LN(2)/C86*F90)</f>
        <v>7.0737206636262144E+17</v>
      </c>
      <c r="D92" s="201" t="s">
        <v>115</v>
      </c>
      <c r="E92" s="202"/>
      <c r="F92" s="71">
        <f>C92/D75</f>
        <v>1.7457190653654323E-10</v>
      </c>
      <c r="H92" s="188"/>
    </row>
    <row r="93" spans="2:10">
      <c r="B93" s="69" t="s">
        <v>24</v>
      </c>
      <c r="C93" s="15">
        <f>E87*EXP(-LN(2)/E86*F90)</f>
        <v>1173610360942230</v>
      </c>
      <c r="D93" s="217" t="s">
        <v>117</v>
      </c>
      <c r="E93" s="202"/>
      <c r="F93" s="176">
        <f>C92*C85/D75*10^6</f>
        <v>4.1546368036631927E-2</v>
      </c>
    </row>
    <row r="94" spans="2:10">
      <c r="B94" s="69"/>
      <c r="C94" s="15"/>
      <c r="D94" s="154"/>
      <c r="E94" s="150"/>
      <c r="F94" s="176"/>
    </row>
    <row r="95" spans="2:10">
      <c r="B95" s="33" t="s">
        <v>22</v>
      </c>
      <c r="C95" s="24">
        <f>IF(C6=1,G63,I63)</f>
        <v>1.3205051096798033</v>
      </c>
      <c r="D95" s="201" t="s">
        <v>23</v>
      </c>
      <c r="E95" s="202"/>
      <c r="F95" s="177">
        <f>C95*EXP(-LN(2)/C86*(G2-F90))</f>
        <v>0.66746164860489043</v>
      </c>
    </row>
    <row r="96" spans="2:10">
      <c r="B96" s="25"/>
      <c r="C96" s="154"/>
      <c r="D96" s="154"/>
      <c r="E96" s="154"/>
      <c r="F96" s="26"/>
    </row>
    <row r="97" spans="1:8">
      <c r="B97" s="69" t="s">
        <v>121</v>
      </c>
      <c r="C97" s="15">
        <f>C55*C63*0.000001</f>
        <v>6.2649398948188955E+19</v>
      </c>
      <c r="D97" s="201" t="s">
        <v>124</v>
      </c>
      <c r="E97" s="202"/>
      <c r="F97" s="73">
        <f>(C95)*0.000001*G50</f>
        <v>7.7667023407224439E+19</v>
      </c>
    </row>
    <row r="98" spans="1:8">
      <c r="B98" s="69" t="s">
        <v>122</v>
      </c>
      <c r="C98" s="13">
        <f>C97/C85</f>
        <v>2.6324382935496848E+17</v>
      </c>
      <c r="D98" s="201" t="s">
        <v>125</v>
      </c>
      <c r="E98" s="202"/>
      <c r="F98" s="73">
        <f>F97/C85</f>
        <v>3.2634574312880557E+17</v>
      </c>
    </row>
    <row r="99" spans="1:8">
      <c r="B99" s="69"/>
      <c r="C99" s="13"/>
      <c r="D99" s="149"/>
      <c r="E99" s="150"/>
      <c r="F99" s="73"/>
    </row>
    <row r="100" spans="1:8">
      <c r="A100" s="6"/>
      <c r="B100" s="69" t="s">
        <v>118</v>
      </c>
      <c r="C100" s="15">
        <f>C92-C98-F98</f>
        <v>1.1778249387884742E+17</v>
      </c>
      <c r="D100" s="201" t="s">
        <v>120</v>
      </c>
      <c r="E100" s="202"/>
      <c r="F100" s="74">
        <f>C101/D77*1000000000</f>
        <v>9.0371050843821621</v>
      </c>
    </row>
    <row r="101" spans="1:8">
      <c r="A101" s="154"/>
      <c r="B101" s="69" t="s">
        <v>119</v>
      </c>
      <c r="C101" s="16">
        <f>C100*C85</f>
        <v>2.8031055718226899E+19</v>
      </c>
      <c r="D101" s="204" t="s">
        <v>25</v>
      </c>
      <c r="E101" s="202"/>
      <c r="F101" s="75">
        <f>F100*EXP(-LN(2)/C86*(G2-F90))</f>
        <v>4.5678892221022753</v>
      </c>
    </row>
    <row r="102" spans="1:8">
      <c r="B102" s="25"/>
      <c r="C102" s="154"/>
      <c r="D102" s="154"/>
      <c r="E102" s="154"/>
      <c r="F102" s="26"/>
    </row>
    <row r="103" spans="1:8">
      <c r="B103" s="69" t="s">
        <v>132</v>
      </c>
      <c r="C103" s="179">
        <f>(C92-C98)/(D74+D77)*D77</f>
        <v>4.3586335215404595E+17</v>
      </c>
      <c r="D103" s="203" t="s">
        <v>133</v>
      </c>
      <c r="E103" s="205"/>
      <c r="F103" s="189">
        <f>C100/C103</f>
        <v>0.27022802742364971</v>
      </c>
    </row>
    <row r="104" spans="1:8" s="7" customFormat="1">
      <c r="B104" s="35"/>
      <c r="C104" s="168"/>
      <c r="D104" s="149"/>
      <c r="E104" s="149"/>
      <c r="F104" s="72"/>
      <c r="H104" s="200"/>
    </row>
    <row r="105" spans="1:8">
      <c r="B105" s="33" t="s">
        <v>123</v>
      </c>
      <c r="C105" s="175">
        <f>C98/C92</f>
        <v>0.37214337669367525</v>
      </c>
      <c r="D105" s="203" t="s">
        <v>127</v>
      </c>
      <c r="E105" s="203"/>
      <c r="F105" s="178">
        <f>F98/(C92-C98)</f>
        <v>0.73480070829899102</v>
      </c>
    </row>
    <row r="106" spans="1:8">
      <c r="B106" s="33" t="s">
        <v>131</v>
      </c>
      <c r="C106" s="175">
        <f>C100/C92</f>
        <v>0.16650713179062454</v>
      </c>
      <c r="D106" s="203" t="s">
        <v>152</v>
      </c>
      <c r="E106" s="202"/>
      <c r="F106" s="178">
        <f>C100/(C92-C98)</f>
        <v>0.26519929170100898</v>
      </c>
    </row>
    <row r="107" spans="1:8" ht="16" thickBot="1">
      <c r="B107" s="169" t="s">
        <v>126</v>
      </c>
      <c r="C107" s="184">
        <f>F98/C92</f>
        <v>0.46134949151570026</v>
      </c>
      <c r="D107" s="207" t="s">
        <v>157</v>
      </c>
      <c r="E107" s="208"/>
      <c r="F107" s="190">
        <f>F116/F101</f>
        <v>2.7985778706197362</v>
      </c>
    </row>
    <row r="108" spans="1:8" ht="16" thickBot="1">
      <c r="B108" s="149"/>
      <c r="C108" s="179"/>
      <c r="D108" s="23"/>
      <c r="E108" s="164"/>
      <c r="F108" s="17"/>
    </row>
    <row r="109" spans="1:8" ht="20">
      <c r="B109" s="209" t="s">
        <v>172</v>
      </c>
      <c r="C109" s="210"/>
      <c r="D109" s="210"/>
      <c r="E109" s="210"/>
      <c r="F109" s="211"/>
    </row>
    <row r="110" spans="1:8" s="7" customFormat="1" ht="18" customHeight="1">
      <c r="B110" s="172" t="s">
        <v>134</v>
      </c>
      <c r="C110" s="173">
        <f>C87*EXP(-LN(2)/C86*G2)</f>
        <v>3.5754782176187789E+17</v>
      </c>
      <c r="D110" s="217" t="s">
        <v>137</v>
      </c>
      <c r="E110" s="217"/>
      <c r="F110" s="71">
        <f>C110*C85</f>
        <v>8.5092806101109326E+19</v>
      </c>
    </row>
    <row r="111" spans="1:8" s="7" customFormat="1" ht="18" customHeight="1">
      <c r="B111" s="172"/>
      <c r="C111" s="173"/>
      <c r="D111" s="170"/>
      <c r="E111" s="170"/>
      <c r="F111" s="171"/>
    </row>
    <row r="112" spans="1:8">
      <c r="B112" s="172" t="s">
        <v>135</v>
      </c>
      <c r="C112" s="173">
        <f>2.4E+25</f>
        <v>2.4E+25</v>
      </c>
      <c r="D112" s="217" t="s">
        <v>28</v>
      </c>
      <c r="E112" s="217"/>
      <c r="F112" s="76">
        <v>1.4</v>
      </c>
    </row>
    <row r="113" spans="1:8">
      <c r="B113" s="180" t="s">
        <v>136</v>
      </c>
      <c r="C113" s="181">
        <f>C112*F112*0.000001</f>
        <v>3.3599999999999996E+19</v>
      </c>
      <c r="D113" s="201" t="s">
        <v>138</v>
      </c>
      <c r="E113" s="201"/>
      <c r="F113" s="71">
        <f>F110-C113</f>
        <v>5.1492806101109326E+19</v>
      </c>
    </row>
    <row r="114" spans="1:8">
      <c r="B114" s="180" t="s">
        <v>142</v>
      </c>
      <c r="C114" s="181">
        <f>C113/C85</f>
        <v>1.4118240262195888E+17</v>
      </c>
      <c r="D114" s="201" t="s">
        <v>143</v>
      </c>
      <c r="E114" s="201"/>
      <c r="F114" s="71">
        <f>F113/C85</f>
        <v>2.1636541913991901E+17</v>
      </c>
    </row>
    <row r="115" spans="1:8">
      <c r="B115" s="25"/>
      <c r="C115" s="6"/>
      <c r="D115" s="6"/>
      <c r="E115" s="6"/>
      <c r="F115" s="60"/>
    </row>
    <row r="116" spans="1:8" ht="16" thickBot="1">
      <c r="B116" s="63"/>
      <c r="C116" s="64"/>
      <c r="D116" s="229" t="s">
        <v>155</v>
      </c>
      <c r="E116" s="229"/>
      <c r="F116" s="77">
        <f>F113/(D75-C112)*1000000000</f>
        <v>12.78359369241783</v>
      </c>
    </row>
    <row r="117" spans="1:8" ht="16" thickBot="1"/>
    <row r="118" spans="1:8" ht="20">
      <c r="B118" s="209" t="s">
        <v>141</v>
      </c>
      <c r="C118" s="210"/>
      <c r="D118" s="210"/>
      <c r="E118" s="210"/>
      <c r="F118" s="211"/>
    </row>
    <row r="119" spans="1:8">
      <c r="B119" s="25" t="s">
        <v>30</v>
      </c>
      <c r="C119" s="13">
        <v>3000000000</v>
      </c>
      <c r="D119" s="204" t="s">
        <v>151</v>
      </c>
      <c r="E119" s="230"/>
      <c r="F119" s="183">
        <f>F114*F107*(EXP((LN(2)/C86)*(C119)))/C119</f>
        <v>321460770.44162816</v>
      </c>
    </row>
    <row r="120" spans="1:8">
      <c r="B120" s="25"/>
      <c r="C120" s="185"/>
      <c r="D120" s="185"/>
      <c r="E120" s="185"/>
      <c r="F120" s="26"/>
    </row>
    <row r="121" spans="1:8">
      <c r="A121" s="6"/>
      <c r="B121" s="25" t="s">
        <v>31</v>
      </c>
      <c r="C121" s="13">
        <v>6.13E+16</v>
      </c>
      <c r="D121" s="213" t="s">
        <v>147</v>
      </c>
      <c r="E121" s="214"/>
      <c r="F121" s="61">
        <f>C121*C122*0.000001</f>
        <v>7356000000</v>
      </c>
    </row>
    <row r="122" spans="1:8" s="7" customFormat="1">
      <c r="A122" s="149"/>
      <c r="B122" s="25" t="s">
        <v>32</v>
      </c>
      <c r="C122" s="185">
        <v>0.12</v>
      </c>
      <c r="D122" s="212" t="s">
        <v>148</v>
      </c>
      <c r="E122" s="215"/>
      <c r="F122" s="191">
        <f>F121/C85</f>
        <v>30908861.716878857</v>
      </c>
    </row>
    <row r="123" spans="1:8" s="7" customFormat="1" ht="17" customHeight="1">
      <c r="A123" s="149"/>
      <c r="B123" s="25"/>
      <c r="C123" s="185"/>
      <c r="D123" s="212"/>
      <c r="E123" s="212"/>
      <c r="F123" s="182"/>
    </row>
    <row r="124" spans="1:8" s="7" customFormat="1" ht="16" customHeight="1">
      <c r="A124" s="149"/>
      <c r="B124" s="25" t="s">
        <v>34</v>
      </c>
      <c r="C124" s="13">
        <v>20000000000</v>
      </c>
      <c r="D124" s="201" t="s">
        <v>144</v>
      </c>
      <c r="E124" s="206"/>
      <c r="F124" s="196">
        <v>50</v>
      </c>
    </row>
    <row r="125" spans="1:8" s="7" customFormat="1" ht="16" customHeight="1">
      <c r="A125" s="149"/>
      <c r="B125" s="25" t="s">
        <v>33</v>
      </c>
      <c r="C125" s="13">
        <f>2700</f>
        <v>2700</v>
      </c>
      <c r="D125" s="201" t="s">
        <v>149</v>
      </c>
      <c r="E125" s="206"/>
      <c r="F125" s="71">
        <f>C126*F124*0.000000001</f>
        <v>2700000000</v>
      </c>
    </row>
    <row r="126" spans="1:8">
      <c r="B126" s="25" t="s">
        <v>145</v>
      </c>
      <c r="C126" s="13">
        <f>C124*C125*1000</f>
        <v>5.4E+16</v>
      </c>
      <c r="D126" s="212" t="s">
        <v>146</v>
      </c>
      <c r="E126" s="215"/>
      <c r="F126" s="191">
        <f>F125/C85</f>
        <v>11345014.496407412</v>
      </c>
      <c r="H126" s="160"/>
    </row>
    <row r="127" spans="1:8">
      <c r="B127" s="25"/>
      <c r="C127" s="185"/>
      <c r="D127" s="185"/>
      <c r="E127" s="185"/>
      <c r="F127" s="26"/>
    </row>
    <row r="128" spans="1:8">
      <c r="B128" s="25"/>
      <c r="C128" s="185"/>
      <c r="D128" s="231" t="s">
        <v>150</v>
      </c>
      <c r="E128" s="202"/>
      <c r="F128" s="192">
        <f>F122-F126</f>
        <v>19563847.220471445</v>
      </c>
      <c r="H128" s="160"/>
    </row>
    <row r="129" spans="1:8">
      <c r="B129" s="25" t="s">
        <v>158</v>
      </c>
      <c r="C129" s="13">
        <f>F126*(G2-F90)</f>
        <v>4.98953737551998E+16</v>
      </c>
      <c r="D129" s="185"/>
      <c r="E129" s="185"/>
      <c r="F129" s="26"/>
      <c r="H129" s="160"/>
    </row>
    <row r="130" spans="1:8">
      <c r="B130" s="25" t="s">
        <v>159</v>
      </c>
      <c r="C130" s="13">
        <f>F122*E130*C119</f>
        <v>7.789033152653472E+17</v>
      </c>
      <c r="D130" s="197" t="s">
        <v>160</v>
      </c>
      <c r="E130" s="198">
        <v>8.4</v>
      </c>
      <c r="F130" s="26"/>
      <c r="G130" s="167"/>
      <c r="H130" s="160"/>
    </row>
    <row r="131" spans="1:8" ht="16" thickBot="1">
      <c r="B131" s="78" t="s">
        <v>161</v>
      </c>
      <c r="C131" s="195">
        <f>(C130-C129)/(G2-F90)</f>
        <v>165758968.05596805</v>
      </c>
      <c r="D131" s="199">
        <f>C131/F119</f>
        <v>0.51564291290736852</v>
      </c>
      <c r="E131" s="193"/>
      <c r="F131" s="194"/>
      <c r="G131" s="167"/>
      <c r="H131" s="160"/>
    </row>
    <row r="132" spans="1:8" ht="20">
      <c r="A132" s="154"/>
      <c r="B132" s="174"/>
      <c r="C132" s="170"/>
      <c r="D132" s="170"/>
      <c r="E132" s="170"/>
      <c r="F132" s="164"/>
      <c r="G132" s="154"/>
    </row>
    <row r="135" spans="1:8" s="6" customFormat="1">
      <c r="A135" s="2"/>
      <c r="B135" s="2"/>
      <c r="C135" s="2"/>
      <c r="D135" s="2"/>
      <c r="E135" s="2"/>
      <c r="F135" s="2"/>
    </row>
    <row r="147" spans="1:6" s="7" customFormat="1">
      <c r="A147" s="2"/>
      <c r="B147" s="2"/>
      <c r="C147" s="2"/>
      <c r="D147" s="2"/>
      <c r="E147" s="2"/>
      <c r="F147" s="2"/>
    </row>
    <row r="148" spans="1:6" s="7" customFormat="1">
      <c r="A148" s="2"/>
      <c r="B148" s="2"/>
      <c r="C148" s="2"/>
      <c r="D148" s="2"/>
      <c r="E148" s="2"/>
      <c r="F148" s="2"/>
    </row>
    <row r="168" spans="8:8">
      <c r="H168" s="12"/>
    </row>
    <row r="169" spans="8:8">
      <c r="H169" s="12"/>
    </row>
    <row r="170" spans="8:8">
      <c r="H170" s="12"/>
    </row>
    <row r="171" spans="8:8">
      <c r="H171" s="6"/>
    </row>
  </sheetData>
  <mergeCells count="33">
    <mergeCell ref="D119:E119"/>
    <mergeCell ref="D128:E128"/>
    <mergeCell ref="D112:E112"/>
    <mergeCell ref="D110:E110"/>
    <mergeCell ref="D113:E113"/>
    <mergeCell ref="D126:E126"/>
    <mergeCell ref="B89:F89"/>
    <mergeCell ref="B82:E82"/>
    <mergeCell ref="B13:G13"/>
    <mergeCell ref="B27:B28"/>
    <mergeCell ref="B83:C83"/>
    <mergeCell ref="D83:E83"/>
    <mergeCell ref="D90:E90"/>
    <mergeCell ref="D92:E92"/>
    <mergeCell ref="D93:E93"/>
    <mergeCell ref="D97:E97"/>
    <mergeCell ref="D95:E95"/>
    <mergeCell ref="D98:E98"/>
    <mergeCell ref="D105:E105"/>
    <mergeCell ref="D101:E101"/>
    <mergeCell ref="D103:E103"/>
    <mergeCell ref="D125:E125"/>
    <mergeCell ref="D107:E107"/>
    <mergeCell ref="D100:E100"/>
    <mergeCell ref="D106:E106"/>
    <mergeCell ref="B118:F118"/>
    <mergeCell ref="D123:E123"/>
    <mergeCell ref="D114:E114"/>
    <mergeCell ref="D121:E121"/>
    <mergeCell ref="D124:E124"/>
    <mergeCell ref="D122:E122"/>
    <mergeCell ref="B109:F109"/>
    <mergeCell ref="D116:E11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K4" sqref="K4"/>
    </sheetView>
  </sheetViews>
  <sheetFormatPr baseColWidth="10" defaultRowHeight="15" x14ac:dyDescent="0"/>
  <cols>
    <col min="5" max="5" width="16.83203125" bestFit="1" customWidth="1"/>
    <col min="6" max="6" width="14.5" style="113" bestFit="1" customWidth="1"/>
    <col min="7" max="7" width="16.6640625" bestFit="1" customWidth="1"/>
    <col min="8" max="8" width="12.83203125" customWidth="1"/>
    <col min="9" max="9" width="19.83203125" bestFit="1" customWidth="1"/>
    <col min="10" max="10" width="4.5" customWidth="1"/>
  </cols>
  <sheetData>
    <row r="1" spans="1:12">
      <c r="A1" s="132"/>
      <c r="B1" s="131" t="s">
        <v>106</v>
      </c>
      <c r="C1" s="131" t="s">
        <v>107</v>
      </c>
      <c r="D1" s="131" t="s">
        <v>82</v>
      </c>
      <c r="E1" s="131" t="s">
        <v>112</v>
      </c>
      <c r="F1" s="131" t="s">
        <v>113</v>
      </c>
      <c r="G1" s="131" t="s">
        <v>110</v>
      </c>
      <c r="H1" s="131" t="s">
        <v>83</v>
      </c>
      <c r="I1" s="131" t="s">
        <v>111</v>
      </c>
      <c r="K1" s="142" t="s">
        <v>92</v>
      </c>
      <c r="L1" s="142" t="s">
        <v>93</v>
      </c>
    </row>
    <row r="2" spans="1:12">
      <c r="A2" s="124" t="s">
        <v>108</v>
      </c>
      <c r="B2" s="114">
        <v>2891</v>
      </c>
      <c r="C2" s="114">
        <f>6378-B2</f>
        <v>3487</v>
      </c>
      <c r="D2" s="115">
        <f>B2*G$2</f>
        <v>135.87700000000001</v>
      </c>
      <c r="E2" s="123">
        <f>(4/3)*3.1415*(POWER(C8,3)-POWER(C2,3))</f>
        <v>909153869167.51123</v>
      </c>
      <c r="F2" s="123"/>
      <c r="G2" s="134">
        <v>4.7E-2</v>
      </c>
      <c r="H2" s="135"/>
      <c r="I2" s="114"/>
      <c r="K2" s="143"/>
      <c r="L2" s="146"/>
    </row>
    <row r="3" spans="1:12">
      <c r="A3" s="124" t="s">
        <v>85</v>
      </c>
      <c r="B3" s="116">
        <v>660</v>
      </c>
      <c r="C3" s="116">
        <f t="shared" ref="C3:C8" si="0">6378-B3</f>
        <v>5718</v>
      </c>
      <c r="D3" s="117">
        <f>B3*G$3</f>
        <v>23.1</v>
      </c>
      <c r="E3" s="118">
        <f>(4/3)*3.1415*(POWER(C3,3)-POWER(C2,3))</f>
        <v>605488454017.27124</v>
      </c>
      <c r="F3" s="118">
        <f>(4/3)*3.1415*(POWER(C$8,3)-POWER(C2,3))</f>
        <v>909153869167.51123</v>
      </c>
      <c r="G3" s="136">
        <v>3.5000000000000003E-2</v>
      </c>
      <c r="H3" s="136">
        <v>4840</v>
      </c>
      <c r="I3" s="118">
        <f t="shared" ref="I3:I7" si="1">H3*E3*1000000000</f>
        <v>2.9305641174435929E+24</v>
      </c>
      <c r="K3" s="144">
        <f>100*I3/SUM(I3:I$8)</f>
        <v>72.323207197080748</v>
      </c>
      <c r="L3" s="147">
        <f>100*E3/F3</f>
        <v>66.599117547803147</v>
      </c>
    </row>
    <row r="4" spans="1:12">
      <c r="A4" s="124" t="s">
        <v>86</v>
      </c>
      <c r="B4" s="116">
        <v>520</v>
      </c>
      <c r="C4" s="116">
        <f t="shared" si="0"/>
        <v>5858</v>
      </c>
      <c r="D4" s="117">
        <f>B4*G$4</f>
        <v>18.200000000000003</v>
      </c>
      <c r="E4" s="118">
        <f>(4/3)*3.1415*(POWER(C4,3)-POWER(C3,3))</f>
        <v>58939074147.893326</v>
      </c>
      <c r="F4" s="118">
        <f>(4/3)*3.1415*(POWER(C$8,3)-POWER(C3,3))</f>
        <v>303665415150.23999</v>
      </c>
      <c r="G4" s="136">
        <v>3.5000000000000003E-2</v>
      </c>
      <c r="H4" s="136">
        <v>3750</v>
      </c>
      <c r="I4" s="118">
        <f t="shared" si="1"/>
        <v>2.2102152805459996E+23</v>
      </c>
      <c r="K4" s="144">
        <f>100*I4/SUM(I4:I$8)</f>
        <v>19.708122985737628</v>
      </c>
      <c r="L4" s="147">
        <f>100*E4/F4</f>
        <v>19.409215276864153</v>
      </c>
    </row>
    <row r="5" spans="1:12">
      <c r="A5" s="124" t="s">
        <v>87</v>
      </c>
      <c r="B5" s="116">
        <v>410</v>
      </c>
      <c r="C5" s="116">
        <f t="shared" si="0"/>
        <v>5968</v>
      </c>
      <c r="D5" s="117">
        <f>B5*G$5</f>
        <v>14.350000000000001</v>
      </c>
      <c r="E5" s="118">
        <f t="shared" ref="E5:E6" si="2">(4/3)*3.1415*(POWER(C5,3)-POWER(C4,3))</f>
        <v>48330136664.773331</v>
      </c>
      <c r="F5" s="118">
        <f>(4/3)*3.1415*(POWER(C$8,3)-POWER(C4,3))</f>
        <v>244726341002.34665</v>
      </c>
      <c r="G5" s="136">
        <v>3.5000000000000003E-2</v>
      </c>
      <c r="H5" s="136">
        <f>H4</f>
        <v>3750</v>
      </c>
      <c r="I5" s="118">
        <f t="shared" si="1"/>
        <v>1.8123801249289999E+23</v>
      </c>
      <c r="K5" s="144">
        <f>100*I5/SUM(I5:I$8)</f>
        <v>20.127431944820767</v>
      </c>
      <c r="L5" s="147">
        <f>100*E5/F5</f>
        <v>19.748645146584323</v>
      </c>
    </row>
    <row r="6" spans="1:12">
      <c r="A6" s="124" t="s">
        <v>88</v>
      </c>
      <c r="B6" s="116">
        <v>80</v>
      </c>
      <c r="C6" s="116">
        <f t="shared" si="0"/>
        <v>6298</v>
      </c>
      <c r="D6" s="119">
        <f>B6*G$6</f>
        <v>2.4</v>
      </c>
      <c r="E6" s="118">
        <f t="shared" si="2"/>
        <v>156013325299.91998</v>
      </c>
      <c r="F6" s="118">
        <f>(4/3)*3.1415*(POWER(C$8,3)-POWER(C5,3))</f>
        <v>196396204337.5733</v>
      </c>
      <c r="G6" s="137">
        <v>0.03</v>
      </c>
      <c r="H6" s="136">
        <f>H4</f>
        <v>3750</v>
      </c>
      <c r="I6" s="118">
        <f t="shared" si="1"/>
        <v>5.8504996987469987E+23</v>
      </c>
      <c r="K6" s="144">
        <f>100*I6/SUM(I6:I$8)</f>
        <v>81.345660382096654</v>
      </c>
      <c r="L6" s="147">
        <f>100*E6/F6</f>
        <v>79.438055244569952</v>
      </c>
    </row>
    <row r="7" spans="1:12">
      <c r="A7" s="124" t="s">
        <v>89</v>
      </c>
      <c r="B7" s="116">
        <v>40</v>
      </c>
      <c r="C7" s="116">
        <f t="shared" si="0"/>
        <v>6338</v>
      </c>
      <c r="D7" s="119">
        <f>B7*G$6</f>
        <v>1.2</v>
      </c>
      <c r="E7" s="118">
        <f>(4/3)*3.1415*(POWER(C7,3)-POWER(C6,3))</f>
        <v>20064010226.026665</v>
      </c>
      <c r="F7" s="118">
        <f>(4/3)*3.1415*(POWER(C$8,3)-POWER(C6,3))</f>
        <v>40382879037.653328</v>
      </c>
      <c r="G7" s="137">
        <v>0.03</v>
      </c>
      <c r="H7" s="136">
        <f>H4</f>
        <v>3750</v>
      </c>
      <c r="I7" s="118">
        <f t="shared" si="1"/>
        <v>7.5240038347599998E+22</v>
      </c>
      <c r="K7" s="144">
        <f>100*I7/SUM(I7:I$8)</f>
        <v>56.080329532545022</v>
      </c>
      <c r="L7" s="147">
        <f>100*E7/F7</f>
        <v>49.68444723150823</v>
      </c>
    </row>
    <row r="8" spans="1:12">
      <c r="A8" s="125" t="s">
        <v>84</v>
      </c>
      <c r="B8" s="120">
        <v>0</v>
      </c>
      <c r="C8" s="120">
        <f t="shared" si="0"/>
        <v>6378</v>
      </c>
      <c r="D8" s="121">
        <f>B8*G$3</f>
        <v>0</v>
      </c>
      <c r="E8" s="122">
        <f>(4/3)*3.1415*(POWER(C8,3)-POWER(C7,3))</f>
        <v>20318868811.626663</v>
      </c>
      <c r="F8" s="122"/>
      <c r="G8" s="138"/>
      <c r="H8" s="139">
        <v>2900</v>
      </c>
      <c r="I8" s="122">
        <f>H8*E8*1000000000</f>
        <v>5.8924719553717322E+22</v>
      </c>
      <c r="K8" s="145"/>
      <c r="L8" s="148"/>
    </row>
    <row r="9" spans="1:12">
      <c r="A9" s="133" t="s">
        <v>109</v>
      </c>
      <c r="H9" s="140" t="s">
        <v>90</v>
      </c>
      <c r="I9" s="141">
        <f>SUM(I3:I8)</f>
        <v>4.0520383857671101E+24</v>
      </c>
    </row>
    <row r="10" spans="1:12">
      <c r="H10" s="140" t="s">
        <v>85</v>
      </c>
      <c r="I10" s="141">
        <f>I3</f>
        <v>2.9305641174435929E+24</v>
      </c>
    </row>
    <row r="11" spans="1:12">
      <c r="H11" s="140" t="s">
        <v>91</v>
      </c>
      <c r="I11" s="141">
        <f>SUM(I4:I7)</f>
        <v>1.0625495487697998E+24</v>
      </c>
    </row>
    <row r="15" spans="1:12">
      <c r="H15" s="110"/>
    </row>
    <row r="16" spans="1:12">
      <c r="E16" s="110"/>
      <c r="H16" s="112"/>
    </row>
    <row r="17" spans="5:5">
      <c r="E17" s="110"/>
    </row>
    <row r="18" spans="5:5">
      <c r="E18" s="111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magma ocean model</vt:lpstr>
      <vt:lpstr>Mass balance</vt:lpstr>
    </vt:vector>
  </TitlesOfParts>
  <Company>CRPG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2023-02-14T12:03:26Z</dcterms:created>
  <dcterms:modified xsi:type="dcterms:W3CDTF">2023-05-03T12:43:23Z</dcterms:modified>
</cp:coreProperties>
</file>