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D:\LZU\IMK-IFU-KIT\H pan\Wetland_Drainage\Meta-analsysis results\Drainage manuscript_lei ma\"/>
    </mc:Choice>
  </mc:AlternateContent>
  <xr:revisionPtr revIDLastSave="0" documentId="13_ncr:1_{92A15A5F-66B2-40BE-9E86-2E3A3271142B}" xr6:coauthVersionLast="47" xr6:coauthVersionMax="47" xr10:uidLastSave="{00000000-0000-0000-0000-000000000000}"/>
  <bookViews>
    <workbookView xWindow="-108" yWindow="-108" windowWidth="23256" windowHeight="12576" activeTab="2" xr2:uid="{E8727427-8AB8-4592-9F17-85418C9F5D2A}"/>
  </bookViews>
  <sheets>
    <sheet name="Nongrowing season flux of other" sheetId="1" r:id="rId1"/>
    <sheet name="Wet season flux for tropical" sheetId="3" r:id="rId2"/>
    <sheet name="Classess" sheetId="5" r:id="rId3"/>
  </sheets>
  <externalReferences>
    <externalReference r:id="rId4"/>
  </externalReferences>
  <definedNames>
    <definedName name="_xlnm._FilterDatabase" localSheetId="2" hidden="1">Classess!$A$1:$M$53</definedName>
    <definedName name="_xlnm._FilterDatabase" localSheetId="0" hidden="1">'Nongrowing season flux of other'!$C$1:$N$65</definedName>
    <definedName name="_xlnm._FilterDatabase" localSheetId="1" hidden="1">'Wet season flux for tropical'!$C$1:$N$3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C3" i="3" l="1"/>
  <c r="AZ4" i="3"/>
  <c r="J50" i="5" l="1"/>
  <c r="J52" i="5" s="1"/>
  <c r="M51" i="5"/>
  <c r="L51" i="5"/>
  <c r="M50" i="5"/>
  <c r="L50" i="5"/>
  <c r="K51" i="5"/>
  <c r="K53" i="5" s="1"/>
  <c r="J51" i="5"/>
  <c r="J53" i="5" s="1"/>
  <c r="I51" i="5"/>
  <c r="I53" i="5" s="1"/>
  <c r="M53" i="5" s="1"/>
  <c r="K50" i="5"/>
  <c r="K52" i="5" s="1"/>
  <c r="I50" i="5"/>
  <c r="I52" i="5" s="1"/>
  <c r="L53" i="5" l="1"/>
  <c r="M52" i="5"/>
  <c r="L52" i="5"/>
  <c r="BP38" i="1"/>
  <c r="BP37" i="1"/>
  <c r="BP34" i="1"/>
  <c r="BP33" i="1"/>
  <c r="BP32" i="1"/>
  <c r="BP31" i="1"/>
  <c r="BP30" i="1"/>
  <c r="BP29" i="1"/>
  <c r="BM59" i="1"/>
  <c r="BM58" i="1"/>
  <c r="BM38" i="1"/>
  <c r="BM37" i="1"/>
  <c r="BM34" i="1"/>
  <c r="BM33" i="1"/>
  <c r="BM32" i="1"/>
  <c r="BM31" i="1"/>
  <c r="BM30" i="1"/>
  <c r="BM29" i="1"/>
  <c r="BO38" i="1"/>
  <c r="BO37" i="1"/>
  <c r="BO34" i="1"/>
  <c r="BO33" i="1"/>
  <c r="BO32" i="1"/>
  <c r="BO31" i="1"/>
  <c r="BO30" i="1"/>
  <c r="BO29" i="1"/>
  <c r="BL59" i="1"/>
  <c r="BL58" i="1"/>
  <c r="BL52" i="1"/>
  <c r="BL51" i="1"/>
  <c r="BL50" i="1"/>
  <c r="BL38" i="1"/>
  <c r="BL37" i="1"/>
  <c r="BL34" i="1"/>
  <c r="BL33" i="1"/>
  <c r="BL32" i="1"/>
  <c r="BL31" i="1"/>
  <c r="BL30" i="1"/>
  <c r="BL29" i="1"/>
  <c r="BC2" i="3" l="1"/>
  <c r="AZ3" i="3"/>
  <c r="AZ2" i="3"/>
  <c r="AT33" i="1" l="1"/>
  <c r="BH33" i="1" s="1"/>
  <c r="AU19" i="1"/>
  <c r="AU2" i="1"/>
  <c r="AR2" i="1"/>
  <c r="AT41" i="1"/>
  <c r="BH41" i="1" s="1"/>
  <c r="AU41" i="1"/>
  <c r="AT3" i="1"/>
  <c r="BH3" i="1" s="1"/>
  <c r="AU3" i="1"/>
  <c r="AT4" i="1"/>
  <c r="BH4" i="1" s="1"/>
  <c r="AU4" i="1"/>
  <c r="AT5" i="1"/>
  <c r="BH5" i="1" s="1"/>
  <c r="AU5" i="1"/>
  <c r="AT6" i="1"/>
  <c r="BH6" i="1" s="1"/>
  <c r="AT7" i="1"/>
  <c r="BH7" i="1" s="1"/>
  <c r="AT12" i="1"/>
  <c r="BH12" i="1" s="1"/>
  <c r="AT13" i="1"/>
  <c r="BH13" i="1" s="1"/>
  <c r="AT14" i="1"/>
  <c r="BH14" i="1" s="1"/>
  <c r="AU14" i="1"/>
  <c r="AT15" i="1"/>
  <c r="BH15" i="1" s="1"/>
  <c r="AU15" i="1"/>
  <c r="AT19" i="1"/>
  <c r="BH19" i="1" s="1"/>
  <c r="AT20" i="1"/>
  <c r="BH20" i="1" s="1"/>
  <c r="AU20" i="1"/>
  <c r="AT21" i="1"/>
  <c r="BH21" i="1" s="1"/>
  <c r="AU21" i="1"/>
  <c r="AT22" i="1"/>
  <c r="BH22" i="1" s="1"/>
  <c r="AU22" i="1"/>
  <c r="AT23" i="1"/>
  <c r="BH23" i="1" s="1"/>
  <c r="AU23" i="1"/>
  <c r="AT24" i="1"/>
  <c r="BH24" i="1" s="1"/>
  <c r="AU24" i="1"/>
  <c r="AT25" i="1"/>
  <c r="BH25" i="1" s="1"/>
  <c r="AU25" i="1"/>
  <c r="AT26" i="1"/>
  <c r="BH26" i="1" s="1"/>
  <c r="AU26" i="1"/>
  <c r="AT27" i="1"/>
  <c r="BH27" i="1" s="1"/>
  <c r="AU27" i="1"/>
  <c r="AT28" i="1"/>
  <c r="BH28" i="1" s="1"/>
  <c r="AU28" i="1"/>
  <c r="AT29" i="1"/>
  <c r="BH29" i="1" s="1"/>
  <c r="AU29" i="1"/>
  <c r="AT30" i="1"/>
  <c r="BH30" i="1" s="1"/>
  <c r="AU30" i="1"/>
  <c r="AT31" i="1"/>
  <c r="BH31" i="1" s="1"/>
  <c r="AU31" i="1"/>
  <c r="AT32" i="1"/>
  <c r="BH32" i="1" s="1"/>
  <c r="AU32" i="1"/>
  <c r="AU33" i="1"/>
  <c r="AT34" i="1"/>
  <c r="BH34" i="1" s="1"/>
  <c r="AU34" i="1"/>
  <c r="AT36" i="1"/>
  <c r="BH36" i="1" s="1"/>
  <c r="AT37" i="1"/>
  <c r="BH37" i="1" s="1"/>
  <c r="AU37" i="1"/>
  <c r="AT38" i="1"/>
  <c r="BH38" i="1" s="1"/>
  <c r="AU38" i="1"/>
  <c r="AT39" i="1"/>
  <c r="BH39" i="1" s="1"/>
  <c r="AU39" i="1"/>
  <c r="AT40" i="1"/>
  <c r="BH40" i="1" s="1"/>
  <c r="AU40" i="1"/>
  <c r="AT42" i="1"/>
  <c r="BH42" i="1" s="1"/>
  <c r="AU42" i="1"/>
  <c r="AT53" i="1"/>
  <c r="BH53" i="1" s="1"/>
  <c r="AT54" i="1"/>
  <c r="BH54" i="1" s="1"/>
  <c r="AT55" i="1"/>
  <c r="BH55" i="1" s="1"/>
  <c r="AT60" i="1"/>
  <c r="BH60" i="1" s="1"/>
  <c r="AT61" i="1"/>
  <c r="AT2" i="1"/>
  <c r="BH2" i="1" s="1"/>
  <c r="AQ7" i="1"/>
  <c r="BE7" i="1" s="1"/>
  <c r="AQ12" i="1"/>
  <c r="BE12" i="1" s="1"/>
  <c r="AQ13" i="1"/>
  <c r="BE13" i="1" s="1"/>
  <c r="AQ14" i="1"/>
  <c r="BE14" i="1" s="1"/>
  <c r="AR14" i="1"/>
  <c r="AQ15" i="1"/>
  <c r="BE15" i="1" s="1"/>
  <c r="AR15" i="1"/>
  <c r="AQ19" i="1"/>
  <c r="BE19" i="1" s="1"/>
  <c r="AR19" i="1"/>
  <c r="AQ20" i="1"/>
  <c r="BE20" i="1" s="1"/>
  <c r="AR20" i="1"/>
  <c r="AQ21" i="1"/>
  <c r="BE21" i="1" s="1"/>
  <c r="AR21" i="1"/>
  <c r="AQ22" i="1"/>
  <c r="BE22" i="1" s="1"/>
  <c r="AR22" i="1"/>
  <c r="AQ23" i="1"/>
  <c r="BE23" i="1" s="1"/>
  <c r="AR23" i="1"/>
  <c r="AQ24" i="1"/>
  <c r="BE24" i="1" s="1"/>
  <c r="AR24" i="1"/>
  <c r="AQ25" i="1"/>
  <c r="BE25" i="1" s="1"/>
  <c r="AR25" i="1"/>
  <c r="AQ26" i="1"/>
  <c r="BE26" i="1" s="1"/>
  <c r="AR26" i="1"/>
  <c r="AQ27" i="1"/>
  <c r="BE27" i="1" s="1"/>
  <c r="AR27" i="1"/>
  <c r="AQ28" i="1"/>
  <c r="BE28" i="1" s="1"/>
  <c r="AR28" i="1"/>
  <c r="AQ29" i="1"/>
  <c r="BE29" i="1" s="1"/>
  <c r="AR29" i="1"/>
  <c r="AQ30" i="1"/>
  <c r="BE30" i="1" s="1"/>
  <c r="AR30" i="1"/>
  <c r="AQ31" i="1"/>
  <c r="BE31" i="1" s="1"/>
  <c r="AR31" i="1"/>
  <c r="AQ32" i="1"/>
  <c r="BE32" i="1" s="1"/>
  <c r="AR32" i="1"/>
  <c r="AQ33" i="1"/>
  <c r="BE33" i="1" s="1"/>
  <c r="AR33" i="1"/>
  <c r="AQ34" i="1"/>
  <c r="BE34" i="1" s="1"/>
  <c r="AR34" i="1"/>
  <c r="AQ36" i="1"/>
  <c r="AQ37" i="1"/>
  <c r="BE37" i="1" s="1"/>
  <c r="AR37" i="1"/>
  <c r="AQ38" i="1"/>
  <c r="BE38" i="1" s="1"/>
  <c r="AR38" i="1"/>
  <c r="AQ39" i="1"/>
  <c r="BE39" i="1" s="1"/>
  <c r="AR39" i="1"/>
  <c r="AQ40" i="1"/>
  <c r="BE40" i="1" s="1"/>
  <c r="AR40" i="1"/>
  <c r="AQ47" i="1"/>
  <c r="BE47" i="1" s="1"/>
  <c r="AQ48" i="1"/>
  <c r="BE48" i="1" s="1"/>
  <c r="AQ49" i="1"/>
  <c r="BE49" i="1" s="1"/>
  <c r="AQ50" i="1"/>
  <c r="BE50" i="1" s="1"/>
  <c r="AQ51" i="1"/>
  <c r="BE51" i="1" s="1"/>
  <c r="AQ52" i="1"/>
  <c r="BE52" i="1" s="1"/>
  <c r="AQ56" i="1"/>
  <c r="BE56" i="1" s="1"/>
  <c r="AQ57" i="1"/>
  <c r="BE57" i="1" s="1"/>
  <c r="AQ58" i="1"/>
  <c r="BE58" i="1" s="1"/>
  <c r="AR58" i="1"/>
  <c r="AQ59" i="1"/>
  <c r="BE59" i="1" s="1"/>
  <c r="AR59" i="1"/>
  <c r="AQ62" i="1"/>
  <c r="BE62" i="1" s="1"/>
  <c r="AR62" i="1"/>
  <c r="AQ63" i="1"/>
  <c r="BE63" i="1" s="1"/>
  <c r="AR63" i="1"/>
  <c r="AQ64" i="1"/>
  <c r="BE64" i="1" s="1"/>
  <c r="AR64" i="1"/>
  <c r="AQ65" i="1"/>
  <c r="BE65" i="1" s="1"/>
  <c r="AR65" i="1"/>
  <c r="AQ6" i="1"/>
  <c r="BE6" i="1" s="1"/>
  <c r="AQ3" i="1"/>
  <c r="BE3" i="1" s="1"/>
  <c r="AR3" i="1"/>
  <c r="AQ4" i="1"/>
  <c r="BE4" i="1" s="1"/>
  <c r="AR4" i="1"/>
  <c r="AQ5" i="1"/>
  <c r="BE5" i="1" s="1"/>
  <c r="AR5" i="1"/>
  <c r="AQ2" i="1"/>
  <c r="BE2" i="1" s="1"/>
  <c r="J30" i="5" l="1"/>
  <c r="J32" i="5"/>
  <c r="I32" i="5"/>
  <c r="I30" i="5"/>
  <c r="J26" i="5"/>
  <c r="I26" i="5"/>
  <c r="J18" i="5"/>
  <c r="J40" i="5"/>
  <c r="J28" i="5"/>
  <c r="J22" i="5"/>
  <c r="J24" i="5"/>
  <c r="J2" i="5"/>
  <c r="J17" i="5"/>
  <c r="J43" i="5"/>
  <c r="J31" i="5"/>
  <c r="J27" i="5"/>
  <c r="J33" i="5"/>
  <c r="J25" i="5"/>
  <c r="J41" i="5"/>
  <c r="J23" i="5"/>
  <c r="J13" i="5"/>
  <c r="J39" i="5"/>
  <c r="J11" i="5"/>
  <c r="J37" i="5"/>
  <c r="J29" i="5"/>
  <c r="J15" i="5"/>
  <c r="J35" i="5"/>
  <c r="J19" i="5"/>
  <c r="J34" i="5"/>
  <c r="J36" i="5"/>
  <c r="J38" i="5" s="1"/>
  <c r="J5" i="5"/>
  <c r="I3" i="5"/>
  <c r="I9" i="5"/>
  <c r="I24" i="5"/>
  <c r="K24" i="5"/>
  <c r="I25" i="5"/>
  <c r="K36" i="5"/>
  <c r="K38" i="5" s="1"/>
  <c r="I36" i="5"/>
  <c r="I34" i="5"/>
  <c r="K34" i="5"/>
  <c r="I18" i="5"/>
  <c r="K18" i="5"/>
  <c r="BI3" i="1"/>
  <c r="K30" i="5"/>
  <c r="K26" i="5"/>
  <c r="BF33" i="1"/>
  <c r="BF29" i="1"/>
  <c r="BF25" i="1"/>
  <c r="BF21" i="1"/>
  <c r="BF14" i="1"/>
  <c r="I2" i="5"/>
  <c r="K2" i="5"/>
  <c r="BF5" i="1"/>
  <c r="BF32" i="1"/>
  <c r="BF28" i="1"/>
  <c r="BF24" i="1"/>
  <c r="BF20" i="1"/>
  <c r="BF64" i="1"/>
  <c r="BF58" i="1"/>
  <c r="BI42" i="1"/>
  <c r="BF37" i="1"/>
  <c r="BI33" i="1"/>
  <c r="BI4" i="1"/>
  <c r="BI14" i="1"/>
  <c r="BI15" i="1"/>
  <c r="BF3" i="1"/>
  <c r="BF34" i="1"/>
  <c r="BF30" i="1"/>
  <c r="BF26" i="1"/>
  <c r="BF22" i="1"/>
  <c r="BF15" i="1"/>
  <c r="BI34" i="1"/>
  <c r="BF4" i="1"/>
  <c r="BF31" i="1"/>
  <c r="BF27" i="1"/>
  <c r="BI37" i="1"/>
  <c r="BI31" i="1"/>
  <c r="BI27" i="1"/>
  <c r="BI23" i="1"/>
  <c r="BI41" i="1"/>
  <c r="BF65" i="1"/>
  <c r="BF59" i="1"/>
  <c r="BF38" i="1"/>
  <c r="BI38" i="1"/>
  <c r="BI32" i="1"/>
  <c r="BI28" i="1"/>
  <c r="BI24" i="1"/>
  <c r="BI20" i="1"/>
  <c r="BF23" i="1"/>
  <c r="BF19" i="1"/>
  <c r="BI5" i="1"/>
  <c r="BF2" i="1"/>
  <c r="BF63" i="1"/>
  <c r="BF40" i="1"/>
  <c r="BE36" i="1"/>
  <c r="J20" i="5" s="1"/>
  <c r="BI40" i="1"/>
  <c r="BI30" i="1"/>
  <c r="BI26" i="1"/>
  <c r="BI22" i="1"/>
  <c r="BI2" i="1"/>
  <c r="BH61" i="1"/>
  <c r="I21" i="5" s="1"/>
  <c r="BI19" i="1"/>
  <c r="BF62" i="1"/>
  <c r="BF39" i="1"/>
  <c r="BI39" i="1"/>
  <c r="BI29" i="1"/>
  <c r="BI25" i="1"/>
  <c r="BI21" i="1"/>
  <c r="K40" i="5"/>
  <c r="I40" i="5"/>
  <c r="K32" i="5"/>
  <c r="K28" i="5"/>
  <c r="I28" i="5"/>
  <c r="K22" i="5"/>
  <c r="I22" i="5"/>
  <c r="L22" i="5" s="1"/>
  <c r="I7" i="5"/>
  <c r="I11" i="5"/>
  <c r="I19" i="5"/>
  <c r="M19" i="5" s="1"/>
  <c r="BA42" i="1"/>
  <c r="AX43" i="1"/>
  <c r="AX44" i="1"/>
  <c r="AX47" i="1"/>
  <c r="AX48" i="1"/>
  <c r="AX49" i="1"/>
  <c r="AX58" i="1"/>
  <c r="AX59" i="1"/>
  <c r="AS2" i="3"/>
  <c r="AS3" i="3"/>
  <c r="AW2" i="3"/>
  <c r="AV2" i="3"/>
  <c r="AL3" i="3"/>
  <c r="BA61" i="1"/>
  <c r="BA60" i="1"/>
  <c r="BE3" i="3"/>
  <c r="BD3" i="3"/>
  <c r="BB3" i="3"/>
  <c r="BB2" i="3"/>
  <c r="BE2" i="3"/>
  <c r="AT2" i="3"/>
  <c r="AP2" i="3"/>
  <c r="AO2" i="3"/>
  <c r="AM2" i="3"/>
  <c r="AL2" i="3"/>
  <c r="AM17" i="1"/>
  <c r="AM16" i="1"/>
  <c r="AJ16" i="1"/>
  <c r="AM14" i="1"/>
  <c r="AN14" i="1"/>
  <c r="BJ14" i="1"/>
  <c r="AM15" i="1"/>
  <c r="AN15" i="1"/>
  <c r="BJ15" i="1"/>
  <c r="AJ14" i="1"/>
  <c r="AK14" i="1"/>
  <c r="AJ15" i="1"/>
  <c r="AK15" i="1"/>
  <c r="BG15" i="1"/>
  <c r="BG14" i="1"/>
  <c r="AM11" i="1"/>
  <c r="AJ11" i="1"/>
  <c r="AM10" i="1"/>
  <c r="AJ10" i="1"/>
  <c r="AM9" i="1"/>
  <c r="AJ9" i="1"/>
  <c r="AM8" i="1"/>
  <c r="AJ8" i="1"/>
  <c r="BJ13" i="1"/>
  <c r="AM13" i="1"/>
  <c r="BG13" i="1"/>
  <c r="AJ13" i="1"/>
  <c r="BJ12" i="1"/>
  <c r="AM12" i="1"/>
  <c r="BG12" i="1"/>
  <c r="AJ12" i="1"/>
  <c r="BJ7" i="1"/>
  <c r="AM7" i="1"/>
  <c r="BG7" i="1"/>
  <c r="AJ7" i="1"/>
  <c r="BJ6" i="1"/>
  <c r="AM6" i="1"/>
  <c r="BG6" i="1"/>
  <c r="AJ6" i="1"/>
  <c r="BG2" i="1"/>
  <c r="BJ5" i="1"/>
  <c r="AN5" i="1"/>
  <c r="BG5" i="1"/>
  <c r="AK5" i="1"/>
  <c r="BJ4" i="1"/>
  <c r="AN4" i="1"/>
  <c r="BG4" i="1"/>
  <c r="AK4" i="1"/>
  <c r="BJ3" i="1"/>
  <c r="AN3" i="1"/>
  <c r="BG3" i="1"/>
  <c r="AK3" i="1"/>
  <c r="BJ2" i="1"/>
  <c r="AN2" i="1"/>
  <c r="AK2" i="1"/>
  <c r="AJ39" i="1"/>
  <c r="AK39" i="1"/>
  <c r="BG39" i="1"/>
  <c r="AM39" i="1"/>
  <c r="AN39" i="1"/>
  <c r="BJ39" i="1"/>
  <c r="AJ40" i="1"/>
  <c r="AK40" i="1"/>
  <c r="BG40" i="1"/>
  <c r="AM40" i="1"/>
  <c r="AN40" i="1"/>
  <c r="BJ40" i="1"/>
  <c r="BG37" i="1"/>
  <c r="BJ37" i="1"/>
  <c r="BG38" i="1"/>
  <c r="BJ38" i="1"/>
  <c r="BJ36" i="1"/>
  <c r="BG36" i="1"/>
  <c r="AJ34" i="1"/>
  <c r="AJ29" i="1"/>
  <c r="AK29" i="1"/>
  <c r="BG29" i="1"/>
  <c r="AM29" i="1"/>
  <c r="AN29" i="1"/>
  <c r="BJ29" i="1"/>
  <c r="AJ30" i="1"/>
  <c r="AK30" i="1"/>
  <c r="BG30" i="1"/>
  <c r="AM30" i="1"/>
  <c r="AN30" i="1"/>
  <c r="BJ30" i="1"/>
  <c r="AJ31" i="1"/>
  <c r="AK31" i="1"/>
  <c r="BG31" i="1"/>
  <c r="AM31" i="1"/>
  <c r="AN31" i="1"/>
  <c r="BJ31" i="1"/>
  <c r="AJ32" i="1"/>
  <c r="AK32" i="1"/>
  <c r="BG32" i="1"/>
  <c r="AM32" i="1"/>
  <c r="AN32" i="1"/>
  <c r="BJ32" i="1"/>
  <c r="AJ33" i="1"/>
  <c r="AK33" i="1"/>
  <c r="BG33" i="1"/>
  <c r="AM33" i="1"/>
  <c r="AN33" i="1"/>
  <c r="BJ33" i="1"/>
  <c r="AK34" i="1"/>
  <c r="BG34" i="1"/>
  <c r="AM34" i="1"/>
  <c r="AN34" i="1"/>
  <c r="BJ34" i="1"/>
  <c r="AK25" i="1"/>
  <c r="BG25" i="1"/>
  <c r="AN25" i="1"/>
  <c r="BJ25" i="1"/>
  <c r="AK26" i="1"/>
  <c r="BG26" i="1"/>
  <c r="AN26" i="1"/>
  <c r="BJ26" i="1"/>
  <c r="AK27" i="1"/>
  <c r="BG27" i="1"/>
  <c r="AN27" i="1"/>
  <c r="BJ27" i="1"/>
  <c r="AK28" i="1"/>
  <c r="BG28" i="1"/>
  <c r="AN28" i="1"/>
  <c r="BJ28" i="1"/>
  <c r="AK19" i="1"/>
  <c r="BG19" i="1"/>
  <c r="AN19" i="1"/>
  <c r="BJ19" i="1"/>
  <c r="AK20" i="1"/>
  <c r="BG20" i="1"/>
  <c r="AN20" i="1"/>
  <c r="BJ20" i="1"/>
  <c r="AK21" i="1"/>
  <c r="BG21" i="1"/>
  <c r="AN21" i="1"/>
  <c r="BJ21" i="1"/>
  <c r="AK22" i="1"/>
  <c r="BG22" i="1"/>
  <c r="AN22" i="1"/>
  <c r="BJ22" i="1"/>
  <c r="AK23" i="1"/>
  <c r="BG23" i="1"/>
  <c r="AN23" i="1"/>
  <c r="BJ23" i="1"/>
  <c r="AK24" i="1"/>
  <c r="BG24" i="1"/>
  <c r="AN24" i="1"/>
  <c r="BJ24" i="1"/>
  <c r="AM41" i="1"/>
  <c r="BB41" i="1"/>
  <c r="BA41" i="1"/>
  <c r="AN41" i="1"/>
  <c r="AM61" i="1"/>
  <c r="BJ61" i="1"/>
  <c r="BJ60" i="1"/>
  <c r="BJ53" i="1"/>
  <c r="BJ55" i="1"/>
  <c r="BJ54" i="1"/>
  <c r="AM60" i="1"/>
  <c r="AJ59" i="1"/>
  <c r="AY59" i="1"/>
  <c r="AK59" i="1"/>
  <c r="AJ58" i="1"/>
  <c r="AY58" i="1"/>
  <c r="AK58" i="1"/>
  <c r="AX57" i="1"/>
  <c r="AX56" i="1"/>
  <c r="AJ47" i="1"/>
  <c r="AM55" i="1"/>
  <c r="BA55" i="1"/>
  <c r="AM54" i="1"/>
  <c r="BA54" i="1"/>
  <c r="AM53" i="1"/>
  <c r="BA53" i="1"/>
  <c r="AJ52" i="1"/>
  <c r="AX52" i="1"/>
  <c r="AJ51" i="1"/>
  <c r="AX51" i="1"/>
  <c r="AJ50" i="1"/>
  <c r="AX50" i="1"/>
  <c r="AJ49" i="1"/>
  <c r="AJ48" i="1"/>
  <c r="AX45" i="1"/>
  <c r="AJ45" i="1"/>
  <c r="AY45" i="1"/>
  <c r="AX46" i="1"/>
  <c r="AJ46" i="1" s="1"/>
  <c r="BL46" i="1" s="1"/>
  <c r="AY46" i="1"/>
  <c r="AJ43" i="1"/>
  <c r="AJ44" i="1"/>
  <c r="AY44" i="1"/>
  <c r="AY43" i="1"/>
  <c r="AM42" i="1"/>
  <c r="BB42" i="1"/>
  <c r="AN42" i="1"/>
  <c r="L26" i="5" l="1"/>
  <c r="M30" i="5"/>
  <c r="M2" i="5"/>
  <c r="M28" i="5"/>
  <c r="L40" i="5"/>
  <c r="L34" i="5"/>
  <c r="L32" i="5"/>
  <c r="M11" i="5"/>
  <c r="L24" i="5"/>
  <c r="L25" i="5"/>
  <c r="L36" i="5"/>
  <c r="L18" i="5"/>
  <c r="M26" i="5"/>
  <c r="L9" i="5"/>
  <c r="M9" i="5"/>
  <c r="M34" i="5"/>
  <c r="I38" i="5"/>
  <c r="L38" i="5" s="1"/>
  <c r="M36" i="5"/>
  <c r="J21" i="5"/>
  <c r="M21" i="5" s="1"/>
  <c r="L19" i="5"/>
  <c r="L2" i="5"/>
  <c r="M3" i="5"/>
  <c r="L3" i="5"/>
  <c r="M25" i="5"/>
  <c r="M32" i="5"/>
  <c r="M22" i="5"/>
  <c r="M18" i="5"/>
  <c r="M24" i="5"/>
  <c r="L30" i="5"/>
  <c r="L11" i="5"/>
  <c r="L28" i="5"/>
  <c r="M40" i="5"/>
  <c r="L7" i="5"/>
  <c r="M7" i="5"/>
  <c r="I5" i="5"/>
  <c r="M5" i="5" s="1"/>
  <c r="K5" i="5"/>
  <c r="I20" i="5"/>
  <c r="M20" i="5" s="1"/>
  <c r="I44" i="5"/>
  <c r="I42" i="5"/>
  <c r="J44" i="5"/>
  <c r="J42" i="5"/>
  <c r="K42" i="5"/>
  <c r="K44" i="5"/>
  <c r="K20" i="5"/>
  <c r="K21" i="5"/>
  <c r="I45" i="5"/>
  <c r="I43" i="5"/>
  <c r="L43" i="5" s="1"/>
  <c r="K43" i="5"/>
  <c r="K41" i="5"/>
  <c r="I41" i="5"/>
  <c r="L41" i="5" s="1"/>
  <c r="I39" i="5"/>
  <c r="M39" i="5" s="1"/>
  <c r="K39" i="5"/>
  <c r="I37" i="5"/>
  <c r="L37" i="5" s="1"/>
  <c r="K37" i="5"/>
  <c r="K35" i="5"/>
  <c r="I35" i="5"/>
  <c r="M35" i="5" s="1"/>
  <c r="K33" i="5"/>
  <c r="I33" i="5"/>
  <c r="M33" i="5" s="1"/>
  <c r="I31" i="5"/>
  <c r="M31" i="5" s="1"/>
  <c r="K31" i="5"/>
  <c r="K29" i="5"/>
  <c r="I29" i="5"/>
  <c r="M29" i="5" s="1"/>
  <c r="I27" i="5"/>
  <c r="L27" i="5" s="1"/>
  <c r="K27" i="5"/>
  <c r="K25" i="5"/>
  <c r="K23" i="5"/>
  <c r="I23" i="5"/>
  <c r="L23" i="5" s="1"/>
  <c r="K19" i="5"/>
  <c r="I17" i="5"/>
  <c r="L17" i="5" s="1"/>
  <c r="K17" i="5"/>
  <c r="I15" i="5"/>
  <c r="M15" i="5" s="1"/>
  <c r="K15" i="5"/>
  <c r="K13" i="5"/>
  <c r="I13" i="5"/>
  <c r="L13" i="5" s="1"/>
  <c r="K11" i="5"/>
  <c r="AQ44" i="1"/>
  <c r="BE44" i="1" s="1"/>
  <c r="AQ46" i="1"/>
  <c r="BE46" i="1" s="1"/>
  <c r="AQ45" i="1"/>
  <c r="BE45" i="1" s="1"/>
  <c r="AQ43" i="1"/>
  <c r="BE43" i="1" s="1"/>
  <c r="BA3" i="3"/>
  <c r="M43" i="5" l="1"/>
  <c r="L20" i="5"/>
  <c r="M17" i="5"/>
  <c r="M38" i="5"/>
  <c r="M41" i="5"/>
  <c r="M37" i="5"/>
  <c r="L33" i="5"/>
  <c r="L31" i="5"/>
  <c r="M27" i="5"/>
  <c r="L29" i="5"/>
  <c r="L5" i="5"/>
  <c r="J10" i="5"/>
  <c r="J4" i="5"/>
  <c r="M45" i="5"/>
  <c r="L45" i="5"/>
  <c r="L35" i="5"/>
  <c r="M13" i="5"/>
  <c r="J6" i="5"/>
  <c r="J8" i="5"/>
  <c r="L39" i="5"/>
  <c r="L15" i="5"/>
  <c r="M23" i="5"/>
  <c r="L21" i="5"/>
  <c r="L42" i="5"/>
  <c r="M42" i="5"/>
  <c r="L44" i="5"/>
  <c r="M44" i="5"/>
  <c r="K4" i="5"/>
  <c r="I4" i="5"/>
  <c r="K10" i="5"/>
  <c r="I10" i="5"/>
  <c r="I6" i="5"/>
  <c r="L6" i="5" s="1"/>
  <c r="K6" i="5"/>
  <c r="I8" i="5"/>
  <c r="K8" i="5"/>
  <c r="L8" i="5" l="1"/>
  <c r="L4" i="5"/>
  <c r="L10" i="5"/>
  <c r="I12" i="5"/>
  <c r="M10" i="5"/>
  <c r="M6" i="5"/>
  <c r="M4" i="5"/>
  <c r="M8" i="5"/>
  <c r="J16" i="5"/>
  <c r="J12" i="5"/>
  <c r="K16" i="5"/>
  <c r="K12" i="5"/>
  <c r="K14" i="5" s="1"/>
  <c r="I16" i="5"/>
  <c r="M16" i="5" l="1"/>
  <c r="L16" i="5"/>
  <c r="J14" i="5"/>
  <c r="M12" i="5"/>
  <c r="L12" i="5"/>
  <c r="I14" i="5"/>
  <c r="L14" i="5" l="1"/>
  <c r="M14"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E1" authorId="0" shapeId="0" xr:uid="{06A9E629-5634-4E00-B6AD-8795747EF4EB}">
      <text>
        <r>
          <rPr>
            <b/>
            <sz val="9"/>
            <color indexed="81"/>
            <rFont val="Tahoma"/>
            <family val="2"/>
          </rPr>
          <t>Author:</t>
        </r>
        <r>
          <rPr>
            <sz val="9"/>
            <color indexed="81"/>
            <rFont val="Tahoma"/>
            <family val="2"/>
          </rPr>
          <t xml:space="preserve">
Tropical
Subtropical
Temperate
Boreal</t>
        </r>
      </text>
    </comment>
    <comment ref="H1" authorId="0" shapeId="0" xr:uid="{6D6FBE25-DFEE-47B9-AD5A-CA41394BDFA7}">
      <text>
        <r>
          <rPr>
            <b/>
            <sz val="9"/>
            <color indexed="81"/>
            <rFont val="Tahoma"/>
            <family val="2"/>
          </rPr>
          <t>Author:</t>
        </r>
        <r>
          <rPr>
            <sz val="9"/>
            <color indexed="81"/>
            <rFont val="Tahoma"/>
            <family val="2"/>
          </rPr>
          <t xml:space="preserve">
Hummock
Lawn
Hallow</t>
        </r>
      </text>
    </comment>
    <comment ref="K1" authorId="0" shapeId="0" xr:uid="{3AF24A69-6152-40D6-996C-3D0472109B78}">
      <text>
        <r>
          <rPr>
            <b/>
            <sz val="9"/>
            <color indexed="81"/>
            <rFont val="Tahoma"/>
            <family val="2"/>
          </rPr>
          <t>Author:</t>
        </r>
        <r>
          <rPr>
            <sz val="9"/>
            <color indexed="81"/>
            <rFont val="Tahoma"/>
            <family val="2"/>
          </rPr>
          <t xml:space="preserve">
Graminoid
Legume
Cyperaceae
Peat moss
Shrub
Forest
Forbs</t>
        </r>
      </text>
    </comment>
    <comment ref="U1" authorId="0" shapeId="0" xr:uid="{04E217DD-C2D5-4854-A447-643BDF112FBC}">
      <text>
        <r>
          <rPr>
            <b/>
            <sz val="9"/>
            <color indexed="81"/>
            <rFont val="Tahoma"/>
            <family val="2"/>
          </rPr>
          <t>Author:</t>
        </r>
        <r>
          <rPr>
            <sz val="9"/>
            <color indexed="81"/>
            <rFont val="Tahoma"/>
            <family val="2"/>
          </rPr>
          <t xml:space="preserve">
Tropical
Subtropical
Temperate
Boreal</t>
        </r>
      </text>
    </comment>
    <comment ref="Z1" authorId="0" shapeId="0" xr:uid="{9DA9C835-1CF9-4AC4-85BF-DC6DEE99BF3C}">
      <text>
        <r>
          <rPr>
            <b/>
            <sz val="9"/>
            <color indexed="81"/>
            <rFont val="Tahoma"/>
            <family val="2"/>
          </rPr>
          <t>Author:</t>
        </r>
        <r>
          <rPr>
            <sz val="9"/>
            <color indexed="81"/>
            <rFont val="Tahoma"/>
            <family val="2"/>
          </rPr>
          <t xml:space="preserve">
Hummock
Lawn
Hallow</t>
        </r>
      </text>
    </comment>
    <comment ref="AC1" authorId="0" shapeId="0" xr:uid="{5C83BFB2-E688-4D09-B309-0CAC4EE5616A}">
      <text>
        <r>
          <rPr>
            <b/>
            <sz val="9"/>
            <color indexed="81"/>
            <rFont val="Tahoma"/>
            <family val="2"/>
          </rPr>
          <t>Author:</t>
        </r>
        <r>
          <rPr>
            <sz val="9"/>
            <color indexed="81"/>
            <rFont val="Tahoma"/>
            <family val="2"/>
          </rPr>
          <t xml:space="preserve">
Graminoid
Legume
Cyperaceae
Peat moss
Shrub
Forest
Forbs</t>
        </r>
      </text>
    </comment>
    <comment ref="AE1" authorId="0" shapeId="0" xr:uid="{2A2A5669-EEF8-4FF4-9FEC-771CC11317E2}">
      <text>
        <r>
          <rPr>
            <b/>
            <sz val="9"/>
            <color indexed="81"/>
            <rFont val="Tahoma"/>
            <family val="2"/>
          </rPr>
          <t>Author:</t>
        </r>
        <r>
          <rPr>
            <sz val="9"/>
            <color indexed="81"/>
            <rFont val="Tahoma"/>
            <family val="2"/>
          </rPr>
          <t xml:space="preserve">
Annual
Growing season
Non-growing season</t>
        </r>
      </text>
    </comment>
    <comment ref="AL1" authorId="0" shapeId="0" xr:uid="{B11431A4-E7CF-411B-8907-7F5958F25C17}">
      <text>
        <r>
          <rPr>
            <b/>
            <sz val="9"/>
            <color indexed="81"/>
            <rFont val="Tahoma"/>
            <family val="2"/>
          </rPr>
          <t>ML:
number of replicates</t>
        </r>
        <r>
          <rPr>
            <sz val="9"/>
            <color indexed="81"/>
            <rFont val="Tahoma"/>
            <family val="2"/>
          </rPr>
          <t xml:space="preserve">
</t>
        </r>
      </text>
    </comment>
    <comment ref="AO1" authorId="0" shapeId="0" xr:uid="{662167EB-9815-4402-9BDA-B525D7F5AA5E}">
      <text>
        <r>
          <rPr>
            <b/>
            <sz val="9"/>
            <color indexed="81"/>
            <rFont val="Tahoma"/>
            <family val="2"/>
          </rPr>
          <t>ML:
number of replicates</t>
        </r>
        <r>
          <rPr>
            <sz val="9"/>
            <color indexed="81"/>
            <rFont val="Tahoma"/>
            <family val="2"/>
          </rPr>
          <t xml:space="preserve">
</t>
        </r>
      </text>
    </comment>
    <comment ref="AS1" authorId="0" shapeId="0" xr:uid="{A2B8A633-E64B-470A-9541-F7E78A36EFD9}">
      <text>
        <r>
          <rPr>
            <b/>
            <sz val="9"/>
            <color indexed="81"/>
            <rFont val="Tahoma"/>
            <family val="2"/>
          </rPr>
          <t>ML:
number of replicates</t>
        </r>
        <r>
          <rPr>
            <sz val="9"/>
            <color indexed="81"/>
            <rFont val="Tahoma"/>
            <family val="2"/>
          </rPr>
          <t xml:space="preserve">
</t>
        </r>
      </text>
    </comment>
    <comment ref="AV1" authorId="0" shapeId="0" xr:uid="{9EAA3860-3068-4C0F-BC61-378C9BFA5231}">
      <text>
        <r>
          <rPr>
            <b/>
            <sz val="9"/>
            <color indexed="81"/>
            <rFont val="Tahoma"/>
            <family val="2"/>
          </rPr>
          <t>ML:
number of replicates</t>
        </r>
        <r>
          <rPr>
            <sz val="9"/>
            <color indexed="81"/>
            <rFont val="Tahoma"/>
            <family val="2"/>
          </rPr>
          <t xml:space="preserve">
</t>
        </r>
      </text>
    </comment>
    <comment ref="AZ1" authorId="0" shapeId="0" xr:uid="{FDA75F75-65D3-4971-949B-F968E1C89292}">
      <text>
        <r>
          <rPr>
            <b/>
            <sz val="9"/>
            <color indexed="81"/>
            <rFont val="Tahoma"/>
            <family val="2"/>
          </rPr>
          <t>ML:
number of replicates</t>
        </r>
        <r>
          <rPr>
            <sz val="9"/>
            <color indexed="81"/>
            <rFont val="Tahoma"/>
            <family val="2"/>
          </rPr>
          <t xml:space="preserve">
</t>
        </r>
      </text>
    </comment>
    <comment ref="BC1" authorId="0" shapeId="0" xr:uid="{8481D7F0-96A3-4D29-B264-37DC6E71E48B}">
      <text>
        <r>
          <rPr>
            <b/>
            <sz val="9"/>
            <color indexed="81"/>
            <rFont val="Tahoma"/>
            <family val="2"/>
          </rPr>
          <t>ML:
number of replicates</t>
        </r>
        <r>
          <rPr>
            <sz val="9"/>
            <color indexed="81"/>
            <rFont val="Tahoma"/>
            <family val="2"/>
          </rPr>
          <t xml:space="preserve">
</t>
        </r>
      </text>
    </comment>
    <comment ref="BG1" authorId="0" shapeId="0" xr:uid="{50932021-D3FD-42A6-95FB-441839F9DA4C}">
      <text>
        <r>
          <rPr>
            <b/>
            <sz val="9"/>
            <color indexed="81"/>
            <rFont val="Tahoma"/>
            <family val="2"/>
          </rPr>
          <t>ML:
number of replicates</t>
        </r>
        <r>
          <rPr>
            <sz val="9"/>
            <color indexed="81"/>
            <rFont val="Tahoma"/>
            <family val="2"/>
          </rPr>
          <t xml:space="preserve">
</t>
        </r>
      </text>
    </comment>
    <comment ref="BJ1" authorId="0" shapeId="0" xr:uid="{B05D6789-C669-4911-A084-393743E7692B}">
      <text>
        <r>
          <rPr>
            <b/>
            <sz val="9"/>
            <color indexed="81"/>
            <rFont val="Tahoma"/>
            <family val="2"/>
          </rPr>
          <t>ML:
number of replicates</t>
        </r>
        <r>
          <rPr>
            <sz val="9"/>
            <color indexed="81"/>
            <rFont val="Tahoma"/>
            <family val="2"/>
          </rPr>
          <t xml:space="preserve">
</t>
        </r>
      </text>
    </comment>
    <comment ref="BN1" authorId="0" shapeId="0" xr:uid="{4833F030-4663-4543-8C80-41D5EFDB622E}">
      <text>
        <r>
          <rPr>
            <b/>
            <sz val="9"/>
            <color indexed="81"/>
            <rFont val="Tahoma"/>
            <family val="2"/>
          </rPr>
          <t>ML:
number of replicates</t>
        </r>
        <r>
          <rPr>
            <sz val="9"/>
            <color indexed="81"/>
            <rFont val="Tahoma"/>
            <family val="2"/>
          </rPr>
          <t xml:space="preserve">
</t>
        </r>
      </text>
    </comment>
    <comment ref="BQ1" authorId="0" shapeId="0" xr:uid="{3A8E0E52-4000-4B9B-910D-D47E665FBC85}">
      <text>
        <r>
          <rPr>
            <b/>
            <sz val="9"/>
            <color indexed="81"/>
            <rFont val="Tahoma"/>
            <family val="2"/>
          </rPr>
          <t>ML:
number of replicates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E1" authorId="0" shapeId="0" xr:uid="{DCD8A42B-444E-47D3-8E81-F407D77B582A}">
      <text>
        <r>
          <rPr>
            <b/>
            <sz val="9"/>
            <color indexed="81"/>
            <rFont val="Tahoma"/>
            <family val="2"/>
          </rPr>
          <t>Author:</t>
        </r>
        <r>
          <rPr>
            <sz val="9"/>
            <color indexed="81"/>
            <rFont val="Tahoma"/>
            <family val="2"/>
          </rPr>
          <t xml:space="preserve">
Tropical
Subtropical
Temperate
Boreal</t>
        </r>
      </text>
    </comment>
    <comment ref="H1" authorId="0" shapeId="0" xr:uid="{2E185F37-5DE4-4906-9495-A6203E67F831}">
      <text>
        <r>
          <rPr>
            <b/>
            <sz val="9"/>
            <color indexed="81"/>
            <rFont val="Tahoma"/>
            <family val="2"/>
          </rPr>
          <t>Author:</t>
        </r>
        <r>
          <rPr>
            <sz val="9"/>
            <color indexed="81"/>
            <rFont val="Tahoma"/>
            <family val="2"/>
          </rPr>
          <t xml:space="preserve">
Hummock
Lawn
Hallow</t>
        </r>
      </text>
    </comment>
    <comment ref="K1" authorId="0" shapeId="0" xr:uid="{A491ACAC-9716-4C97-9A41-E087E9E3BB19}">
      <text>
        <r>
          <rPr>
            <b/>
            <sz val="9"/>
            <color indexed="81"/>
            <rFont val="Tahoma"/>
            <family val="2"/>
          </rPr>
          <t>Author:</t>
        </r>
        <r>
          <rPr>
            <sz val="9"/>
            <color indexed="81"/>
            <rFont val="Tahoma"/>
            <family val="2"/>
          </rPr>
          <t xml:space="preserve">
Graminoid
Legume
Cyperaceae
Peat moss
Shrub
Forest
Forbs</t>
        </r>
      </text>
    </comment>
    <comment ref="W1" authorId="0" shapeId="0" xr:uid="{F4C7BE99-39E2-4384-B115-3F5C2C5FFD7A}">
      <text>
        <r>
          <rPr>
            <b/>
            <sz val="9"/>
            <color indexed="81"/>
            <rFont val="Tahoma"/>
            <family val="2"/>
          </rPr>
          <t>Author:</t>
        </r>
        <r>
          <rPr>
            <sz val="9"/>
            <color indexed="81"/>
            <rFont val="Tahoma"/>
            <family val="2"/>
          </rPr>
          <t xml:space="preserve">
Tropical
Subtropical
Temperate
Boreal</t>
        </r>
      </text>
    </comment>
    <comment ref="AB1" authorId="0" shapeId="0" xr:uid="{8D195B58-4759-4D97-A589-4122A4BAB432}">
      <text>
        <r>
          <rPr>
            <b/>
            <sz val="9"/>
            <color indexed="81"/>
            <rFont val="Tahoma"/>
            <family val="2"/>
          </rPr>
          <t>Author:</t>
        </r>
        <r>
          <rPr>
            <sz val="9"/>
            <color indexed="81"/>
            <rFont val="Tahoma"/>
            <family val="2"/>
          </rPr>
          <t xml:space="preserve">
Hummock
Lawn
Hallow</t>
        </r>
      </text>
    </comment>
    <comment ref="AE1" authorId="0" shapeId="0" xr:uid="{29EB77B0-0BA2-46B3-8A2A-5C0F65AF96A6}">
      <text>
        <r>
          <rPr>
            <b/>
            <sz val="9"/>
            <color indexed="81"/>
            <rFont val="Tahoma"/>
            <family val="2"/>
          </rPr>
          <t>Author:</t>
        </r>
        <r>
          <rPr>
            <sz val="9"/>
            <color indexed="81"/>
            <rFont val="Tahoma"/>
            <family val="2"/>
          </rPr>
          <t xml:space="preserve">
Graminoid
Legume
Cyperaceae
Peat moss
Shrub
Forest
Forbs</t>
        </r>
      </text>
    </comment>
    <comment ref="AG1" authorId="0" shapeId="0" xr:uid="{1AC08445-BCF1-46A6-A53D-16040A9C27E1}">
      <text>
        <r>
          <rPr>
            <b/>
            <sz val="9"/>
            <color indexed="81"/>
            <rFont val="Tahoma"/>
            <family val="2"/>
          </rPr>
          <t>Author:</t>
        </r>
        <r>
          <rPr>
            <sz val="9"/>
            <color indexed="81"/>
            <rFont val="Tahoma"/>
            <family val="2"/>
          </rPr>
          <t xml:space="preserve">
Annual
Growing season
Non-growing season</t>
        </r>
      </text>
    </comment>
    <comment ref="AN1" authorId="0" shapeId="0" xr:uid="{D830F5AA-0A29-4E0E-9FA8-1F11ED8E6278}">
      <text>
        <r>
          <rPr>
            <b/>
            <sz val="9"/>
            <color indexed="81"/>
            <rFont val="Tahoma"/>
            <family val="2"/>
          </rPr>
          <t>ML:
number of replicates</t>
        </r>
        <r>
          <rPr>
            <sz val="9"/>
            <color indexed="81"/>
            <rFont val="Tahoma"/>
            <family val="2"/>
          </rPr>
          <t xml:space="preserve">
</t>
        </r>
      </text>
    </comment>
    <comment ref="AQ1" authorId="0" shapeId="0" xr:uid="{9E028AA6-1A11-4F23-9654-C9B75AB71553}">
      <text>
        <r>
          <rPr>
            <b/>
            <sz val="9"/>
            <color indexed="81"/>
            <rFont val="Tahoma"/>
            <family val="2"/>
          </rPr>
          <t>ML:
number of replicates</t>
        </r>
        <r>
          <rPr>
            <sz val="9"/>
            <color indexed="81"/>
            <rFont val="Tahoma"/>
            <family val="2"/>
          </rPr>
          <t xml:space="preserve">
</t>
        </r>
      </text>
    </comment>
    <comment ref="AU1" authorId="0" shapeId="0" xr:uid="{D1EA59BC-DF75-44BE-80B9-3B0C6717C7B5}">
      <text>
        <r>
          <rPr>
            <b/>
            <sz val="9"/>
            <color indexed="81"/>
            <rFont val="Tahoma"/>
            <family val="2"/>
          </rPr>
          <t>ML:
number of replicates</t>
        </r>
        <r>
          <rPr>
            <sz val="9"/>
            <color indexed="81"/>
            <rFont val="Tahoma"/>
            <family val="2"/>
          </rPr>
          <t xml:space="preserve">
</t>
        </r>
      </text>
    </comment>
    <comment ref="AX1" authorId="0" shapeId="0" xr:uid="{92F85C2A-5E70-478E-8153-B131CBFB360E}">
      <text>
        <r>
          <rPr>
            <b/>
            <sz val="9"/>
            <color indexed="81"/>
            <rFont val="Tahoma"/>
            <family val="2"/>
          </rPr>
          <t>ML:
number of replicates</t>
        </r>
        <r>
          <rPr>
            <sz val="9"/>
            <color indexed="81"/>
            <rFont val="Tahoma"/>
            <family val="2"/>
          </rPr>
          <t xml:space="preserve">
</t>
        </r>
      </text>
    </comment>
    <comment ref="BB1" authorId="0" shapeId="0" xr:uid="{DFCCC32C-9009-4716-A6EC-551D391EFAD0}">
      <text>
        <r>
          <rPr>
            <b/>
            <sz val="9"/>
            <color indexed="81"/>
            <rFont val="Tahoma"/>
            <family val="2"/>
          </rPr>
          <t>ML:
number of replicates</t>
        </r>
        <r>
          <rPr>
            <sz val="9"/>
            <color indexed="81"/>
            <rFont val="Tahoma"/>
            <family val="2"/>
          </rPr>
          <t xml:space="preserve">
</t>
        </r>
      </text>
    </comment>
    <comment ref="BE1" authorId="0" shapeId="0" xr:uid="{571306DC-C01B-49B0-8DCD-9A6BF568BC31}">
      <text>
        <r>
          <rPr>
            <b/>
            <sz val="9"/>
            <color indexed="81"/>
            <rFont val="Tahoma"/>
            <family val="2"/>
          </rPr>
          <t>ML:
number of replicates</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1" authorId="0" shapeId="0" xr:uid="{15A0F52F-D0EE-40EA-BA5E-04B60AEE0A41}">
      <text>
        <r>
          <rPr>
            <b/>
            <sz val="9"/>
            <color indexed="81"/>
            <rFont val="Tahoma"/>
            <family val="2"/>
          </rPr>
          <t>Author:</t>
        </r>
        <r>
          <rPr>
            <sz val="9"/>
            <color indexed="81"/>
            <rFont val="Tahoma"/>
            <family val="2"/>
          </rPr>
          <t xml:space="preserve">
Hummock
Lawn
Hallow</t>
        </r>
      </text>
    </comment>
  </commentList>
</comments>
</file>

<file path=xl/sharedStrings.xml><?xml version="1.0" encoding="utf-8"?>
<sst xmlns="http://schemas.openxmlformats.org/spreadsheetml/2006/main" count="2905" uniqueCount="255">
  <si>
    <t>Climatic conditions</t>
    <phoneticPr fontId="4" type="noConversion"/>
  </si>
  <si>
    <t>Wetland type</t>
    <phoneticPr fontId="4" type="noConversion"/>
  </si>
  <si>
    <t>Microtopography</t>
    <phoneticPr fontId="4" type="noConversion"/>
  </si>
  <si>
    <t>Nutrient supply type</t>
    <phoneticPr fontId="4" type="noConversion"/>
  </si>
  <si>
    <t>Drainage</t>
    <phoneticPr fontId="4" type="noConversion"/>
  </si>
  <si>
    <t>/</t>
    <phoneticPr fontId="4" type="noConversion"/>
  </si>
  <si>
    <t>Boreal</t>
    <phoneticPr fontId="4" type="noConversion"/>
  </si>
  <si>
    <t>Peatland (bog)</t>
    <phoneticPr fontId="4" type="noConversion"/>
  </si>
  <si>
    <t>ombrotrophic</t>
    <phoneticPr fontId="4" type="noConversion"/>
  </si>
  <si>
    <t>overall</t>
    <phoneticPr fontId="4" type="noConversion"/>
  </si>
  <si>
    <t>seasonally</t>
    <phoneticPr fontId="4" type="noConversion"/>
  </si>
  <si>
    <t>Peat moss</t>
    <phoneticPr fontId="4" type="noConversion"/>
  </si>
  <si>
    <t>Annual</t>
    <phoneticPr fontId="4" type="noConversion"/>
  </si>
  <si>
    <t>Field, Chamber</t>
    <phoneticPr fontId="4" type="noConversion"/>
  </si>
  <si>
    <t>Pandel et al. 2018</t>
    <phoneticPr fontId="4" type="noConversion"/>
  </si>
  <si>
    <t>Denmark</t>
    <phoneticPr fontId="4" type="noConversion"/>
  </si>
  <si>
    <t>Temperate</t>
    <phoneticPr fontId="4" type="noConversion"/>
  </si>
  <si>
    <t>Eriophorum vaginatum, Empetrum nigrum</t>
    <phoneticPr fontId="4" type="noConversion"/>
  </si>
  <si>
    <t>Cyperaceae</t>
    <phoneticPr fontId="4" type="noConversion"/>
  </si>
  <si>
    <t>2014/06/10-2015/06/09</t>
    <phoneticPr fontId="4" type="noConversion"/>
  </si>
  <si>
    <t>1-2 week intervals</t>
    <phoneticPr fontId="4" type="noConversion"/>
  </si>
  <si>
    <t>kg ha-1 yr-1</t>
    <phoneticPr fontId="4" type="noConversion"/>
  </si>
  <si>
    <t>Eriophorum vaginatum, Empetrum nigrum</t>
  </si>
  <si>
    <t>Forestry</t>
    <phoneticPr fontId="4" type="noConversion"/>
  </si>
  <si>
    <t>Finland</t>
    <phoneticPr fontId="4" type="noConversion"/>
  </si>
  <si>
    <t>Peatland (fen)</t>
    <phoneticPr fontId="4" type="noConversion"/>
  </si>
  <si>
    <t>minerotrophic</t>
    <phoneticPr fontId="4" type="noConversion"/>
  </si>
  <si>
    <t>hummock</t>
    <phoneticPr fontId="4" type="noConversion"/>
  </si>
  <si>
    <t>Laine et al. 1996</t>
    <phoneticPr fontId="4" type="noConversion"/>
  </si>
  <si>
    <t>once per week</t>
  </si>
  <si>
    <t>Beetz et al. 2013</t>
    <phoneticPr fontId="4" type="noConversion"/>
  </si>
  <si>
    <t>Germany</t>
    <phoneticPr fontId="4" type="noConversion"/>
  </si>
  <si>
    <t>Eriophorum angustifolium, Sphagnum fallax</t>
    <phoneticPr fontId="4" type="noConversion"/>
  </si>
  <si>
    <t>2007/07/01-2008/06/30</t>
    <phoneticPr fontId="4" type="noConversion"/>
  </si>
  <si>
    <t>dry</t>
    <phoneticPr fontId="4" type="noConversion"/>
  </si>
  <si>
    <t>biweekly</t>
    <phoneticPr fontId="4" type="noConversion"/>
  </si>
  <si>
    <t>2008/07/01-2009/06/30</t>
    <phoneticPr fontId="4" type="noConversion"/>
  </si>
  <si>
    <t>wet</t>
    <phoneticPr fontId="4" type="noConversion"/>
  </si>
  <si>
    <t>Nykanen et al. 1995</t>
    <phoneticPr fontId="4" type="noConversion"/>
  </si>
  <si>
    <t>Molinia-Carex-Tri- chophorum caespitosum-Sphagnum papillosum</t>
    <phoneticPr fontId="4" type="noConversion"/>
  </si>
  <si>
    <t>Slovenia</t>
  </si>
  <si>
    <t>Forest</t>
    <phoneticPr fontId="4" type="noConversion"/>
  </si>
  <si>
    <t>2005/6-2006/8</t>
    <phoneticPr fontId="4" type="noConversion"/>
  </si>
  <si>
    <t>weekly</t>
    <phoneticPr fontId="4" type="noConversion"/>
  </si>
  <si>
    <t>Von Arnold et al. 2005a</t>
    <phoneticPr fontId="4" type="noConversion"/>
  </si>
  <si>
    <t>Sweden</t>
    <phoneticPr fontId="4" type="noConversion"/>
  </si>
  <si>
    <t>Sedges</t>
    <phoneticPr fontId="4" type="noConversion"/>
  </si>
  <si>
    <t>2000/9-2001/9</t>
    <phoneticPr fontId="4" type="noConversion"/>
  </si>
  <si>
    <t>2001/9-2002/9</t>
    <phoneticPr fontId="4" type="noConversion"/>
  </si>
  <si>
    <t>Von Arnold et al. 2005b</t>
    <phoneticPr fontId="4" type="noConversion"/>
  </si>
  <si>
    <t>Maljanen et al. 2010</t>
    <phoneticPr fontId="4" type="noConversion"/>
  </si>
  <si>
    <t>Tropical</t>
    <phoneticPr fontId="4" type="noConversion"/>
  </si>
  <si>
    <t>Swamp</t>
    <phoneticPr fontId="4" type="noConversion"/>
  </si>
  <si>
    <t>Ma et al. 2018</t>
    <phoneticPr fontId="4" type="noConversion"/>
  </si>
  <si>
    <t>China</t>
    <phoneticPr fontId="4" type="noConversion"/>
  </si>
  <si>
    <t>Marsh</t>
    <phoneticPr fontId="4" type="noConversion"/>
  </si>
  <si>
    <t>Kobresia tibetica</t>
  </si>
  <si>
    <t>2013/5-2014/5</t>
    <phoneticPr fontId="4" type="noConversion"/>
  </si>
  <si>
    <t>2014/5-2015/5</t>
    <phoneticPr fontId="4" type="noConversion"/>
  </si>
  <si>
    <t>Graminoid</t>
    <phoneticPr fontId="4" type="noConversion"/>
  </si>
  <si>
    <t>monthly</t>
    <phoneticPr fontId="4" type="noConversion"/>
  </si>
  <si>
    <t>Indonesia</t>
    <phoneticPr fontId="4" type="noConversion"/>
  </si>
  <si>
    <t>Yamulki et al. 2013</t>
    <phoneticPr fontId="4" type="noConversion"/>
  </si>
  <si>
    <t>UK</t>
    <phoneticPr fontId="4" type="noConversion"/>
  </si>
  <si>
    <t>Sphagnum mosses</t>
    <phoneticPr fontId="4" type="noConversion"/>
  </si>
  <si>
    <t>2008/02-2009/02</t>
    <phoneticPr fontId="4" type="noConversion"/>
  </si>
  <si>
    <t>2009/02-2009/12</t>
    <phoneticPr fontId="4" type="noConversion"/>
  </si>
  <si>
    <t>Estonia</t>
    <phoneticPr fontId="4" type="noConversion"/>
  </si>
  <si>
    <t>Cao et al. 2018</t>
    <phoneticPr fontId="4" type="noConversion"/>
  </si>
  <si>
    <t>Low drainage</t>
    <phoneticPr fontId="4" type="noConversion"/>
  </si>
  <si>
    <t>0.3-10.0</t>
    <phoneticPr fontId="4" type="noConversion"/>
  </si>
  <si>
    <t>4-month</t>
    <phoneticPr fontId="4" type="noConversion"/>
  </si>
  <si>
    <t>Scirpus pumilus, Blysmus sinocompressus, Carex muliensis, Kobresia humilis</t>
  </si>
  <si>
    <t>2013/08-2016/12</t>
    <phoneticPr fontId="4" type="noConversion"/>
  </si>
  <si>
    <t>High drainage</t>
    <phoneticPr fontId="4" type="noConversion"/>
  </si>
  <si>
    <t>Mojeremane et al. 2012</t>
    <phoneticPr fontId="4" type="noConversion"/>
  </si>
  <si>
    <t>0.15-0.40</t>
    <phoneticPr fontId="4" type="noConversion"/>
  </si>
  <si>
    <t>2-month</t>
    <phoneticPr fontId="4" type="noConversion"/>
  </si>
  <si>
    <t>Festuca ovina, Deschampsia flexusosa</t>
    <phoneticPr fontId="4" type="noConversion"/>
  </si>
  <si>
    <t>2006/06-2007/06</t>
    <phoneticPr fontId="4" type="noConversion"/>
  </si>
  <si>
    <t>2007/06-2008/06</t>
    <phoneticPr fontId="4" type="noConversion"/>
  </si>
  <si>
    <t>ID</t>
  </si>
  <si>
    <t>References</t>
    <phoneticPr fontId="8" type="noConversion"/>
  </si>
  <si>
    <t>Drainage (treatment)</t>
    <phoneticPr fontId="4" type="noConversion"/>
  </si>
  <si>
    <t>Purpose</t>
    <phoneticPr fontId="4" type="noConversion"/>
  </si>
  <si>
    <t>Peat depth (m) in pristine wetland</t>
    <phoneticPr fontId="4" type="noConversion"/>
  </si>
  <si>
    <t>N rate (kg N ha-1) in drained wetland</t>
    <phoneticPr fontId="4" type="noConversion"/>
  </si>
  <si>
    <t>Biomass/manure application (t ha-1) in drained wetland</t>
    <phoneticPr fontId="4" type="noConversion"/>
  </si>
  <si>
    <t>Country</t>
    <phoneticPr fontId="4" type="noConversion"/>
  </si>
  <si>
    <t>Latitude (°, N)</t>
    <phoneticPr fontId="4" type="noConversion"/>
  </si>
  <si>
    <t>Longitude (°, E)</t>
    <phoneticPr fontId="4" type="noConversion"/>
  </si>
  <si>
    <t>Altitude (m)</t>
    <phoneticPr fontId="4" type="noConversion"/>
  </si>
  <si>
    <t>MAT ( °C)</t>
    <phoneticPr fontId="4" type="noConversion"/>
  </si>
  <si>
    <t>MAP (mm)</t>
    <phoneticPr fontId="4" type="noConversion"/>
  </si>
  <si>
    <t>Drainage duration (years)</t>
    <phoneticPr fontId="4" type="noConversion"/>
  </si>
  <si>
    <t>Drainage intensity</t>
    <phoneticPr fontId="4" type="noConversion"/>
  </si>
  <si>
    <t>Permanently/seasonally flooded</t>
    <phoneticPr fontId="4" type="noConversion"/>
  </si>
  <si>
    <t>Dominant plant species in prestine wetland</t>
    <phoneticPr fontId="4" type="noConversion"/>
  </si>
  <si>
    <t>Function group</t>
    <phoneticPr fontId="4" type="noConversion"/>
  </si>
  <si>
    <t>Measurement period</t>
    <phoneticPr fontId="4" type="noConversion"/>
  </si>
  <si>
    <t>Season</t>
    <phoneticPr fontId="4" type="noConversion"/>
  </si>
  <si>
    <t>Dry/wet</t>
    <phoneticPr fontId="4" type="noConversion"/>
  </si>
  <si>
    <t>Measurement frequency</t>
    <phoneticPr fontId="4" type="noConversion"/>
  </si>
  <si>
    <t>Method</t>
    <phoneticPr fontId="4" type="noConversion"/>
  </si>
  <si>
    <t>Control</t>
    <phoneticPr fontId="4" type="noConversion"/>
  </si>
  <si>
    <t>SD</t>
    <phoneticPr fontId="4" type="noConversion"/>
  </si>
  <si>
    <t>n</t>
    <phoneticPr fontId="4" type="noConversion"/>
  </si>
  <si>
    <t>Treatment</t>
    <phoneticPr fontId="4" type="noConversion"/>
  </si>
  <si>
    <t>Peatland (fen)</t>
    <phoneticPr fontId="1" type="noConversion"/>
  </si>
  <si>
    <t>/</t>
    <phoneticPr fontId="1" type="noConversion"/>
  </si>
  <si>
    <t>2007/09-2008/10</t>
    <phoneticPr fontId="1" type="noConversion"/>
  </si>
  <si>
    <t>Hao et al. 2006</t>
    <phoneticPr fontId="1" type="noConversion"/>
  </si>
  <si>
    <t>China</t>
    <phoneticPr fontId="1" type="noConversion"/>
  </si>
  <si>
    <t>permanently</t>
    <phoneticPr fontId="1" type="noConversion"/>
  </si>
  <si>
    <t>Carex  lasiocarpa</t>
    <phoneticPr fontId="1" type="noConversion"/>
  </si>
  <si>
    <t>D. angustifolia</t>
    <phoneticPr fontId="1" type="noConversion"/>
  </si>
  <si>
    <t>Shrub</t>
    <phoneticPr fontId="1" type="noConversion"/>
  </si>
  <si>
    <t>Song et al. 2009</t>
    <phoneticPr fontId="1" type="noConversion"/>
  </si>
  <si>
    <t>Carex lasiocarpa</t>
    <phoneticPr fontId="1" type="noConversion"/>
  </si>
  <si>
    <t>cyperaceae</t>
    <phoneticPr fontId="1" type="noConversion"/>
  </si>
  <si>
    <t>2002/06-2003/06</t>
    <phoneticPr fontId="1" type="noConversion"/>
  </si>
  <si>
    <t>Deyeuxia angustifolia</t>
    <phoneticPr fontId="1" type="noConversion"/>
  </si>
  <si>
    <t>2004/06-2005/06</t>
    <phoneticPr fontId="1" type="noConversion"/>
  </si>
  <si>
    <t>Jiang et al. 2009</t>
    <phoneticPr fontId="1" type="noConversion"/>
  </si>
  <si>
    <t>2006</t>
    <phoneticPr fontId="4" type="noConversion"/>
  </si>
  <si>
    <t>Song et al. 2019</t>
    <phoneticPr fontId="1" type="noConversion"/>
  </si>
  <si>
    <t>Calamagrostis angustifolia</t>
    <phoneticPr fontId="1" type="noConversion"/>
  </si>
  <si>
    <t>Carex Schmidtii Meinsh</t>
    <phoneticPr fontId="1" type="noConversion"/>
  </si>
  <si>
    <t>2015/10/16-2016/10/17</t>
    <phoneticPr fontId="1" type="noConversion"/>
  </si>
  <si>
    <t>Lohila et al. 2011</t>
    <phoneticPr fontId="1" type="noConversion"/>
  </si>
  <si>
    <t>Peatland (bog)</t>
    <phoneticPr fontId="1" type="noConversion"/>
  </si>
  <si>
    <t>2004/07-2005/07</t>
    <phoneticPr fontId="1" type="noConversion"/>
  </si>
  <si>
    <t>Järveoja et al. 2016</t>
    <phoneticPr fontId="1" type="noConversion"/>
  </si>
  <si>
    <t>2014/03-2015/03</t>
    <phoneticPr fontId="1" type="noConversion"/>
  </si>
  <si>
    <t>Melling et al. 2007</t>
    <phoneticPr fontId="4" type="noConversion"/>
  </si>
  <si>
    <t>Malaysia</t>
    <phoneticPr fontId="4" type="noConversion"/>
  </si>
  <si>
    <t>Dinsmore et al. 2009</t>
    <phoneticPr fontId="1" type="noConversion"/>
  </si>
  <si>
    <t>2005/05-2006/05</t>
    <phoneticPr fontId="1" type="noConversion"/>
  </si>
  <si>
    <t>2005/11-2006/11</t>
    <phoneticPr fontId="1" type="noConversion"/>
  </si>
  <si>
    <t>hollow</t>
    <phoneticPr fontId="4" type="noConversion"/>
  </si>
  <si>
    <t>2003/06-2004/06</t>
    <phoneticPr fontId="1" type="noConversion"/>
  </si>
  <si>
    <t>Takakai et al. 2006</t>
    <phoneticPr fontId="4" type="noConversion"/>
  </si>
  <si>
    <t>3.50-4.85</t>
    <phoneticPr fontId="4" type="noConversion"/>
  </si>
  <si>
    <t>2003/04-2004/04</t>
    <phoneticPr fontId="4" type="noConversion"/>
  </si>
  <si>
    <t>2002/08-2003-07</t>
    <phoneticPr fontId="4" type="noConversion"/>
  </si>
  <si>
    <t>Maljanen et al. 2010. Cold-season nitrous oxide dynamics in a drained boreal peatland differ depending on land-use practice</t>
    <phoneticPr fontId="1" type="noConversion"/>
  </si>
  <si>
    <t>References</t>
    <phoneticPr fontId="1" type="noConversion"/>
  </si>
  <si>
    <t>Hao et al. 2006. Contribution of winter fluxes to the annual CH 4, CO2 and N2O emissions from freshwater marshes in the Sanjiang Plain</t>
    <phoneticPr fontId="1" type="noConversion"/>
  </si>
  <si>
    <t>Song et al. 2009. Ecosystem-atmosphere exchange of CH4 and N2O and ecosystem respiration in wetlands in the Sanjiang Plain, Northeastern China</t>
    <phoneticPr fontId="1" type="noConversion"/>
  </si>
  <si>
    <t>Jiang et al. 2009. Effect of land-use change on CH4 and N2O emissions from freshwater marsh in Northeast China</t>
    <phoneticPr fontId="1" type="noConversion"/>
  </si>
  <si>
    <t>Song et al. 2019. Effects of Environmental Variables on Spatiotemporal Variations of Nitrous Oxide Fluxes in the Pristine Riparian Marsh, Northeast China</t>
    <phoneticPr fontId="1" type="noConversion"/>
  </si>
  <si>
    <t>Lohila et al. 2011. Greenhouse gas flux measurements in a forestry-drained peatland indicate a large carbon sink</t>
    <phoneticPr fontId="1" type="noConversion"/>
  </si>
  <si>
    <t>Järveoja et al. 2016. Impact of water table level on annual carbon and greenhouse gas balances of a restored peat extraction area</t>
    <phoneticPr fontId="1" type="noConversion"/>
  </si>
  <si>
    <t>Dinsmore et al. 2009. Spatial and temporal variability in CH4 and N2O fluxes from a Scottish ombrotrophic peatland Implications for modeling and up-scaling</t>
    <phoneticPr fontId="1" type="noConversion"/>
  </si>
  <si>
    <t>Mojeremane et al. 2012. The effects of site preparation practices on carbon dioxide, methane and nitrous oxide fluxes from a peaty gley soil</t>
    <phoneticPr fontId="1" type="noConversion"/>
  </si>
  <si>
    <t>Cao et al. 2018. The effect of drainage on CO2, CH4 and N2O emissions in the Zoige peatland: a 40-month in situ study</t>
    <phoneticPr fontId="1" type="noConversion"/>
  </si>
  <si>
    <t>Yamulki et al. 2013. Soil CO2 CH4 and N2O fluxes from an afforested lowland raised peatbog in Scotland: implications for drainage and restoration</t>
    <phoneticPr fontId="1" type="noConversion"/>
  </si>
  <si>
    <t>Ma et al. 2018. Greenhouse gas emissions as influenced by wetland vegetation degradation along a moisture gradient on the eastern Qinghai-Tibet Plateau of North-West China</t>
    <phoneticPr fontId="1" type="noConversion"/>
  </si>
  <si>
    <t>Von Arnold et al. 2005a. Fluxes of CO2, CH4 and N2O from drained coniferous forests on organic soils</t>
    <phoneticPr fontId="1" type="noConversion"/>
  </si>
  <si>
    <t>Von Arnold et al. 2005b. Fluxes of CO2, CH4 and N2O from drained organic soils in deciduous forests</t>
    <phoneticPr fontId="1" type="noConversion"/>
  </si>
  <si>
    <t>Danevcic et al. 2010. Emissions of CO2, CH4 and N2O from Southern European peatlands</t>
    <phoneticPr fontId="1" type="noConversion"/>
  </si>
  <si>
    <t>Nykanen et al. 1995. Emissions of CH4, N2O and CO2 from a Virgin Fen and a Fen Drained for Grassland inFinland</t>
    <phoneticPr fontId="1" type="noConversion"/>
  </si>
  <si>
    <t>Beetz et al. 2013. Effects of land use intensity on the full greenhouse gas balance in an Atlantic peat bog</t>
    <phoneticPr fontId="1" type="noConversion"/>
  </si>
  <si>
    <t>Laine et al. 1996. Effect of Water-Level Drawdown on Global Climatic Warming: Northern Peatlands</t>
    <phoneticPr fontId="1" type="noConversion"/>
  </si>
  <si>
    <t>Pandel et al. 2018. Annual emissions of CO2, CH4 and N2O from a temperate peat bog: Comparison of an undrained and four drained sites under permanent grass and arable crop rotations with cereals and potato</t>
    <phoneticPr fontId="1" type="noConversion"/>
  </si>
  <si>
    <t>Melling et al. 2007. Nitrous oxide emissions from three ecosystems in tropical peatland of Sarawak, Malaysia</t>
    <phoneticPr fontId="1" type="noConversion"/>
  </si>
  <si>
    <t>Takakai et al. 2006. Effects of agricultural land-use change and forest fire on N2O emission from tropical peatlands, Central Kalimantan, Indonesia</t>
    <phoneticPr fontId="1" type="noConversion"/>
  </si>
  <si>
    <t>Purposes</t>
  </si>
  <si>
    <t>Climate</t>
  </si>
  <si>
    <t>Wetland type</t>
  </si>
  <si>
    <t>Nutrirnt type</t>
  </si>
  <si>
    <t>Permanently/seasonally flooded</t>
  </si>
  <si>
    <t>Function group</t>
  </si>
  <si>
    <t>Drainage</t>
  </si>
  <si>
    <t>Temperate</t>
  </si>
  <si>
    <t>Peatland (bog)</t>
  </si>
  <si>
    <t>Peat moss</t>
  </si>
  <si>
    <t>Cyperaceae</t>
  </si>
  <si>
    <t>Graminoid</t>
  </si>
  <si>
    <t>Shrub</t>
  </si>
  <si>
    <t>Forest</t>
  </si>
  <si>
    <t>Peatland (fen)</t>
  </si>
  <si>
    <t>Marsh</t>
  </si>
  <si>
    <t>Boreal</t>
  </si>
  <si>
    <t>Treatment)</t>
  </si>
  <si>
    <t>Pristine</t>
  </si>
  <si>
    <t>Forestry</t>
  </si>
  <si>
    <t>Swamp</t>
    <phoneticPr fontId="1" type="noConversion"/>
  </si>
  <si>
    <t>Forestry</t>
    <phoneticPr fontId="1" type="noConversion"/>
  </si>
  <si>
    <t>SD</t>
  </si>
  <si>
    <t>Microtopography</t>
    <phoneticPr fontId="1" type="noConversion"/>
  </si>
  <si>
    <t>overall</t>
  </si>
  <si>
    <t>hummock</t>
  </si>
  <si>
    <t>mesotrophic</t>
    <phoneticPr fontId="1" type="noConversion"/>
  </si>
  <si>
    <t>kg ha-1 NGS-1</t>
  </si>
  <si>
    <t>Control</t>
  </si>
  <si>
    <r>
      <t>Annual soil N</t>
    </r>
    <r>
      <rPr>
        <b/>
        <vertAlign val="subscript"/>
        <sz val="12"/>
        <rFont val="Calibri"/>
        <family val="2"/>
      </rPr>
      <t>2</t>
    </r>
    <r>
      <rPr>
        <b/>
        <sz val="12"/>
        <rFont val="Calibri"/>
        <family val="2"/>
      </rPr>
      <t>O flux</t>
    </r>
  </si>
  <si>
    <r>
      <t>Non-growing season soil N</t>
    </r>
    <r>
      <rPr>
        <b/>
        <vertAlign val="subscript"/>
        <sz val="12"/>
        <rFont val="Calibri"/>
        <family val="2"/>
      </rPr>
      <t>2</t>
    </r>
    <r>
      <rPr>
        <b/>
        <sz val="12"/>
        <rFont val="Calibri"/>
        <family val="2"/>
      </rPr>
      <t>O flux</t>
    </r>
  </si>
  <si>
    <t xml:space="preserve">Treatment </t>
  </si>
  <si>
    <t>2°21′S</t>
  </si>
  <si>
    <t>114°02′</t>
  </si>
  <si>
    <t>2°49′</t>
  </si>
  <si>
    <t>111°51′</t>
  </si>
  <si>
    <r>
      <t>Wet season soil N</t>
    </r>
    <r>
      <rPr>
        <b/>
        <vertAlign val="subscript"/>
        <sz val="12"/>
        <rFont val="Calibri"/>
        <family val="2"/>
      </rPr>
      <t>2</t>
    </r>
    <r>
      <rPr>
        <b/>
        <sz val="12"/>
        <rFont val="Calibri"/>
        <family val="2"/>
      </rPr>
      <t>O flux</t>
    </r>
  </si>
  <si>
    <t>kg ha-1 wet season-1</t>
  </si>
  <si>
    <t>Treatment</t>
  </si>
  <si>
    <t xml:space="preserve">Control </t>
  </si>
  <si>
    <t>overall</t>
    <phoneticPr fontId="1" type="noConversion"/>
  </si>
  <si>
    <t>seasonally</t>
    <phoneticPr fontId="1" type="noConversion"/>
  </si>
  <si>
    <t>Forest</t>
    <phoneticPr fontId="1" type="noConversion"/>
  </si>
  <si>
    <t>Temperate</t>
    <phoneticPr fontId="1" type="noConversion"/>
  </si>
  <si>
    <t>minerotrophic</t>
    <phoneticPr fontId="1" type="noConversion"/>
  </si>
  <si>
    <t>Carex rostrata</t>
    <phoneticPr fontId="1" type="noConversion"/>
  </si>
  <si>
    <t>Cyperaceae</t>
    <phoneticPr fontId="1" type="noConversion"/>
  </si>
  <si>
    <t>/</t>
  </si>
  <si>
    <t>Boreal</t>
    <phoneticPr fontId="1" type="noConversion"/>
  </si>
  <si>
    <t>Betula sp., Frangula alnus, Salix sp., Quercus robur and Pinus sylvestris</t>
  </si>
  <si>
    <t>Danevcic et al. 2010</t>
  </si>
  <si>
    <t>Sphagnum mosses, Eriophorum vaginatum,</t>
  </si>
  <si>
    <t>Moss</t>
  </si>
  <si>
    <r>
      <rPr>
        <i/>
        <sz val="12"/>
        <color theme="1"/>
        <rFont val="Calibri"/>
        <family val="2"/>
      </rPr>
      <t>Pinus sylvestris</t>
    </r>
    <r>
      <rPr>
        <sz val="12"/>
        <color theme="1"/>
        <rFont val="Calibri"/>
        <family val="2"/>
      </rPr>
      <t xml:space="preserve"> L.</t>
    </r>
  </si>
  <si>
    <t>Dwarf-shrub</t>
  </si>
  <si>
    <t>Sphagnum mosses</t>
  </si>
  <si>
    <t>Sedge</t>
  </si>
  <si>
    <t>Mosses</t>
  </si>
  <si>
    <r>
      <t>Growing season soil N</t>
    </r>
    <r>
      <rPr>
        <b/>
        <vertAlign val="subscript"/>
        <sz val="12"/>
        <rFont val="Calibri"/>
        <family val="2"/>
      </rPr>
      <t>2</t>
    </r>
    <r>
      <rPr>
        <b/>
        <sz val="12"/>
        <rFont val="Calibri"/>
        <family val="2"/>
      </rPr>
      <t>O flux</t>
    </r>
  </si>
  <si>
    <t>kg ha-1 GS-1</t>
  </si>
  <si>
    <t xml:space="preserve">Ratio of growing season to annual </t>
  </si>
  <si>
    <t>Ratio of wet season to annual</t>
  </si>
  <si>
    <t>Mean ratio of GS or wet season CH4 to annual flux</t>
  </si>
  <si>
    <t>Number of data-points</t>
  </si>
  <si>
    <t>Drainage</t>
    <phoneticPr fontId="1" type="noConversion"/>
  </si>
  <si>
    <t>permanently</t>
  </si>
  <si>
    <t>Forbs</t>
  </si>
  <si>
    <t>minerotrophic</t>
  </si>
  <si>
    <t>seasonally</t>
  </si>
  <si>
    <t>hollow</t>
  </si>
  <si>
    <t>ombrotrophic</t>
  </si>
  <si>
    <t>ombrotrophic</t>
    <phoneticPr fontId="1" type="noConversion"/>
  </si>
  <si>
    <t>Peat moss</t>
    <phoneticPr fontId="1" type="noConversion"/>
  </si>
  <si>
    <t>hummock</t>
    <phoneticPr fontId="1" type="noConversion"/>
  </si>
  <si>
    <t>lawn</t>
    <phoneticPr fontId="1" type="noConversion"/>
  </si>
  <si>
    <t xml:space="preserve">Ratio of non-growing season to annual </t>
  </si>
  <si>
    <t>Kandel et al. 2018</t>
  </si>
  <si>
    <t>Kandel et al. 2018. Annual emissions of CO2, CH4 and N2O from a temperate peat bog: Comparison of an undrained and four drained sites under permanent grass and arable crop rotations with cereals and potato</t>
  </si>
  <si>
    <t>Fertilized wetland</t>
  </si>
  <si>
    <t>Lower 95% CI</t>
    <phoneticPr fontId="1" type="noConversion"/>
  </si>
  <si>
    <t>Upper 95% CI</t>
    <phoneticPr fontId="1" type="noConversion"/>
  </si>
  <si>
    <t>Grassland</t>
    <phoneticPr fontId="1" type="noConversion"/>
  </si>
  <si>
    <t>Cropland</t>
    <phoneticPr fontId="4" type="noConversion"/>
  </si>
  <si>
    <t>Cropland</t>
    <phoneticPr fontId="1" type="noConversion"/>
  </si>
  <si>
    <t>Climate drying</t>
    <phoneticPr fontId="1" type="noConversion"/>
  </si>
  <si>
    <t>Peat extraction</t>
    <phoneticPr fontId="1" type="noConversion"/>
  </si>
  <si>
    <t>Grassland</t>
    <phoneticPr fontId="4" type="noConversion"/>
  </si>
  <si>
    <t>Peat extraction</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</si>
</sst>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 "/>
    <numFmt numFmtId="177" formatCode="0.00_ "/>
    <numFmt numFmtId="178" formatCode="0_);[Red]\(0\)"/>
    <numFmt numFmtId="179" formatCode="0.000_ "/>
    <numFmt numFmtId="180" formatCode="0_ "/>
    <numFmt numFmtId="181" formatCode="0.00_);[Red]\(0.00\)"/>
    <numFmt numFmtId="182" formatCode="0.000"/>
  </numFmts>
  <fonts count="13" x14ac:knownFonts="1">
    <font>
      <sz val="11"/>
      <color theme="1"/>
      <name val="等线"/>
      <family val="2"/>
      <charset val="134"/>
      <scheme val="minor"/>
    </font>
    <font>
      <sz val="9"/>
      <name val="等线"/>
      <family val="2"/>
      <charset val="134"/>
      <scheme val="minor"/>
    </font>
    <font>
      <sz val="12"/>
      <color theme="1"/>
      <name val="Calibri"/>
      <family val="2"/>
    </font>
    <font>
      <sz val="12"/>
      <name val="Calibri"/>
      <family val="2"/>
    </font>
    <font>
      <sz val="9"/>
      <name val="等线"/>
      <family val="3"/>
      <charset val="134"/>
      <scheme val="minor"/>
    </font>
    <font>
      <b/>
      <sz val="9"/>
      <color indexed="81"/>
      <name val="Tahoma"/>
      <family val="2"/>
    </font>
    <font>
      <sz val="9"/>
      <color indexed="81"/>
      <name val="Tahoma"/>
      <family val="2"/>
    </font>
    <font>
      <i/>
      <sz val="12"/>
      <color theme="1"/>
      <name val="Calibri"/>
      <family val="2"/>
    </font>
    <font>
      <sz val="9"/>
      <name val="宋体"/>
      <family val="3"/>
      <charset val="134"/>
    </font>
    <font>
      <b/>
      <sz val="12"/>
      <name val="Calibri"/>
      <family val="2"/>
    </font>
    <font>
      <i/>
      <sz val="12"/>
      <name val="Calibri"/>
      <family val="2"/>
    </font>
    <font>
      <b/>
      <vertAlign val="subscript"/>
      <sz val="12"/>
      <name val="Calibri"/>
      <family val="2"/>
    </font>
    <font>
      <sz val="11"/>
      <color theme="1"/>
      <name val="Calibri"/>
      <family val="2"/>
    </font>
  </fonts>
  <fills count="3">
    <fill>
      <patternFill patternType="none"/>
    </fill>
    <fill>
      <patternFill patternType="gray125"/>
    </fill>
    <fill>
      <patternFill patternType="solid">
        <fgColor rgb="FFFFC000"/>
        <bgColor indexed="64"/>
      </patternFill>
    </fill>
  </fills>
  <borders count="1">
    <border>
      <left/>
      <right/>
      <top/>
      <bottom/>
      <diagonal/>
    </border>
  </borders>
  <cellStyleXfs count="1">
    <xf numFmtId="0" fontId="0" fillId="0" borderId="0">
      <alignment vertical="center"/>
    </xf>
  </cellStyleXfs>
  <cellXfs count="46">
    <xf numFmtId="0" fontId="0" fillId="0" borderId="0" xfId="0">
      <alignment vertical="center"/>
    </xf>
    <xf numFmtId="0" fontId="2" fillId="0" borderId="0" xfId="0" applyFont="1" applyAlignment="1">
      <alignment horizontal="left" vertical="center"/>
    </xf>
    <xf numFmtId="177" fontId="3" fillId="0" borderId="0" xfId="0" applyNumberFormat="1" applyFont="1" applyAlignment="1">
      <alignment horizontal="left" vertical="center" wrapText="1"/>
    </xf>
    <xf numFmtId="176" fontId="2" fillId="0" borderId="0" xfId="0" applyNumberFormat="1" applyFont="1" applyAlignment="1">
      <alignment horizontal="left" vertical="center"/>
    </xf>
    <xf numFmtId="178" fontId="2" fillId="0" borderId="0" xfId="0" applyNumberFormat="1" applyFont="1" applyAlignment="1">
      <alignment horizontal="left"/>
    </xf>
    <xf numFmtId="177" fontId="2" fillId="0" borderId="0" xfId="0" applyNumberFormat="1" applyFont="1" applyAlignment="1">
      <alignment horizontal="left"/>
    </xf>
    <xf numFmtId="179" fontId="2" fillId="0" borderId="0" xfId="0" applyNumberFormat="1" applyFont="1" applyAlignment="1">
      <alignment horizontal="left"/>
    </xf>
    <xf numFmtId="180" fontId="2" fillId="0" borderId="0" xfId="0" applyNumberFormat="1" applyFont="1" applyAlignment="1">
      <alignment horizontal="left"/>
    </xf>
    <xf numFmtId="176" fontId="2" fillId="0" borderId="0" xfId="0" applyNumberFormat="1" applyFont="1" applyAlignment="1">
      <alignment horizontal="left"/>
    </xf>
    <xf numFmtId="177" fontId="7" fillId="0" borderId="0" xfId="0" applyNumberFormat="1" applyFont="1" applyAlignment="1">
      <alignment horizontal="left"/>
    </xf>
    <xf numFmtId="49" fontId="2" fillId="0" borderId="0" xfId="0" applyNumberFormat="1" applyFont="1" applyAlignment="1">
      <alignment horizontal="left"/>
    </xf>
    <xf numFmtId="181" fontId="2" fillId="0" borderId="0" xfId="0" applyNumberFormat="1" applyFont="1" applyAlignment="1">
      <alignment horizontal="left"/>
    </xf>
    <xf numFmtId="177" fontId="3" fillId="0" borderId="0" xfId="0" applyNumberFormat="1" applyFont="1" applyAlignment="1">
      <alignment horizontal="left"/>
    </xf>
    <xf numFmtId="180" fontId="3" fillId="0" borderId="0" xfId="0" applyNumberFormat="1" applyFont="1" applyAlignment="1">
      <alignment horizontal="left"/>
    </xf>
    <xf numFmtId="0" fontId="2" fillId="0" borderId="0" xfId="0" applyFont="1" applyAlignment="1">
      <alignment horizontal="left"/>
    </xf>
    <xf numFmtId="178" fontId="3" fillId="0" borderId="0" xfId="0" applyNumberFormat="1" applyFont="1" applyAlignment="1">
      <alignment horizontal="left" vertical="center" wrapText="1"/>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179" fontId="3" fillId="0" borderId="0" xfId="0" applyNumberFormat="1" applyFont="1" applyAlignment="1">
      <alignment horizontal="left" vertical="center" wrapText="1"/>
    </xf>
    <xf numFmtId="180" fontId="3" fillId="0" borderId="0" xfId="0" applyNumberFormat="1" applyFont="1" applyAlignment="1">
      <alignment horizontal="left" vertical="center" wrapText="1"/>
    </xf>
    <xf numFmtId="177" fontId="7" fillId="0" borderId="0" xfId="0" applyNumberFormat="1" applyFont="1" applyAlignment="1">
      <alignment horizontal="left" vertical="center" wrapText="1"/>
    </xf>
    <xf numFmtId="177" fontId="2" fillId="0" borderId="0" xfId="0" applyNumberFormat="1" applyFont="1" applyAlignment="1">
      <alignment horizontal="left" vertical="center" wrapText="1"/>
    </xf>
    <xf numFmtId="49" fontId="3" fillId="0" borderId="0" xfId="0" applyNumberFormat="1" applyFont="1" applyAlignment="1">
      <alignment horizontal="left" vertical="center" wrapText="1"/>
    </xf>
    <xf numFmtId="177" fontId="9" fillId="2" borderId="0" xfId="0" applyNumberFormat="1" applyFont="1" applyFill="1" applyAlignment="1">
      <alignment horizontal="left" vertical="center" wrapText="1"/>
    </xf>
    <xf numFmtId="180" fontId="10" fillId="0" borderId="0" xfId="0" applyNumberFormat="1" applyFont="1" applyAlignment="1">
      <alignment horizontal="left" vertical="center" wrapText="1"/>
    </xf>
    <xf numFmtId="177" fontId="2" fillId="0" borderId="0" xfId="0" applyNumberFormat="1" applyFont="1" applyAlignment="1">
      <alignment horizontal="left" vertical="center"/>
    </xf>
    <xf numFmtId="180" fontId="2" fillId="0" borderId="0" xfId="0" applyNumberFormat="1" applyFont="1" applyAlignment="1">
      <alignment horizontal="left" vertical="center"/>
    </xf>
    <xf numFmtId="0" fontId="7" fillId="0" borderId="0" xfId="0" applyFont="1" applyAlignment="1">
      <alignment horizontal="left" vertical="center"/>
    </xf>
    <xf numFmtId="179" fontId="2" fillId="0" borderId="0" xfId="0" applyNumberFormat="1" applyFont="1" applyAlignment="1">
      <alignment horizontal="left" vertical="center"/>
    </xf>
    <xf numFmtId="0" fontId="12" fillId="0" borderId="0" xfId="0" applyFont="1" applyAlignment="1">
      <alignment horizontal="left" vertical="center"/>
    </xf>
    <xf numFmtId="177" fontId="12" fillId="0" borderId="0" xfId="0" applyNumberFormat="1" applyFont="1" applyAlignment="1">
      <alignment horizontal="left" vertical="center"/>
    </xf>
    <xf numFmtId="180" fontId="12" fillId="0" borderId="0" xfId="0" applyNumberFormat="1" applyFont="1" applyAlignment="1">
      <alignment horizontal="left" vertical="center"/>
    </xf>
    <xf numFmtId="0" fontId="2" fillId="0" borderId="0" xfId="0" applyFont="1">
      <alignment vertical="center"/>
    </xf>
    <xf numFmtId="0" fontId="12" fillId="0" borderId="0" xfId="0" applyFont="1">
      <alignment vertical="center"/>
    </xf>
    <xf numFmtId="2" fontId="2" fillId="0" borderId="0" xfId="0" applyNumberFormat="1" applyFont="1" applyAlignment="1">
      <alignment horizontal="left" vertical="center"/>
    </xf>
    <xf numFmtId="2" fontId="3" fillId="0" borderId="0" xfId="0" applyNumberFormat="1" applyFont="1" applyAlignment="1">
      <alignment horizontal="left" vertical="center" wrapText="1"/>
    </xf>
    <xf numFmtId="2" fontId="3" fillId="0" borderId="0" xfId="0" applyNumberFormat="1" applyFont="1" applyAlignment="1">
      <alignment horizontal="left"/>
    </xf>
    <xf numFmtId="2" fontId="2" fillId="0" borderId="0" xfId="0" applyNumberFormat="1" applyFont="1" applyAlignment="1">
      <alignment horizontal="left"/>
    </xf>
    <xf numFmtId="1" fontId="10" fillId="0" borderId="0" xfId="0" applyNumberFormat="1" applyFont="1" applyAlignment="1">
      <alignment horizontal="left" vertical="center" wrapText="1"/>
    </xf>
    <xf numFmtId="1" fontId="3" fillId="0" borderId="0" xfId="0" applyNumberFormat="1" applyFont="1" applyAlignment="1">
      <alignment horizontal="left"/>
    </xf>
    <xf numFmtId="1" fontId="2" fillId="0" borderId="0" xfId="0" applyNumberFormat="1" applyFont="1" applyAlignment="1">
      <alignment horizontal="left"/>
    </xf>
    <xf numFmtId="1" fontId="2" fillId="0" borderId="0" xfId="0" applyNumberFormat="1" applyFont="1" applyAlignment="1">
      <alignment horizontal="left" vertical="center"/>
    </xf>
    <xf numFmtId="177" fontId="3" fillId="0" borderId="0" xfId="0" applyNumberFormat="1" applyFont="1" applyAlignment="1">
      <alignment horizontal="left" vertical="center"/>
    </xf>
    <xf numFmtId="182" fontId="3" fillId="0" borderId="0" xfId="0" applyNumberFormat="1" applyFont="1" applyAlignment="1">
      <alignment horizontal="left" vertical="center" wrapText="1"/>
    </xf>
    <xf numFmtId="182" fontId="2" fillId="0" borderId="0" xfId="0" applyNumberFormat="1" applyFont="1" applyAlignment="1">
      <alignment horizontal="left" vertical="center"/>
    </xf>
    <xf numFmtId="182" fontId="2" fillId="0" borderId="0" xfId="0" applyNumberFormat="1"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Garmisch\Wetland%20Drainage\Measured%20annual%20N2O%20flux%20and%20ratio%20of%20GS%20to%20annual%20flu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ngrowing season flux of other"/>
      <sheetName val="Wet season flux for tropical"/>
      <sheetName val="Classes"/>
      <sheetName val="classess-1"/>
    </sheetNames>
    <sheetDataSet>
      <sheetData sheetId="0" refreshError="1">
        <row r="3">
          <cell r="BE3">
            <v>-5.2053240696313088</v>
          </cell>
          <cell r="BH3">
            <v>0.53483925550793066</v>
          </cell>
        </row>
        <row r="4">
          <cell r="BH4">
            <v>-0.51571310673089743</v>
          </cell>
        </row>
        <row r="5">
          <cell r="BH5">
            <v>0.43574455993639627</v>
          </cell>
        </row>
        <row r="14">
          <cell r="BE14">
            <v>2.1699905033238371</v>
          </cell>
          <cell r="BH14">
            <v>0.90843552582683051</v>
          </cell>
        </row>
        <row r="15">
          <cell r="BE15">
            <v>3.666666666666671</v>
          </cell>
          <cell r="BH15">
            <v>-0.11493212669683324</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59A37-143A-43B9-9A72-E9B1D5627068}">
  <dimension ref="A1:BR66"/>
  <sheetViews>
    <sheetView workbookViewId="0">
      <pane xSplit="14" ySplit="1" topLeftCell="O2" activePane="bottomRight" state="frozen"/>
      <selection pane="topRight" activeCell="O1" sqref="O1"/>
      <selection pane="bottomLeft" activeCell="A2" sqref="A2"/>
      <selection pane="bottomRight" activeCell="D70" sqref="D70"/>
    </sheetView>
  </sheetViews>
  <sheetFormatPr defaultColWidth="5.33203125" defaultRowHeight="15.6" x14ac:dyDescent="0.25"/>
  <cols>
    <col min="1" max="1" width="5.109375" style="1" customWidth="1"/>
    <col min="2" max="2" width="17.5546875" style="1" customWidth="1"/>
    <col min="3" max="3" width="12" style="1" customWidth="1"/>
    <col min="4" max="4" width="16" style="1" customWidth="1"/>
    <col min="5" max="5" width="11.6640625" style="1" bestFit="1" customWidth="1"/>
    <col min="6" max="6" width="14.44140625" style="1" customWidth="1"/>
    <col min="7" max="7" width="13.6640625" style="1" customWidth="1"/>
    <col min="8" max="8" width="10.6640625" style="1" bestFit="1" customWidth="1"/>
    <col min="9" max="9" width="12.5546875" style="1" bestFit="1" customWidth="1"/>
    <col min="10" max="10" width="13.5546875" style="1" customWidth="1"/>
    <col min="11" max="11" width="9.88671875" style="1" customWidth="1"/>
    <col min="12" max="12" width="12.6640625" style="3" customWidth="1"/>
    <col min="13" max="13" width="12.6640625" style="3" bestFit="1" customWidth="1"/>
    <col min="14" max="14" width="11.33203125" style="3" bestFit="1" customWidth="1"/>
    <col min="15" max="15" width="10.6640625" style="1" bestFit="1" customWidth="1"/>
    <col min="16" max="16" width="9.109375" style="28" customWidth="1"/>
    <col min="17" max="17" width="10.88671875" style="1" bestFit="1" customWidth="1"/>
    <col min="18" max="18" width="9.33203125" style="3" customWidth="1"/>
    <col min="19" max="19" width="8.33203125" style="3" bestFit="1" customWidth="1"/>
    <col min="20" max="20" width="11.44140625" style="3" bestFit="1" customWidth="1"/>
    <col min="21" max="21" width="11.6640625" style="1" bestFit="1" customWidth="1"/>
    <col min="22" max="22" width="9.6640625" style="1" bestFit="1" customWidth="1"/>
    <col min="23" max="23" width="10.109375" style="1" customWidth="1"/>
    <col min="24" max="24" width="15.5546875" style="1" bestFit="1" customWidth="1"/>
    <col min="25" max="25" width="15.33203125" style="1" bestFit="1" customWidth="1"/>
    <col min="26" max="26" width="10.6640625" style="1" bestFit="1" customWidth="1"/>
    <col min="27" max="27" width="12.5546875" style="1" bestFit="1" customWidth="1"/>
    <col min="28" max="28" width="16.88671875" style="1" customWidth="1"/>
    <col min="29" max="29" width="9.88671875" style="1" customWidth="1"/>
    <col min="30" max="30" width="24.88671875" style="1" bestFit="1" customWidth="1"/>
    <col min="31" max="31" width="12" style="1" customWidth="1"/>
    <col min="32" max="32" width="5.33203125" style="1"/>
    <col min="33" max="33" width="15.6640625" style="1" customWidth="1"/>
    <col min="34" max="34" width="14.5546875" style="1" customWidth="1"/>
    <col min="35" max="35" width="13.6640625" style="1" customWidth="1"/>
    <col min="36" max="36" width="9.44140625" style="34" bestFit="1" customWidth="1"/>
    <col min="37" max="37" width="7.109375" style="25" bestFit="1" customWidth="1"/>
    <col min="38" max="38" width="5.33203125" style="1"/>
    <col min="39" max="39" width="11.88671875" style="34" customWidth="1"/>
    <col min="40" max="40" width="8.33203125" style="25" bestFit="1" customWidth="1"/>
    <col min="41" max="41" width="5.33203125" style="1"/>
    <col min="42" max="42" width="14.109375" style="1" customWidth="1"/>
    <col min="43" max="43" width="10.44140625" style="34" customWidth="1"/>
    <col min="44" max="44" width="6.88671875" style="25" customWidth="1"/>
    <col min="45" max="45" width="5.33203125" style="1"/>
    <col min="46" max="46" width="10.44140625" style="25" customWidth="1"/>
    <col min="47" max="47" width="6.109375" style="25" bestFit="1" customWidth="1"/>
    <col min="48" max="48" width="5.5546875" style="41" bestFit="1" customWidth="1"/>
    <col min="49" max="49" width="16.44140625" style="25" customWidth="1"/>
    <col min="50" max="51" width="9.6640625" style="25" customWidth="1"/>
    <col min="52" max="52" width="6.5546875" style="26" customWidth="1"/>
    <col min="53" max="53" width="11.6640625" style="25" customWidth="1"/>
    <col min="54" max="54" width="9.6640625" style="25" customWidth="1"/>
    <col min="55" max="55" width="6.44140625" style="1" customWidth="1"/>
    <col min="56" max="56" width="15" style="1" customWidth="1"/>
    <col min="57" max="57" width="14" style="44" customWidth="1"/>
    <col min="58" max="58" width="9.6640625" style="44" customWidth="1"/>
    <col min="59" max="59" width="9.6640625" style="1" customWidth="1"/>
    <col min="60" max="60" width="14.44140625" style="44" customWidth="1"/>
    <col min="61" max="61" width="9.6640625" style="44" customWidth="1"/>
    <col min="62" max="62" width="9.6640625" style="1" customWidth="1"/>
    <col min="63" max="63" width="13" style="1" customWidth="1"/>
    <col min="64" max="69" width="9.6640625" style="1" customWidth="1"/>
    <col min="70" max="70" width="13.109375" style="1" customWidth="1"/>
    <col min="71" max="16384" width="5.33203125" style="1"/>
  </cols>
  <sheetData>
    <row r="1" spans="1:70" s="21" customFormat="1" ht="103.2" customHeight="1" x14ac:dyDescent="0.25">
      <c r="A1" s="15" t="s">
        <v>81</v>
      </c>
      <c r="B1" s="16" t="s">
        <v>82</v>
      </c>
      <c r="C1" s="2" t="s">
        <v>184</v>
      </c>
      <c r="D1" s="2" t="s">
        <v>84</v>
      </c>
      <c r="E1" s="17" t="s">
        <v>0</v>
      </c>
      <c r="F1" s="2" t="s">
        <v>1</v>
      </c>
      <c r="G1" s="2" t="s">
        <v>3</v>
      </c>
      <c r="H1" s="2" t="s">
        <v>2</v>
      </c>
      <c r="I1" s="2" t="s">
        <v>96</v>
      </c>
      <c r="J1" s="20" t="s">
        <v>97</v>
      </c>
      <c r="K1" s="21" t="s">
        <v>98</v>
      </c>
      <c r="L1" s="17" t="s">
        <v>85</v>
      </c>
      <c r="M1" s="17" t="s">
        <v>86</v>
      </c>
      <c r="N1" s="17" t="s">
        <v>87</v>
      </c>
      <c r="O1" s="2" t="s">
        <v>88</v>
      </c>
      <c r="P1" s="18" t="s">
        <v>89</v>
      </c>
      <c r="Q1" s="18" t="s">
        <v>90</v>
      </c>
      <c r="R1" s="19" t="s">
        <v>91</v>
      </c>
      <c r="S1" s="17" t="s">
        <v>92</v>
      </c>
      <c r="T1" s="17" t="s">
        <v>93</v>
      </c>
      <c r="U1" s="17" t="s">
        <v>0</v>
      </c>
      <c r="V1" s="15" t="s">
        <v>94</v>
      </c>
      <c r="W1" s="15" t="s">
        <v>95</v>
      </c>
      <c r="X1" s="2" t="s">
        <v>1</v>
      </c>
      <c r="Y1" s="2" t="s">
        <v>3</v>
      </c>
      <c r="Z1" s="2" t="s">
        <v>2</v>
      </c>
      <c r="AA1" s="2" t="s">
        <v>96</v>
      </c>
      <c r="AB1" s="20" t="s">
        <v>97</v>
      </c>
      <c r="AC1" s="21" t="s">
        <v>98</v>
      </c>
      <c r="AD1" s="22" t="s">
        <v>99</v>
      </c>
      <c r="AE1" s="2" t="s">
        <v>100</v>
      </c>
      <c r="AF1" s="2" t="s">
        <v>101</v>
      </c>
      <c r="AG1" s="2" t="s">
        <v>102</v>
      </c>
      <c r="AH1" s="2" t="s">
        <v>103</v>
      </c>
      <c r="AI1" s="23" t="s">
        <v>196</v>
      </c>
      <c r="AJ1" s="35" t="s">
        <v>104</v>
      </c>
      <c r="AK1" s="2" t="s">
        <v>105</v>
      </c>
      <c r="AL1" s="24" t="s">
        <v>106</v>
      </c>
      <c r="AM1" s="35" t="s">
        <v>107</v>
      </c>
      <c r="AN1" s="2" t="s">
        <v>105</v>
      </c>
      <c r="AO1" s="24" t="s">
        <v>106</v>
      </c>
      <c r="AP1" s="23" t="s">
        <v>225</v>
      </c>
      <c r="AQ1" s="35" t="s">
        <v>104</v>
      </c>
      <c r="AR1" s="2" t="s">
        <v>105</v>
      </c>
      <c r="AS1" s="24" t="s">
        <v>106</v>
      </c>
      <c r="AT1" s="2" t="s">
        <v>107</v>
      </c>
      <c r="AU1" s="2" t="s">
        <v>105</v>
      </c>
      <c r="AV1" s="38" t="s">
        <v>106</v>
      </c>
      <c r="AW1" s="23" t="s">
        <v>197</v>
      </c>
      <c r="AX1" s="2" t="s">
        <v>195</v>
      </c>
      <c r="AY1" s="2" t="s">
        <v>105</v>
      </c>
      <c r="AZ1" s="24" t="s">
        <v>106</v>
      </c>
      <c r="BA1" s="2" t="s">
        <v>198</v>
      </c>
      <c r="BB1" s="2" t="s">
        <v>105</v>
      </c>
      <c r="BC1" s="24" t="s">
        <v>106</v>
      </c>
      <c r="BD1" s="23" t="s">
        <v>227</v>
      </c>
      <c r="BE1" s="43" t="s">
        <v>195</v>
      </c>
      <c r="BF1" s="43" t="s">
        <v>105</v>
      </c>
      <c r="BG1" s="24" t="s">
        <v>106</v>
      </c>
      <c r="BH1" s="43" t="s">
        <v>198</v>
      </c>
      <c r="BI1" s="43" t="s">
        <v>105</v>
      </c>
      <c r="BJ1" s="24" t="s">
        <v>106</v>
      </c>
      <c r="BK1" s="23" t="s">
        <v>242</v>
      </c>
      <c r="BL1" s="43" t="s">
        <v>195</v>
      </c>
      <c r="BM1" s="43" t="s">
        <v>105</v>
      </c>
      <c r="BN1" s="24" t="s">
        <v>106</v>
      </c>
      <c r="BO1" s="43" t="s">
        <v>198</v>
      </c>
      <c r="BP1" s="43" t="s">
        <v>105</v>
      </c>
      <c r="BQ1" s="24" t="s">
        <v>106</v>
      </c>
      <c r="BR1" s="21" t="s">
        <v>146</v>
      </c>
    </row>
    <row r="2" spans="1:70" s="5" customFormat="1" x14ac:dyDescent="0.3">
      <c r="A2" s="4">
        <v>1</v>
      </c>
      <c r="B2" s="5" t="s">
        <v>243</v>
      </c>
      <c r="C2" s="5" t="s">
        <v>4</v>
      </c>
      <c r="D2" s="5" t="s">
        <v>253</v>
      </c>
      <c r="E2" s="8" t="s">
        <v>16</v>
      </c>
      <c r="F2" s="5" t="s">
        <v>7</v>
      </c>
      <c r="G2" s="5" t="s">
        <v>5</v>
      </c>
      <c r="H2" s="5" t="s">
        <v>9</v>
      </c>
      <c r="I2" s="5" t="s">
        <v>10</v>
      </c>
      <c r="J2" s="9" t="s">
        <v>22</v>
      </c>
      <c r="K2" s="5" t="s">
        <v>18</v>
      </c>
      <c r="L2" s="8">
        <v>4</v>
      </c>
      <c r="M2" s="8">
        <v>0</v>
      </c>
      <c r="N2" s="8">
        <v>0</v>
      </c>
      <c r="O2" s="5" t="s">
        <v>15</v>
      </c>
      <c r="P2" s="6">
        <v>57.23</v>
      </c>
      <c r="Q2" s="6">
        <v>9.84</v>
      </c>
      <c r="R2" s="7" t="s">
        <v>5</v>
      </c>
      <c r="S2" s="8">
        <v>9.3000000000000007</v>
      </c>
      <c r="T2" s="8">
        <v>925</v>
      </c>
      <c r="U2" s="8" t="s">
        <v>16</v>
      </c>
      <c r="V2" s="4">
        <v>94</v>
      </c>
      <c r="W2" s="4" t="s">
        <v>5</v>
      </c>
      <c r="X2" s="5" t="s">
        <v>7</v>
      </c>
      <c r="Y2" s="5" t="s">
        <v>5</v>
      </c>
      <c r="Z2" s="5" t="s">
        <v>9</v>
      </c>
      <c r="AA2" s="5" t="s">
        <v>10</v>
      </c>
      <c r="AB2" s="9" t="s">
        <v>17</v>
      </c>
      <c r="AC2" s="5" t="s">
        <v>18</v>
      </c>
      <c r="AD2" s="10" t="s">
        <v>19</v>
      </c>
      <c r="AE2" s="11" t="s">
        <v>12</v>
      </c>
      <c r="AF2" s="11" t="s">
        <v>5</v>
      </c>
      <c r="AG2" s="11" t="s">
        <v>20</v>
      </c>
      <c r="AH2" s="5" t="s">
        <v>13</v>
      </c>
      <c r="AI2" s="12" t="s">
        <v>21</v>
      </c>
      <c r="AJ2" s="36">
        <v>0.3</v>
      </c>
      <c r="AK2" s="12">
        <f>0.7/2</f>
        <v>0.35</v>
      </c>
      <c r="AL2" s="13">
        <v>6</v>
      </c>
      <c r="AM2" s="36">
        <v>3</v>
      </c>
      <c r="AN2" s="12">
        <f>1.9/2</f>
        <v>0.95</v>
      </c>
      <c r="AO2" s="13">
        <v>6</v>
      </c>
      <c r="AP2" s="12" t="s">
        <v>226</v>
      </c>
      <c r="AQ2" s="34">
        <f>AJ2-AX2</f>
        <v>-1.56159722088939</v>
      </c>
      <c r="AR2" s="34">
        <f>SQRT(AK2^2+AY2^2)</f>
        <v>0.74423706597032691</v>
      </c>
      <c r="AS2" s="13">
        <v>6</v>
      </c>
      <c r="AT2" s="34">
        <f>AM2-BA2</f>
        <v>1.6580740220185151</v>
      </c>
      <c r="AU2" s="34">
        <f>SQRT(AN2^2+BB2^2)</f>
        <v>1.2029821624670631</v>
      </c>
      <c r="AV2" s="39">
        <v>6</v>
      </c>
      <c r="AW2" s="12" t="s">
        <v>194</v>
      </c>
      <c r="AX2" s="5">
        <v>1.8615972208893901</v>
      </c>
      <c r="AY2" s="12">
        <v>0.65680195672982034</v>
      </c>
      <c r="AZ2" s="13">
        <v>6</v>
      </c>
      <c r="BA2" s="12">
        <v>1.3419259779814849</v>
      </c>
      <c r="BB2" s="12">
        <v>0.7380149613753989</v>
      </c>
      <c r="BC2" s="7">
        <v>6</v>
      </c>
      <c r="BD2" s="7"/>
      <c r="BE2" s="44">
        <f>AQ2/AJ2</f>
        <v>-5.2053240696312999</v>
      </c>
      <c r="BF2" s="44">
        <f>SQRT((1/AJ2)^2*AR2^2+((-AQ2/AJ2^2)^2*AK2^2))</f>
        <v>6.5600433157655154</v>
      </c>
      <c r="BG2" s="26">
        <f>AZ2</f>
        <v>6</v>
      </c>
      <c r="BH2" s="44">
        <f>AT2/AM2</f>
        <v>0.55269134067283832</v>
      </c>
      <c r="BI2" s="44">
        <f>SQRT((1/AM2)^2*AU2^2+((-AT2/AM2^2)^2*AN2^2))</f>
        <v>0.43752469120907067</v>
      </c>
      <c r="BJ2" s="1">
        <f>BC2</f>
        <v>6</v>
      </c>
      <c r="BK2" s="1"/>
      <c r="BL2" s="1"/>
      <c r="BM2" s="1"/>
      <c r="BN2" s="1"/>
      <c r="BO2" s="1"/>
      <c r="BP2" s="1"/>
      <c r="BQ2" s="1"/>
      <c r="BR2" s="5" t="s">
        <v>244</v>
      </c>
    </row>
    <row r="3" spans="1:70" s="5" customFormat="1" x14ac:dyDescent="0.3">
      <c r="A3" s="4">
        <v>2</v>
      </c>
      <c r="B3" s="5" t="s">
        <v>14</v>
      </c>
      <c r="C3" s="5" t="s">
        <v>4</v>
      </c>
      <c r="D3" s="5" t="s">
        <v>249</v>
      </c>
      <c r="E3" s="8" t="s">
        <v>16</v>
      </c>
      <c r="F3" s="5" t="s">
        <v>7</v>
      </c>
      <c r="G3" s="5" t="s">
        <v>5</v>
      </c>
      <c r="H3" s="5" t="s">
        <v>9</v>
      </c>
      <c r="I3" s="5" t="s">
        <v>10</v>
      </c>
      <c r="J3" s="9" t="s">
        <v>22</v>
      </c>
      <c r="K3" s="5" t="s">
        <v>18</v>
      </c>
      <c r="L3" s="8">
        <v>4</v>
      </c>
      <c r="M3" s="8">
        <v>135</v>
      </c>
      <c r="N3" s="8">
        <v>0</v>
      </c>
      <c r="O3" s="5" t="s">
        <v>15</v>
      </c>
      <c r="P3" s="6">
        <v>57.23</v>
      </c>
      <c r="Q3" s="6">
        <v>9.84</v>
      </c>
      <c r="R3" s="7" t="s">
        <v>5</v>
      </c>
      <c r="S3" s="8">
        <v>9.3000000000000007</v>
      </c>
      <c r="T3" s="8">
        <v>925</v>
      </c>
      <c r="U3" s="8" t="s">
        <v>16</v>
      </c>
      <c r="V3" s="4">
        <v>94</v>
      </c>
      <c r="W3" s="4" t="s">
        <v>5</v>
      </c>
      <c r="X3" s="5" t="s">
        <v>7</v>
      </c>
      <c r="Y3" s="5" t="s">
        <v>5</v>
      </c>
      <c r="Z3" s="5" t="s">
        <v>9</v>
      </c>
      <c r="AA3" s="5" t="s">
        <v>10</v>
      </c>
      <c r="AB3" s="9" t="s">
        <v>22</v>
      </c>
      <c r="AC3" s="5" t="s">
        <v>18</v>
      </c>
      <c r="AD3" s="10" t="s">
        <v>19</v>
      </c>
      <c r="AE3" s="11" t="s">
        <v>12</v>
      </c>
      <c r="AF3" s="11" t="s">
        <v>5</v>
      </c>
      <c r="AG3" s="11" t="s">
        <v>20</v>
      </c>
      <c r="AH3" s="5" t="s">
        <v>13</v>
      </c>
      <c r="AI3" s="12" t="s">
        <v>21</v>
      </c>
      <c r="AJ3" s="36">
        <v>0.3</v>
      </c>
      <c r="AK3" s="12">
        <f t="shared" ref="AK3:AK5" si="0">0.7/2</f>
        <v>0.35</v>
      </c>
      <c r="AL3" s="13">
        <v>6</v>
      </c>
      <c r="AM3" s="36">
        <v>3.7</v>
      </c>
      <c r="AN3" s="12">
        <f>2.1/2</f>
        <v>1.05</v>
      </c>
      <c r="AO3" s="13">
        <v>6</v>
      </c>
      <c r="AP3" s="12" t="s">
        <v>226</v>
      </c>
      <c r="AQ3" s="34">
        <f t="shared" ref="AQ3:AQ6" si="1">AJ3-AX3</f>
        <v>-1.5615972208893927</v>
      </c>
      <c r="AR3" s="34">
        <f t="shared" ref="AR3:AR5" si="2">SQRT(AK3^2+AY3^2)</f>
        <v>0.74423706597032691</v>
      </c>
      <c r="AS3" s="13">
        <v>3</v>
      </c>
      <c r="AT3" s="34">
        <f t="shared" ref="AT3:AT61" si="3">AM3-BA3</f>
        <v>1.9789052453793434</v>
      </c>
      <c r="AU3" s="34">
        <f t="shared" ref="AU3:AU42" si="4">SQRT(AN3^2+BB3^2)</f>
        <v>1.5366530218727177</v>
      </c>
      <c r="AV3" s="40">
        <v>3</v>
      </c>
      <c r="AW3" s="12" t="s">
        <v>194</v>
      </c>
      <c r="AX3" s="5">
        <v>1.8615972208893927</v>
      </c>
      <c r="AY3" s="12">
        <v>0.65680195672982034</v>
      </c>
      <c r="AZ3" s="13">
        <v>6</v>
      </c>
      <c r="BA3" s="12">
        <v>1.7210947546206568</v>
      </c>
      <c r="BB3" s="12">
        <v>1.121963684630904</v>
      </c>
      <c r="BC3" s="7">
        <v>6</v>
      </c>
      <c r="BD3" s="7"/>
      <c r="BE3" s="44">
        <f t="shared" ref="BE3:BE7" si="5">AQ3/AJ3</f>
        <v>-5.2053240696313088</v>
      </c>
      <c r="BF3" s="44">
        <f t="shared" ref="BF3:BF4" si="6">SQRT((1/AJ3)^2*AR3^2+((-AQ3/AJ3^2)^2*AK3^2))</f>
        <v>6.5600433157655242</v>
      </c>
      <c r="BG3" s="26">
        <f t="shared" ref="BG3:BG5" si="7">AZ3</f>
        <v>6</v>
      </c>
      <c r="BH3" s="44">
        <f t="shared" ref="BH3:BH7" si="8">AT3/AM3</f>
        <v>0.53483925550793066</v>
      </c>
      <c r="BI3" s="44">
        <f t="shared" ref="BI3:BI5" si="9">SQRT((1/AM3)^2*AU3^2+((-AT3/AM3^2)^2*AN3^2))</f>
        <v>0.44217702796320618</v>
      </c>
      <c r="BJ3" s="1">
        <f t="shared" ref="BJ3:BJ5" si="10">BC3</f>
        <v>6</v>
      </c>
      <c r="BK3" s="1"/>
      <c r="BL3" s="1"/>
      <c r="BM3" s="1"/>
      <c r="BN3" s="1"/>
      <c r="BO3" s="1"/>
      <c r="BP3" s="1"/>
      <c r="BQ3" s="1"/>
      <c r="BR3" s="5" t="s">
        <v>164</v>
      </c>
    </row>
    <row r="4" spans="1:70" s="5" customFormat="1" x14ac:dyDescent="0.3">
      <c r="A4" s="4">
        <v>3</v>
      </c>
      <c r="B4" s="5" t="s">
        <v>14</v>
      </c>
      <c r="C4" s="5" t="s">
        <v>4</v>
      </c>
      <c r="D4" s="5" t="s">
        <v>249</v>
      </c>
      <c r="E4" s="8" t="s">
        <v>16</v>
      </c>
      <c r="F4" s="5" t="s">
        <v>7</v>
      </c>
      <c r="G4" s="5" t="s">
        <v>5</v>
      </c>
      <c r="H4" s="5" t="s">
        <v>9</v>
      </c>
      <c r="I4" s="5" t="s">
        <v>10</v>
      </c>
      <c r="J4" s="9" t="s">
        <v>22</v>
      </c>
      <c r="K4" s="5" t="s">
        <v>18</v>
      </c>
      <c r="L4" s="8">
        <v>4</v>
      </c>
      <c r="M4" s="8">
        <v>112</v>
      </c>
      <c r="N4" s="8">
        <v>25</v>
      </c>
      <c r="O4" s="5" t="s">
        <v>15</v>
      </c>
      <c r="P4" s="6">
        <v>57.23</v>
      </c>
      <c r="Q4" s="6">
        <v>9.84</v>
      </c>
      <c r="R4" s="7" t="s">
        <v>5</v>
      </c>
      <c r="S4" s="8">
        <v>9.3000000000000007</v>
      </c>
      <c r="T4" s="8">
        <v>925</v>
      </c>
      <c r="U4" s="8" t="s">
        <v>16</v>
      </c>
      <c r="V4" s="4">
        <v>94</v>
      </c>
      <c r="W4" s="4" t="s">
        <v>5</v>
      </c>
      <c r="X4" s="5" t="s">
        <v>7</v>
      </c>
      <c r="Y4" s="5" t="s">
        <v>5</v>
      </c>
      <c r="Z4" s="5" t="s">
        <v>9</v>
      </c>
      <c r="AA4" s="5" t="s">
        <v>10</v>
      </c>
      <c r="AB4" s="9" t="s">
        <v>22</v>
      </c>
      <c r="AC4" s="5" t="s">
        <v>18</v>
      </c>
      <c r="AD4" s="10" t="s">
        <v>19</v>
      </c>
      <c r="AE4" s="11" t="s">
        <v>12</v>
      </c>
      <c r="AF4" s="11" t="s">
        <v>5</v>
      </c>
      <c r="AG4" s="11" t="s">
        <v>20</v>
      </c>
      <c r="AH4" s="5" t="s">
        <v>13</v>
      </c>
      <c r="AI4" s="12" t="s">
        <v>21</v>
      </c>
      <c r="AJ4" s="36">
        <v>0.3</v>
      </c>
      <c r="AK4" s="12">
        <f t="shared" si="0"/>
        <v>0.35</v>
      </c>
      <c r="AL4" s="13">
        <v>6</v>
      </c>
      <c r="AM4" s="36">
        <v>1.5</v>
      </c>
      <c r="AN4" s="12">
        <f>1.2/2</f>
        <v>0.6</v>
      </c>
      <c r="AO4" s="13">
        <v>6</v>
      </c>
      <c r="AP4" s="12" t="s">
        <v>226</v>
      </c>
      <c r="AQ4" s="34">
        <f t="shared" si="1"/>
        <v>-1.5615972208893927</v>
      </c>
      <c r="AR4" s="34">
        <f t="shared" si="2"/>
        <v>0.74423706597032691</v>
      </c>
      <c r="AS4" s="13">
        <v>3</v>
      </c>
      <c r="AT4" s="34">
        <f t="shared" si="3"/>
        <v>-0.7735696600963462</v>
      </c>
      <c r="AU4" s="34">
        <f t="shared" si="4"/>
        <v>0.86400994089159222</v>
      </c>
      <c r="AV4" s="39">
        <v>3</v>
      </c>
      <c r="AW4" s="12" t="s">
        <v>194</v>
      </c>
      <c r="AX4" s="5">
        <v>1.8615972208893927</v>
      </c>
      <c r="AY4" s="12">
        <v>0.65680195672982034</v>
      </c>
      <c r="AZ4" s="13">
        <v>6</v>
      </c>
      <c r="BA4" s="12">
        <v>2.2735696600963462</v>
      </c>
      <c r="BB4" s="12">
        <v>0.62170184008051055</v>
      </c>
      <c r="BC4" s="7">
        <v>6</v>
      </c>
      <c r="BD4" s="7"/>
      <c r="BE4" s="44">
        <f t="shared" si="5"/>
        <v>-5.2053240696313088</v>
      </c>
      <c r="BF4" s="44">
        <f t="shared" si="6"/>
        <v>6.5600433157655242</v>
      </c>
      <c r="BG4" s="26">
        <f t="shared" si="7"/>
        <v>6</v>
      </c>
      <c r="BH4" s="44">
        <f t="shared" si="8"/>
        <v>-0.51571310673089743</v>
      </c>
      <c r="BI4" s="44">
        <f t="shared" si="9"/>
        <v>0.61183105184463205</v>
      </c>
      <c r="BJ4" s="1">
        <f t="shared" si="10"/>
        <v>6</v>
      </c>
      <c r="BK4" s="1"/>
      <c r="BL4" s="1"/>
      <c r="BM4" s="1"/>
      <c r="BN4" s="1"/>
      <c r="BO4" s="1"/>
      <c r="BP4" s="1"/>
      <c r="BQ4" s="1"/>
      <c r="BR4" s="5" t="s">
        <v>164</v>
      </c>
    </row>
    <row r="5" spans="1:70" s="5" customFormat="1" x14ac:dyDescent="0.3">
      <c r="A5" s="4">
        <v>4</v>
      </c>
      <c r="B5" s="5" t="s">
        <v>14</v>
      </c>
      <c r="C5" s="5" t="s">
        <v>4</v>
      </c>
      <c r="D5" s="5" t="s">
        <v>249</v>
      </c>
      <c r="E5" s="8" t="s">
        <v>16</v>
      </c>
      <c r="F5" s="5" t="s">
        <v>7</v>
      </c>
      <c r="G5" s="5" t="s">
        <v>5</v>
      </c>
      <c r="H5" s="5" t="s">
        <v>9</v>
      </c>
      <c r="I5" s="5" t="s">
        <v>10</v>
      </c>
      <c r="J5" s="9" t="s">
        <v>22</v>
      </c>
      <c r="K5" s="5" t="s">
        <v>18</v>
      </c>
      <c r="L5" s="8">
        <v>4</v>
      </c>
      <c r="M5" s="8">
        <v>126</v>
      </c>
      <c r="N5" s="8">
        <v>0</v>
      </c>
      <c r="O5" s="5" t="s">
        <v>15</v>
      </c>
      <c r="P5" s="6">
        <v>57.23</v>
      </c>
      <c r="Q5" s="6">
        <v>9.84</v>
      </c>
      <c r="R5" s="7" t="s">
        <v>5</v>
      </c>
      <c r="S5" s="8">
        <v>9.3000000000000007</v>
      </c>
      <c r="T5" s="8">
        <v>925</v>
      </c>
      <c r="U5" s="8" t="s">
        <v>16</v>
      </c>
      <c r="V5" s="4">
        <v>94</v>
      </c>
      <c r="W5" s="4" t="s">
        <v>5</v>
      </c>
      <c r="X5" s="5" t="s">
        <v>7</v>
      </c>
      <c r="Y5" s="5" t="s">
        <v>5</v>
      </c>
      <c r="Z5" s="5" t="s">
        <v>9</v>
      </c>
      <c r="AA5" s="5" t="s">
        <v>10</v>
      </c>
      <c r="AB5" s="9" t="s">
        <v>22</v>
      </c>
      <c r="AC5" s="5" t="s">
        <v>18</v>
      </c>
      <c r="AD5" s="10" t="s">
        <v>19</v>
      </c>
      <c r="AE5" s="11" t="s">
        <v>12</v>
      </c>
      <c r="AF5" s="11" t="s">
        <v>5</v>
      </c>
      <c r="AG5" s="11" t="s">
        <v>20</v>
      </c>
      <c r="AH5" s="5" t="s">
        <v>13</v>
      </c>
      <c r="AI5" s="12" t="s">
        <v>21</v>
      </c>
      <c r="AJ5" s="36">
        <v>0.3</v>
      </c>
      <c r="AK5" s="12">
        <f t="shared" si="0"/>
        <v>0.35</v>
      </c>
      <c r="AL5" s="13">
        <v>6</v>
      </c>
      <c r="AM5" s="36">
        <v>37.700000000000003</v>
      </c>
      <c r="AN5" s="12">
        <f>5.9/2</f>
        <v>2.95</v>
      </c>
      <c r="AO5" s="13">
        <v>4</v>
      </c>
      <c r="AP5" s="12" t="s">
        <v>226</v>
      </c>
      <c r="AQ5" s="34">
        <f t="shared" si="1"/>
        <v>-1.5615972208893927</v>
      </c>
      <c r="AR5" s="34">
        <f t="shared" si="2"/>
        <v>0.74423706597032691</v>
      </c>
      <c r="AS5" s="7">
        <v>3</v>
      </c>
      <c r="AT5" s="34">
        <f t="shared" si="3"/>
        <v>16.427569909602141</v>
      </c>
      <c r="AU5" s="34">
        <f t="shared" si="4"/>
        <v>7.0779556972654012</v>
      </c>
      <c r="AV5" s="40">
        <v>3</v>
      </c>
      <c r="AW5" s="12" t="s">
        <v>194</v>
      </c>
      <c r="AX5" s="5">
        <v>1.8615972208893927</v>
      </c>
      <c r="AY5" s="12">
        <v>0.65680195672982034</v>
      </c>
      <c r="AZ5" s="13">
        <v>6</v>
      </c>
      <c r="BA5" s="12">
        <v>21.272430090397862</v>
      </c>
      <c r="BB5" s="12">
        <v>6.4338912683112506</v>
      </c>
      <c r="BC5" s="7">
        <v>6</v>
      </c>
      <c r="BD5" s="7"/>
      <c r="BE5" s="44">
        <f t="shared" si="5"/>
        <v>-5.2053240696313088</v>
      </c>
      <c r="BF5" s="44">
        <f>SQRT((1/AJ5)^2*AR5^2+((-AQ5/AJ5^2)^2*AK5^2))</f>
        <v>6.5600433157655242</v>
      </c>
      <c r="BG5" s="26">
        <f t="shared" si="7"/>
        <v>6</v>
      </c>
      <c r="BH5" s="44">
        <f t="shared" si="8"/>
        <v>0.43574455993639627</v>
      </c>
      <c r="BI5" s="44">
        <f t="shared" si="9"/>
        <v>0.19081526338801955</v>
      </c>
      <c r="BJ5" s="1">
        <f t="shared" si="10"/>
        <v>6</v>
      </c>
      <c r="BK5" s="1"/>
      <c r="BL5" s="1"/>
      <c r="BM5" s="1"/>
      <c r="BN5" s="1"/>
      <c r="BO5" s="1"/>
      <c r="BP5" s="1"/>
      <c r="BQ5" s="1"/>
      <c r="BR5" s="5" t="s">
        <v>164</v>
      </c>
    </row>
    <row r="6" spans="1:70" s="5" customFormat="1" x14ac:dyDescent="0.3">
      <c r="A6" s="4">
        <v>5</v>
      </c>
      <c r="B6" s="5" t="s">
        <v>28</v>
      </c>
      <c r="C6" s="5" t="s">
        <v>4</v>
      </c>
      <c r="D6" s="5" t="s">
        <v>23</v>
      </c>
      <c r="E6" s="8" t="s">
        <v>6</v>
      </c>
      <c r="F6" s="5" t="s">
        <v>25</v>
      </c>
      <c r="G6" s="5" t="s">
        <v>26</v>
      </c>
      <c r="H6" s="5" t="s">
        <v>9</v>
      </c>
      <c r="I6" s="5" t="s">
        <v>10</v>
      </c>
      <c r="J6" s="9" t="s">
        <v>212</v>
      </c>
      <c r="K6" s="5" t="s">
        <v>213</v>
      </c>
      <c r="L6" s="8" t="s">
        <v>5</v>
      </c>
      <c r="M6" s="8">
        <v>0</v>
      </c>
      <c r="N6" s="8">
        <v>0</v>
      </c>
      <c r="O6" s="5" t="s">
        <v>24</v>
      </c>
      <c r="P6" s="6">
        <v>61.8</v>
      </c>
      <c r="Q6" s="6">
        <v>24.317</v>
      </c>
      <c r="R6" s="7">
        <v>150</v>
      </c>
      <c r="S6" s="8">
        <v>3</v>
      </c>
      <c r="T6" s="8">
        <v>700</v>
      </c>
      <c r="U6" s="8" t="s">
        <v>6</v>
      </c>
      <c r="V6" s="4">
        <v>30</v>
      </c>
      <c r="W6" s="4" t="s">
        <v>5</v>
      </c>
      <c r="X6" s="5" t="s">
        <v>25</v>
      </c>
      <c r="Y6" s="5" t="s">
        <v>26</v>
      </c>
      <c r="Z6" s="5" t="s">
        <v>9</v>
      </c>
      <c r="AA6" s="5" t="s">
        <v>10</v>
      </c>
      <c r="AB6" s="9" t="s">
        <v>5</v>
      </c>
      <c r="AC6" s="5" t="s">
        <v>5</v>
      </c>
      <c r="AD6" s="10">
        <v>1991</v>
      </c>
      <c r="AE6" s="7" t="s">
        <v>12</v>
      </c>
      <c r="AF6" s="5" t="s">
        <v>5</v>
      </c>
      <c r="AG6" s="4" t="s">
        <v>29</v>
      </c>
      <c r="AH6" s="5" t="s">
        <v>13</v>
      </c>
      <c r="AI6" s="12" t="s">
        <v>21</v>
      </c>
      <c r="AJ6" s="36">
        <f>1.45*44/28*10^4/10^6</f>
        <v>2.2785714285714288E-2</v>
      </c>
      <c r="AK6" s="12" t="s">
        <v>5</v>
      </c>
      <c r="AL6" s="13">
        <v>3</v>
      </c>
      <c r="AM6" s="37">
        <f>134*44/28*10^4/10^6</f>
        <v>2.1057142857142859</v>
      </c>
      <c r="AN6" s="12" t="s">
        <v>5</v>
      </c>
      <c r="AO6" s="7">
        <v>3</v>
      </c>
      <c r="AP6" s="12" t="s">
        <v>226</v>
      </c>
      <c r="AQ6" s="34">
        <f t="shared" si="1"/>
        <v>1.8220280352089013E-2</v>
      </c>
      <c r="AR6" s="37" t="s">
        <v>5</v>
      </c>
      <c r="AS6" s="7">
        <v>3</v>
      </c>
      <c r="AT6" s="34">
        <f t="shared" si="3"/>
        <v>0.81590034196991779</v>
      </c>
      <c r="AU6" s="37" t="s">
        <v>5</v>
      </c>
      <c r="AV6" s="40">
        <v>3</v>
      </c>
      <c r="AW6" s="12" t="s">
        <v>194</v>
      </c>
      <c r="AX6" s="5">
        <v>4.5654339336252741E-3</v>
      </c>
      <c r="AY6" s="5">
        <v>3.8475256469583594E-2</v>
      </c>
      <c r="AZ6" s="7">
        <v>3</v>
      </c>
      <c r="BA6" s="5">
        <v>1.2898139437443681</v>
      </c>
      <c r="BB6" s="5">
        <v>0.52274239415786172</v>
      </c>
      <c r="BC6" s="7">
        <v>3</v>
      </c>
      <c r="BD6" s="7"/>
      <c r="BE6" s="44">
        <f>AQ6/AJ6</f>
        <v>0.79963612830484687</v>
      </c>
      <c r="BF6" s="44"/>
      <c r="BG6" s="26">
        <f>AZ6</f>
        <v>3</v>
      </c>
      <c r="BH6" s="44">
        <f t="shared" si="8"/>
        <v>0.38746963322859052</v>
      </c>
      <c r="BI6" s="44"/>
      <c r="BJ6" s="1">
        <f>BC6</f>
        <v>3</v>
      </c>
      <c r="BK6" s="1"/>
      <c r="BL6" s="1"/>
      <c r="BM6" s="1"/>
      <c r="BN6" s="1"/>
      <c r="BO6" s="1"/>
      <c r="BP6" s="1"/>
      <c r="BQ6" s="1"/>
      <c r="BR6" s="5" t="s">
        <v>163</v>
      </c>
    </row>
    <row r="7" spans="1:70" s="5" customFormat="1" x14ac:dyDescent="0.3">
      <c r="A7" s="4">
        <v>6</v>
      </c>
      <c r="B7" s="5" t="s">
        <v>28</v>
      </c>
      <c r="C7" s="5" t="s">
        <v>4</v>
      </c>
      <c r="D7" s="5" t="s">
        <v>23</v>
      </c>
      <c r="E7" s="8" t="s">
        <v>6</v>
      </c>
      <c r="F7" s="5" t="s">
        <v>25</v>
      </c>
      <c r="G7" s="5" t="s">
        <v>26</v>
      </c>
      <c r="H7" s="5" t="s">
        <v>9</v>
      </c>
      <c r="I7" s="5" t="s">
        <v>10</v>
      </c>
      <c r="J7" s="9" t="s">
        <v>212</v>
      </c>
      <c r="K7" s="5" t="s">
        <v>213</v>
      </c>
      <c r="L7" s="8" t="s">
        <v>5</v>
      </c>
      <c r="M7" s="8">
        <v>0</v>
      </c>
      <c r="N7" s="8">
        <v>0</v>
      </c>
      <c r="O7" s="5" t="s">
        <v>24</v>
      </c>
      <c r="P7" s="6">
        <v>61.8</v>
      </c>
      <c r="Q7" s="6">
        <v>24.317</v>
      </c>
      <c r="R7" s="7">
        <v>150</v>
      </c>
      <c r="S7" s="8">
        <v>3</v>
      </c>
      <c r="T7" s="8">
        <v>700</v>
      </c>
      <c r="U7" s="8" t="s">
        <v>6</v>
      </c>
      <c r="V7" s="4">
        <v>31</v>
      </c>
      <c r="W7" s="4" t="s">
        <v>5</v>
      </c>
      <c r="X7" s="5" t="s">
        <v>25</v>
      </c>
      <c r="Y7" s="5" t="s">
        <v>26</v>
      </c>
      <c r="Z7" s="5" t="s">
        <v>9</v>
      </c>
      <c r="AA7" s="5" t="s">
        <v>10</v>
      </c>
      <c r="AB7" s="9" t="s">
        <v>5</v>
      </c>
      <c r="AC7" s="5" t="s">
        <v>5</v>
      </c>
      <c r="AD7" s="10">
        <v>1992</v>
      </c>
      <c r="AE7" s="7" t="s">
        <v>12</v>
      </c>
      <c r="AF7" s="5" t="s">
        <v>5</v>
      </c>
      <c r="AG7" s="4" t="s">
        <v>29</v>
      </c>
      <c r="AH7" s="5" t="s">
        <v>13</v>
      </c>
      <c r="AI7" s="12" t="s">
        <v>21</v>
      </c>
      <c r="AJ7" s="36">
        <f>5.85*44/28*10^4/10^6</f>
        <v>9.1928571428571401E-2</v>
      </c>
      <c r="AK7" s="12" t="s">
        <v>5</v>
      </c>
      <c r="AL7" s="13">
        <v>3</v>
      </c>
      <c r="AM7" s="36">
        <f>55.4*44/28*10^4/10^6</f>
        <v>0.87057142857142855</v>
      </c>
      <c r="AN7" s="12" t="s">
        <v>5</v>
      </c>
      <c r="AO7" s="13">
        <v>3</v>
      </c>
      <c r="AP7" s="12" t="s">
        <v>226</v>
      </c>
      <c r="AQ7" s="34">
        <f t="shared" ref="AQ7:AQ65" si="11">AJ7-AX7</f>
        <v>6.0842116735068105E-2</v>
      </c>
      <c r="AR7" s="37" t="s">
        <v>5</v>
      </c>
      <c r="AS7" s="7">
        <v>3</v>
      </c>
      <c r="AT7" s="34">
        <f t="shared" si="3"/>
        <v>0.49157400576876631</v>
      </c>
      <c r="AU7" s="37" t="s">
        <v>5</v>
      </c>
      <c r="AV7" s="40">
        <v>3</v>
      </c>
      <c r="AW7" s="12" t="s">
        <v>194</v>
      </c>
      <c r="AX7" s="5">
        <v>3.1086454693503299E-2</v>
      </c>
      <c r="AY7" s="5">
        <v>2.4653343241577389E-3</v>
      </c>
      <c r="AZ7" s="7">
        <v>3</v>
      </c>
      <c r="BA7" s="5">
        <v>0.37899742280266224</v>
      </c>
      <c r="BB7" s="5">
        <v>0.33105206571062629</v>
      </c>
      <c r="BC7" s="7">
        <v>3</v>
      </c>
      <c r="BD7" s="7"/>
      <c r="BE7" s="44">
        <f t="shared" si="5"/>
        <v>0.66184120768527877</v>
      </c>
      <c r="BF7" s="44"/>
      <c r="BG7" s="26">
        <f t="shared" ref="BG7" si="12">AZ7</f>
        <v>3</v>
      </c>
      <c r="BH7" s="44">
        <f t="shared" si="8"/>
        <v>0.56465671814594098</v>
      </c>
      <c r="BI7" s="44"/>
      <c r="BJ7" s="1">
        <f t="shared" ref="BJ7" si="13">BC7</f>
        <v>3</v>
      </c>
      <c r="BK7" s="1"/>
      <c r="BL7" s="1"/>
      <c r="BM7" s="1"/>
      <c r="BN7" s="1"/>
      <c r="BO7" s="1"/>
      <c r="BP7" s="1"/>
      <c r="BQ7" s="1"/>
      <c r="BR7" s="5" t="s">
        <v>163</v>
      </c>
    </row>
    <row r="8" spans="1:70" s="5" customFormat="1" x14ac:dyDescent="0.3">
      <c r="A8" s="4">
        <v>7</v>
      </c>
      <c r="B8" s="5" t="s">
        <v>28</v>
      </c>
      <c r="C8" s="5" t="s">
        <v>4</v>
      </c>
      <c r="D8" s="5" t="s">
        <v>23</v>
      </c>
      <c r="E8" s="8" t="s">
        <v>6</v>
      </c>
      <c r="F8" s="5" t="s">
        <v>25</v>
      </c>
      <c r="G8" s="5" t="s">
        <v>26</v>
      </c>
      <c r="H8" s="5" t="s">
        <v>9</v>
      </c>
      <c r="I8" s="5" t="s">
        <v>10</v>
      </c>
      <c r="J8" s="9" t="s">
        <v>212</v>
      </c>
      <c r="K8" s="5" t="s">
        <v>213</v>
      </c>
      <c r="L8" s="8" t="s">
        <v>5</v>
      </c>
      <c r="M8" s="8">
        <v>0</v>
      </c>
      <c r="N8" s="8">
        <v>0</v>
      </c>
      <c r="O8" s="5" t="s">
        <v>24</v>
      </c>
      <c r="P8" s="6">
        <v>61.8</v>
      </c>
      <c r="Q8" s="6">
        <v>24.317</v>
      </c>
      <c r="R8" s="7">
        <v>150</v>
      </c>
      <c r="S8" s="8">
        <v>3</v>
      </c>
      <c r="T8" s="8">
        <v>700</v>
      </c>
      <c r="U8" s="8" t="s">
        <v>6</v>
      </c>
      <c r="V8" s="4">
        <v>30</v>
      </c>
      <c r="W8" s="4" t="s">
        <v>5</v>
      </c>
      <c r="X8" s="5" t="s">
        <v>25</v>
      </c>
      <c r="Y8" s="5" t="s">
        <v>26</v>
      </c>
      <c r="Z8" s="5" t="s">
        <v>9</v>
      </c>
      <c r="AA8" s="5" t="s">
        <v>10</v>
      </c>
      <c r="AB8" s="9" t="s">
        <v>5</v>
      </c>
      <c r="AC8" s="5" t="s">
        <v>5</v>
      </c>
      <c r="AD8" s="10">
        <v>1991</v>
      </c>
      <c r="AE8" s="7" t="s">
        <v>12</v>
      </c>
      <c r="AF8" s="5" t="s">
        <v>5</v>
      </c>
      <c r="AG8" s="4" t="s">
        <v>29</v>
      </c>
      <c r="AH8" s="5" t="s">
        <v>13</v>
      </c>
      <c r="AI8" s="12" t="s">
        <v>21</v>
      </c>
      <c r="AJ8" s="37">
        <f>3.4*44/28*10^4/10^6</f>
        <v>5.3428571428571429E-2</v>
      </c>
      <c r="AK8" s="12" t="s">
        <v>5</v>
      </c>
      <c r="AL8" s="7">
        <v>3</v>
      </c>
      <c r="AM8" s="37">
        <f>3.69*44/28*10^4/10^6</f>
        <v>5.7985714285714279E-2</v>
      </c>
      <c r="AN8" s="12" t="s">
        <v>5</v>
      </c>
      <c r="AO8" s="7">
        <v>3</v>
      </c>
      <c r="AP8" s="12" t="s">
        <v>226</v>
      </c>
      <c r="AQ8" s="37" t="s">
        <v>5</v>
      </c>
      <c r="AR8" s="37" t="s">
        <v>5</v>
      </c>
      <c r="AS8" s="13">
        <v>3</v>
      </c>
      <c r="AT8" s="37" t="s">
        <v>5</v>
      </c>
      <c r="AU8" s="37" t="s">
        <v>5</v>
      </c>
      <c r="AV8" s="39">
        <v>3</v>
      </c>
      <c r="AX8" s="5" t="s">
        <v>109</v>
      </c>
      <c r="AY8" s="5" t="s">
        <v>109</v>
      </c>
      <c r="AZ8" s="5" t="s">
        <v>109</v>
      </c>
      <c r="BA8" s="5" t="s">
        <v>109</v>
      </c>
      <c r="BB8" s="5" t="s">
        <v>109</v>
      </c>
      <c r="BC8" s="5" t="s">
        <v>109</v>
      </c>
      <c r="BE8" s="44"/>
      <c r="BF8" s="44"/>
      <c r="BG8" s="26"/>
      <c r="BH8" s="44"/>
      <c r="BI8" s="44"/>
      <c r="BJ8" s="1"/>
      <c r="BK8" s="1"/>
      <c r="BL8" s="1"/>
      <c r="BM8" s="1"/>
      <c r="BN8" s="1"/>
      <c r="BO8" s="1"/>
      <c r="BP8" s="1"/>
      <c r="BQ8" s="1"/>
      <c r="BR8" s="5" t="s">
        <v>163</v>
      </c>
    </row>
    <row r="9" spans="1:70" s="5" customFormat="1" x14ac:dyDescent="0.3">
      <c r="A9" s="4">
        <v>8</v>
      </c>
      <c r="B9" s="5" t="s">
        <v>28</v>
      </c>
      <c r="C9" s="5" t="s">
        <v>4</v>
      </c>
      <c r="D9" s="5" t="s">
        <v>23</v>
      </c>
      <c r="E9" s="8" t="s">
        <v>6</v>
      </c>
      <c r="F9" s="5" t="s">
        <v>25</v>
      </c>
      <c r="G9" s="5" t="s">
        <v>26</v>
      </c>
      <c r="H9" s="5" t="s">
        <v>9</v>
      </c>
      <c r="I9" s="5" t="s">
        <v>10</v>
      </c>
      <c r="J9" s="9" t="s">
        <v>212</v>
      </c>
      <c r="K9" s="5" t="s">
        <v>213</v>
      </c>
      <c r="L9" s="8" t="s">
        <v>5</v>
      </c>
      <c r="M9" s="8">
        <v>0</v>
      </c>
      <c r="N9" s="8">
        <v>0</v>
      </c>
      <c r="O9" s="5" t="s">
        <v>24</v>
      </c>
      <c r="P9" s="6">
        <v>61.8</v>
      </c>
      <c r="Q9" s="6">
        <v>24.317</v>
      </c>
      <c r="R9" s="7">
        <v>150</v>
      </c>
      <c r="S9" s="8">
        <v>3</v>
      </c>
      <c r="T9" s="8">
        <v>700</v>
      </c>
      <c r="U9" s="8" t="s">
        <v>6</v>
      </c>
      <c r="V9" s="4">
        <v>31</v>
      </c>
      <c r="W9" s="4" t="s">
        <v>5</v>
      </c>
      <c r="X9" s="5" t="s">
        <v>25</v>
      </c>
      <c r="Y9" s="5" t="s">
        <v>26</v>
      </c>
      <c r="Z9" s="5" t="s">
        <v>9</v>
      </c>
      <c r="AA9" s="5" t="s">
        <v>10</v>
      </c>
      <c r="AB9" s="9" t="s">
        <v>5</v>
      </c>
      <c r="AC9" s="5" t="s">
        <v>5</v>
      </c>
      <c r="AD9" s="10">
        <v>1992</v>
      </c>
      <c r="AE9" s="7" t="s">
        <v>12</v>
      </c>
      <c r="AF9" s="5" t="s">
        <v>5</v>
      </c>
      <c r="AG9" s="4" t="s">
        <v>29</v>
      </c>
      <c r="AH9" s="5" t="s">
        <v>13</v>
      </c>
      <c r="AI9" s="12" t="s">
        <v>21</v>
      </c>
      <c r="AJ9" s="37">
        <f>15.3*44/28*10^4/10^6</f>
        <v>0.24042857142857144</v>
      </c>
      <c r="AK9" s="12" t="s">
        <v>5</v>
      </c>
      <c r="AL9" s="7">
        <v>3</v>
      </c>
      <c r="AM9" s="37">
        <f>56.2*44/28*10^4/10^6</f>
        <v>0.88314285714285712</v>
      </c>
      <c r="AN9" s="12" t="s">
        <v>5</v>
      </c>
      <c r="AO9" s="7">
        <v>3</v>
      </c>
      <c r="AP9" s="12" t="s">
        <v>226</v>
      </c>
      <c r="AQ9" s="37" t="s">
        <v>5</v>
      </c>
      <c r="AR9" s="37" t="s">
        <v>5</v>
      </c>
      <c r="AS9" s="13">
        <v>3</v>
      </c>
      <c r="AT9" s="37" t="s">
        <v>5</v>
      </c>
      <c r="AU9" s="37" t="s">
        <v>5</v>
      </c>
      <c r="AV9" s="39">
        <v>3</v>
      </c>
      <c r="AX9" s="5" t="s">
        <v>109</v>
      </c>
      <c r="AY9" s="5" t="s">
        <v>109</v>
      </c>
      <c r="AZ9" s="5" t="s">
        <v>109</v>
      </c>
      <c r="BA9" s="5" t="s">
        <v>109</v>
      </c>
      <c r="BB9" s="5" t="s">
        <v>109</v>
      </c>
      <c r="BC9" s="5" t="s">
        <v>109</v>
      </c>
      <c r="BE9" s="44"/>
      <c r="BF9" s="44"/>
      <c r="BG9" s="26"/>
      <c r="BH9" s="44"/>
      <c r="BI9" s="44"/>
      <c r="BJ9" s="1"/>
      <c r="BK9" s="1"/>
      <c r="BL9" s="1"/>
      <c r="BM9" s="1"/>
      <c r="BN9" s="1"/>
      <c r="BO9" s="1"/>
      <c r="BP9" s="1"/>
      <c r="BQ9" s="1"/>
      <c r="BR9" s="5" t="s">
        <v>163</v>
      </c>
    </row>
    <row r="10" spans="1:70" s="5" customFormat="1" x14ac:dyDescent="0.3">
      <c r="A10" s="4">
        <v>9</v>
      </c>
      <c r="B10" s="5" t="s">
        <v>28</v>
      </c>
      <c r="C10" s="5" t="s">
        <v>4</v>
      </c>
      <c r="D10" s="5" t="s">
        <v>23</v>
      </c>
      <c r="E10" s="8" t="s">
        <v>6</v>
      </c>
      <c r="F10" s="5" t="s">
        <v>7</v>
      </c>
      <c r="G10" s="5" t="s">
        <v>8</v>
      </c>
      <c r="H10" s="5" t="s">
        <v>9</v>
      </c>
      <c r="I10" s="5" t="s">
        <v>10</v>
      </c>
      <c r="J10" s="9" t="s">
        <v>218</v>
      </c>
      <c r="K10" s="5" t="s">
        <v>11</v>
      </c>
      <c r="L10" s="8" t="s">
        <v>5</v>
      </c>
      <c r="M10" s="8">
        <v>0</v>
      </c>
      <c r="N10" s="8">
        <v>0</v>
      </c>
      <c r="O10" s="5" t="s">
        <v>24</v>
      </c>
      <c r="P10" s="6">
        <v>61.8</v>
      </c>
      <c r="Q10" s="6">
        <v>24.317</v>
      </c>
      <c r="R10" s="7">
        <v>150</v>
      </c>
      <c r="S10" s="8">
        <v>3</v>
      </c>
      <c r="T10" s="8">
        <v>700</v>
      </c>
      <c r="U10" s="8" t="s">
        <v>6</v>
      </c>
      <c r="V10" s="4">
        <v>30</v>
      </c>
      <c r="W10" s="4" t="s">
        <v>5</v>
      </c>
      <c r="X10" s="5" t="s">
        <v>7</v>
      </c>
      <c r="Y10" s="5" t="s">
        <v>8</v>
      </c>
      <c r="Z10" s="5" t="s">
        <v>9</v>
      </c>
      <c r="AA10" s="5" t="s">
        <v>10</v>
      </c>
      <c r="AB10" s="9" t="s">
        <v>5</v>
      </c>
      <c r="AC10" s="5" t="s">
        <v>5</v>
      </c>
      <c r="AD10" s="10">
        <v>1991</v>
      </c>
      <c r="AE10" s="7" t="s">
        <v>12</v>
      </c>
      <c r="AF10" s="5" t="s">
        <v>5</v>
      </c>
      <c r="AG10" s="4" t="s">
        <v>29</v>
      </c>
      <c r="AH10" s="5" t="s">
        <v>13</v>
      </c>
      <c r="AI10" s="12" t="s">
        <v>21</v>
      </c>
      <c r="AJ10" s="37">
        <f>1.22*44/28*10^4/10^6</f>
        <v>1.9171428571428568E-2</v>
      </c>
      <c r="AK10" s="12" t="s">
        <v>5</v>
      </c>
      <c r="AL10" s="7">
        <v>3</v>
      </c>
      <c r="AM10" s="37">
        <f>1.95*44/28*10^4/10^6</f>
        <v>3.0642857142857142E-2</v>
      </c>
      <c r="AN10" s="12" t="s">
        <v>5</v>
      </c>
      <c r="AO10" s="7">
        <v>3</v>
      </c>
      <c r="AP10" s="12" t="s">
        <v>226</v>
      </c>
      <c r="AQ10" s="37" t="s">
        <v>5</v>
      </c>
      <c r="AR10" s="37" t="s">
        <v>5</v>
      </c>
      <c r="AS10" s="7">
        <v>3</v>
      </c>
      <c r="AT10" s="37" t="s">
        <v>5</v>
      </c>
      <c r="AU10" s="37" t="s">
        <v>5</v>
      </c>
      <c r="AV10" s="40">
        <v>3</v>
      </c>
      <c r="AX10" s="5" t="s">
        <v>109</v>
      </c>
      <c r="AY10" s="5" t="s">
        <v>109</v>
      </c>
      <c r="AZ10" s="5" t="s">
        <v>109</v>
      </c>
      <c r="BA10" s="5" t="s">
        <v>109</v>
      </c>
      <c r="BB10" s="5" t="s">
        <v>109</v>
      </c>
      <c r="BC10" s="5" t="s">
        <v>109</v>
      </c>
      <c r="BE10" s="44"/>
      <c r="BF10" s="44"/>
      <c r="BG10" s="26"/>
      <c r="BH10" s="44"/>
      <c r="BI10" s="44"/>
      <c r="BJ10" s="1"/>
      <c r="BK10" s="1"/>
      <c r="BL10" s="1"/>
      <c r="BM10" s="1"/>
      <c r="BN10" s="1"/>
      <c r="BO10" s="1"/>
      <c r="BP10" s="1"/>
      <c r="BQ10" s="1"/>
      <c r="BR10" s="5" t="s">
        <v>163</v>
      </c>
    </row>
    <row r="11" spans="1:70" s="5" customFormat="1" x14ac:dyDescent="0.3">
      <c r="A11" s="4">
        <v>10</v>
      </c>
      <c r="B11" s="5" t="s">
        <v>28</v>
      </c>
      <c r="C11" s="5" t="s">
        <v>4</v>
      </c>
      <c r="D11" s="5" t="s">
        <v>23</v>
      </c>
      <c r="E11" s="8" t="s">
        <v>6</v>
      </c>
      <c r="F11" s="5" t="s">
        <v>7</v>
      </c>
      <c r="G11" s="5" t="s">
        <v>8</v>
      </c>
      <c r="H11" s="5" t="s">
        <v>9</v>
      </c>
      <c r="I11" s="5" t="s">
        <v>10</v>
      </c>
      <c r="J11" s="9" t="s">
        <v>218</v>
      </c>
      <c r="K11" s="5" t="s">
        <v>11</v>
      </c>
      <c r="L11" s="8" t="s">
        <v>5</v>
      </c>
      <c r="M11" s="8">
        <v>0</v>
      </c>
      <c r="N11" s="8">
        <v>0</v>
      </c>
      <c r="O11" s="5" t="s">
        <v>24</v>
      </c>
      <c r="P11" s="6">
        <v>61.8</v>
      </c>
      <c r="Q11" s="6">
        <v>24.317</v>
      </c>
      <c r="R11" s="7">
        <v>150</v>
      </c>
      <c r="S11" s="8">
        <v>3</v>
      </c>
      <c r="T11" s="8">
        <v>700</v>
      </c>
      <c r="U11" s="8" t="s">
        <v>6</v>
      </c>
      <c r="V11" s="4">
        <v>31</v>
      </c>
      <c r="W11" s="4" t="s">
        <v>5</v>
      </c>
      <c r="X11" s="5" t="s">
        <v>7</v>
      </c>
      <c r="Y11" s="5" t="s">
        <v>8</v>
      </c>
      <c r="Z11" s="5" t="s">
        <v>9</v>
      </c>
      <c r="AA11" s="5" t="s">
        <v>10</v>
      </c>
      <c r="AB11" s="9" t="s">
        <v>5</v>
      </c>
      <c r="AC11" s="5" t="s">
        <v>5</v>
      </c>
      <c r="AD11" s="10">
        <v>1992</v>
      </c>
      <c r="AE11" s="7" t="s">
        <v>12</v>
      </c>
      <c r="AF11" s="5" t="s">
        <v>5</v>
      </c>
      <c r="AG11" s="4" t="s">
        <v>29</v>
      </c>
      <c r="AH11" s="5" t="s">
        <v>13</v>
      </c>
      <c r="AI11" s="12" t="s">
        <v>21</v>
      </c>
      <c r="AJ11" s="36">
        <f>3.04*44/28*10^4/10^6</f>
        <v>4.7771428571428562E-2</v>
      </c>
      <c r="AK11" s="12" t="s">
        <v>5</v>
      </c>
      <c r="AL11" s="13">
        <v>3</v>
      </c>
      <c r="AM11" s="36">
        <f>13.8*44/28*10^4/10^6</f>
        <v>0.21685714285714286</v>
      </c>
      <c r="AN11" s="12" t="s">
        <v>5</v>
      </c>
      <c r="AO11" s="13">
        <v>3</v>
      </c>
      <c r="AP11" s="12" t="s">
        <v>226</v>
      </c>
      <c r="AQ11" s="37" t="s">
        <v>5</v>
      </c>
      <c r="AR11" s="37" t="s">
        <v>5</v>
      </c>
      <c r="AS11" s="7"/>
      <c r="AT11" s="37" t="s">
        <v>5</v>
      </c>
      <c r="AU11" s="37" t="s">
        <v>5</v>
      </c>
      <c r="AV11" s="40"/>
      <c r="AX11" s="5" t="s">
        <v>109</v>
      </c>
      <c r="AY11" s="5" t="s">
        <v>109</v>
      </c>
      <c r="AZ11" s="5" t="s">
        <v>109</v>
      </c>
      <c r="BA11" s="5" t="s">
        <v>109</v>
      </c>
      <c r="BB11" s="5" t="s">
        <v>109</v>
      </c>
      <c r="BC11" s="5" t="s">
        <v>109</v>
      </c>
      <c r="BE11" s="44"/>
      <c r="BF11" s="44"/>
      <c r="BG11" s="26"/>
      <c r="BH11" s="44"/>
      <c r="BI11" s="44"/>
      <c r="BJ11" s="1"/>
      <c r="BK11" s="1"/>
      <c r="BL11" s="1"/>
      <c r="BM11" s="1"/>
      <c r="BN11" s="1"/>
      <c r="BO11" s="1"/>
      <c r="BP11" s="1"/>
      <c r="BQ11" s="1"/>
      <c r="BR11" s="5" t="s">
        <v>163</v>
      </c>
    </row>
    <row r="12" spans="1:70" s="5" customFormat="1" x14ac:dyDescent="0.3">
      <c r="A12" s="4">
        <v>11</v>
      </c>
      <c r="B12" s="5" t="s">
        <v>28</v>
      </c>
      <c r="C12" s="5" t="s">
        <v>4</v>
      </c>
      <c r="D12" s="5" t="s">
        <v>23</v>
      </c>
      <c r="E12" s="8" t="s">
        <v>6</v>
      </c>
      <c r="F12" s="5" t="s">
        <v>7</v>
      </c>
      <c r="G12" s="5" t="s">
        <v>8</v>
      </c>
      <c r="H12" s="5" t="s">
        <v>27</v>
      </c>
      <c r="I12" s="5" t="s">
        <v>10</v>
      </c>
      <c r="J12" s="9" t="s">
        <v>218</v>
      </c>
      <c r="K12" s="5" t="s">
        <v>11</v>
      </c>
      <c r="L12" s="8" t="s">
        <v>5</v>
      </c>
      <c r="M12" s="8">
        <v>0</v>
      </c>
      <c r="N12" s="8">
        <v>0</v>
      </c>
      <c r="O12" s="5" t="s">
        <v>24</v>
      </c>
      <c r="P12" s="6">
        <v>61.8</v>
      </c>
      <c r="Q12" s="6">
        <v>24.317</v>
      </c>
      <c r="R12" s="7">
        <v>150</v>
      </c>
      <c r="S12" s="8">
        <v>3</v>
      </c>
      <c r="T12" s="8">
        <v>700</v>
      </c>
      <c r="U12" s="8" t="s">
        <v>6</v>
      </c>
      <c r="V12" s="4">
        <v>30</v>
      </c>
      <c r="W12" s="4" t="s">
        <v>5</v>
      </c>
      <c r="X12" s="5" t="s">
        <v>7</v>
      </c>
      <c r="Y12" s="5" t="s">
        <v>8</v>
      </c>
      <c r="Z12" s="5" t="s">
        <v>27</v>
      </c>
      <c r="AA12" s="5" t="s">
        <v>10</v>
      </c>
      <c r="AB12" s="9" t="s">
        <v>5</v>
      </c>
      <c r="AC12" s="5" t="s">
        <v>5</v>
      </c>
      <c r="AD12" s="10">
        <v>1991</v>
      </c>
      <c r="AE12" s="7" t="s">
        <v>12</v>
      </c>
      <c r="AF12" s="5" t="s">
        <v>5</v>
      </c>
      <c r="AG12" s="4" t="s">
        <v>29</v>
      </c>
      <c r="AH12" s="5" t="s">
        <v>13</v>
      </c>
      <c r="AI12" s="12" t="s">
        <v>21</v>
      </c>
      <c r="AJ12" s="36">
        <f>3.47*10^4*44/28/10^6</f>
        <v>5.4528571428571426E-2</v>
      </c>
      <c r="AK12" s="12" t="s">
        <v>5</v>
      </c>
      <c r="AL12" s="13">
        <v>3</v>
      </c>
      <c r="AM12" s="36">
        <f>2.28*44/28*10^4/10^6</f>
        <v>3.5828571428571425E-2</v>
      </c>
      <c r="AN12" s="12" t="s">
        <v>5</v>
      </c>
      <c r="AO12" s="13">
        <v>3</v>
      </c>
      <c r="AP12" s="12" t="s">
        <v>226</v>
      </c>
      <c r="AQ12" s="34">
        <f t="shared" si="11"/>
        <v>2.5368612348151746E-2</v>
      </c>
      <c r="AR12" s="37" t="s">
        <v>5</v>
      </c>
      <c r="AS12" s="7">
        <v>3</v>
      </c>
      <c r="AT12" s="34">
        <f t="shared" si="3"/>
        <v>3.8087177625191572E-2</v>
      </c>
      <c r="AU12" s="37" t="s">
        <v>5</v>
      </c>
      <c r="AV12" s="40">
        <v>3</v>
      </c>
      <c r="AW12" s="12" t="s">
        <v>194</v>
      </c>
      <c r="AX12" s="5">
        <v>2.9159959080419681E-2</v>
      </c>
      <c r="AY12" s="5">
        <v>4.4859285506806776E-2</v>
      </c>
      <c r="AZ12" s="7">
        <v>3</v>
      </c>
      <c r="BA12" s="12">
        <v>-2.2586061966201445E-3</v>
      </c>
      <c r="BB12" s="5">
        <v>2.9366166404267049E-2</v>
      </c>
      <c r="BC12" s="7">
        <v>3</v>
      </c>
      <c r="BD12" s="7"/>
      <c r="BE12" s="44">
        <f t="shared" ref="BE12:BE15" si="14">AQ12/AJ12</f>
        <v>0.46523522776280385</v>
      </c>
      <c r="BF12" s="44"/>
      <c r="BG12" s="26">
        <f>AZ12</f>
        <v>3</v>
      </c>
      <c r="BH12" s="44">
        <f t="shared" ref="BH12:BH15" si="15">AT12/AM12</f>
        <v>1.0630392479120456</v>
      </c>
      <c r="BI12" s="44"/>
      <c r="BJ12" s="1">
        <f>BC12</f>
        <v>3</v>
      </c>
      <c r="BK12" s="1"/>
      <c r="BL12" s="1"/>
      <c r="BM12" s="1"/>
      <c r="BN12" s="1"/>
      <c r="BO12" s="1"/>
      <c r="BP12" s="1"/>
      <c r="BQ12" s="1"/>
      <c r="BR12" s="5" t="s">
        <v>163</v>
      </c>
    </row>
    <row r="13" spans="1:70" s="5" customFormat="1" x14ac:dyDescent="0.3">
      <c r="A13" s="4">
        <v>12</v>
      </c>
      <c r="B13" s="5" t="s">
        <v>28</v>
      </c>
      <c r="C13" s="5" t="s">
        <v>4</v>
      </c>
      <c r="D13" s="5" t="s">
        <v>23</v>
      </c>
      <c r="E13" s="8" t="s">
        <v>6</v>
      </c>
      <c r="F13" s="5" t="s">
        <v>7</v>
      </c>
      <c r="G13" s="5" t="s">
        <v>8</v>
      </c>
      <c r="H13" s="5" t="s">
        <v>27</v>
      </c>
      <c r="I13" s="5" t="s">
        <v>10</v>
      </c>
      <c r="J13" s="9" t="s">
        <v>218</v>
      </c>
      <c r="K13" s="5" t="s">
        <v>11</v>
      </c>
      <c r="L13" s="8" t="s">
        <v>5</v>
      </c>
      <c r="M13" s="8">
        <v>0</v>
      </c>
      <c r="N13" s="8">
        <v>0</v>
      </c>
      <c r="O13" s="5" t="s">
        <v>24</v>
      </c>
      <c r="P13" s="6">
        <v>61.8</v>
      </c>
      <c r="Q13" s="6">
        <v>24.317</v>
      </c>
      <c r="R13" s="7">
        <v>150</v>
      </c>
      <c r="S13" s="8">
        <v>3</v>
      </c>
      <c r="T13" s="8">
        <v>700</v>
      </c>
      <c r="U13" s="8" t="s">
        <v>6</v>
      </c>
      <c r="V13" s="4">
        <v>31</v>
      </c>
      <c r="W13" s="4" t="s">
        <v>5</v>
      </c>
      <c r="X13" s="5" t="s">
        <v>7</v>
      </c>
      <c r="Y13" s="5" t="s">
        <v>8</v>
      </c>
      <c r="Z13" s="5" t="s">
        <v>27</v>
      </c>
      <c r="AA13" s="5" t="s">
        <v>10</v>
      </c>
      <c r="AB13" s="9" t="s">
        <v>5</v>
      </c>
      <c r="AC13" s="5" t="s">
        <v>5</v>
      </c>
      <c r="AD13" s="10">
        <v>1992</v>
      </c>
      <c r="AE13" s="7" t="s">
        <v>12</v>
      </c>
      <c r="AF13" s="5" t="s">
        <v>5</v>
      </c>
      <c r="AG13" s="4" t="s">
        <v>29</v>
      </c>
      <c r="AH13" s="5" t="s">
        <v>13</v>
      </c>
      <c r="AI13" s="12" t="s">
        <v>21</v>
      </c>
      <c r="AJ13" s="37">
        <f>5.39*44/28*10^4/10^6</f>
        <v>8.4699999999999998E-2</v>
      </c>
      <c r="AK13" s="12" t="s">
        <v>5</v>
      </c>
      <c r="AL13" s="7">
        <v>3</v>
      </c>
      <c r="AM13" s="37">
        <f>3.92*44/28*10^4/10^6</f>
        <v>6.1599999999999995E-2</v>
      </c>
      <c r="AN13" s="12" t="s">
        <v>5</v>
      </c>
      <c r="AO13" s="7">
        <v>3</v>
      </c>
      <c r="AP13" s="12" t="s">
        <v>226</v>
      </c>
      <c r="AQ13" s="34">
        <f t="shared" si="11"/>
        <v>-2.4884441836305754E-3</v>
      </c>
      <c r="AR13" s="37" t="s">
        <v>5</v>
      </c>
      <c r="AS13" s="7">
        <v>3</v>
      </c>
      <c r="AT13" s="34">
        <f t="shared" si="3"/>
        <v>3.2581594118999802E-2</v>
      </c>
      <c r="AU13" s="37" t="s">
        <v>5</v>
      </c>
      <c r="AV13" s="40">
        <v>3</v>
      </c>
      <c r="AW13" s="12" t="s">
        <v>194</v>
      </c>
      <c r="AX13" s="5">
        <v>8.7188444183630573E-2</v>
      </c>
      <c r="AY13" s="5">
        <v>1.9443859056988238E-2</v>
      </c>
      <c r="AZ13" s="7">
        <v>3</v>
      </c>
      <c r="BA13" s="5">
        <v>2.901840588100019E-2</v>
      </c>
      <c r="BB13" s="5">
        <v>3.9901838923598769E-2</v>
      </c>
      <c r="BC13" s="7">
        <v>3</v>
      </c>
      <c r="BD13" s="7"/>
      <c r="BE13" s="44">
        <f t="shared" si="14"/>
        <v>-2.937950630024292E-2</v>
      </c>
      <c r="BF13" s="44"/>
      <c r="BG13" s="26">
        <f t="shared" ref="BG13:BG15" si="16">AZ13</f>
        <v>3</v>
      </c>
      <c r="BH13" s="44">
        <f t="shared" si="15"/>
        <v>0.52892198245129551</v>
      </c>
      <c r="BI13" s="44"/>
      <c r="BJ13" s="1">
        <f t="shared" ref="BJ13" si="17">BC13</f>
        <v>3</v>
      </c>
      <c r="BK13" s="1"/>
      <c r="BL13" s="1"/>
      <c r="BM13" s="1"/>
      <c r="BN13" s="1"/>
      <c r="BO13" s="1"/>
      <c r="BP13" s="1"/>
      <c r="BQ13" s="1"/>
      <c r="BR13" s="5" t="s">
        <v>163</v>
      </c>
    </row>
    <row r="14" spans="1:70" s="5" customFormat="1" x14ac:dyDescent="0.3">
      <c r="A14" s="4">
        <v>13</v>
      </c>
      <c r="B14" s="14" t="s">
        <v>30</v>
      </c>
      <c r="C14" s="5" t="s">
        <v>4</v>
      </c>
      <c r="D14" s="5" t="s">
        <v>253</v>
      </c>
      <c r="E14" s="8" t="s">
        <v>16</v>
      </c>
      <c r="F14" s="5" t="s">
        <v>7</v>
      </c>
      <c r="G14" s="5" t="s">
        <v>8</v>
      </c>
      <c r="H14" s="5" t="s">
        <v>9</v>
      </c>
      <c r="I14" s="5" t="s">
        <v>10</v>
      </c>
      <c r="J14" s="9" t="s">
        <v>32</v>
      </c>
      <c r="K14" s="5" t="s">
        <v>18</v>
      </c>
      <c r="L14" s="8">
        <v>5.15</v>
      </c>
      <c r="M14" s="8">
        <v>118</v>
      </c>
      <c r="N14" s="8">
        <v>2.2999999999999998</v>
      </c>
      <c r="O14" s="5" t="s">
        <v>31</v>
      </c>
      <c r="P14" s="6">
        <v>53.683</v>
      </c>
      <c r="Q14" s="6">
        <v>8.8170000000000002</v>
      </c>
      <c r="R14" s="7" t="s">
        <v>5</v>
      </c>
      <c r="S14" s="8">
        <v>10.199999999999999</v>
      </c>
      <c r="T14" s="8">
        <v>916</v>
      </c>
      <c r="U14" s="8" t="s">
        <v>16</v>
      </c>
      <c r="V14" s="4">
        <v>57</v>
      </c>
      <c r="W14" s="4" t="s">
        <v>5</v>
      </c>
      <c r="X14" s="5" t="s">
        <v>7</v>
      </c>
      <c r="Y14" s="5" t="s">
        <v>8</v>
      </c>
      <c r="Z14" s="5" t="s">
        <v>9</v>
      </c>
      <c r="AA14" s="5" t="s">
        <v>10</v>
      </c>
      <c r="AB14" s="9" t="s">
        <v>32</v>
      </c>
      <c r="AC14" s="5" t="s">
        <v>18</v>
      </c>
      <c r="AD14" s="10" t="s">
        <v>33</v>
      </c>
      <c r="AE14" s="5" t="s">
        <v>12</v>
      </c>
      <c r="AF14" s="5" t="s">
        <v>34</v>
      </c>
      <c r="AG14" s="5" t="s">
        <v>35</v>
      </c>
      <c r="AH14" s="5" t="s">
        <v>13</v>
      </c>
      <c r="AI14" s="12" t="s">
        <v>21</v>
      </c>
      <c r="AJ14" s="37">
        <f>9*44/28*10^4/10^6</f>
        <v>0.14142857142857143</v>
      </c>
      <c r="AK14" s="5">
        <f>11*SQRT(3)*44/28*10^4/10^6</f>
        <v>0.29939735387976307</v>
      </c>
      <c r="AL14" s="7">
        <v>3</v>
      </c>
      <c r="AM14" s="37">
        <f>115*44/28*10^4/10^6</f>
        <v>1.8071428571428574</v>
      </c>
      <c r="AN14" s="5">
        <f>78*SQRT(3)*44/28*10^4/10^6</f>
        <v>2.1229994184201382</v>
      </c>
      <c r="AO14" s="7">
        <v>3</v>
      </c>
      <c r="AP14" s="12" t="s">
        <v>226</v>
      </c>
      <c r="AQ14" s="34">
        <f t="shared" si="11"/>
        <v>0.30689865689865697</v>
      </c>
      <c r="AR14" s="34">
        <f t="shared" ref="AR14:AR65" si="18">SQRT(AK14^2+AY14^2)</f>
        <v>0.31089158192969435</v>
      </c>
      <c r="AS14" s="7">
        <v>3</v>
      </c>
      <c r="AT14" s="34">
        <f t="shared" si="3"/>
        <v>1.6416727716727726</v>
      </c>
      <c r="AU14" s="34">
        <f t="shared" si="4"/>
        <v>2.12417155049179</v>
      </c>
      <c r="AV14" s="40">
        <v>3</v>
      </c>
      <c r="AW14" s="12" t="s">
        <v>194</v>
      </c>
      <c r="AX14" s="5">
        <v>-0.16547008547008554</v>
      </c>
      <c r="AY14" s="5">
        <v>8.3754404090434512E-2</v>
      </c>
      <c r="AZ14" s="7">
        <v>3</v>
      </c>
      <c r="BA14" s="5">
        <v>0.16547008547008479</v>
      </c>
      <c r="BB14" s="5">
        <v>7.0556681515292319E-2</v>
      </c>
      <c r="BC14" s="7">
        <v>3</v>
      </c>
      <c r="BD14" s="7"/>
      <c r="BE14" s="44">
        <f t="shared" si="14"/>
        <v>2.1699905033238371</v>
      </c>
      <c r="BF14" s="44">
        <f t="shared" ref="BF14:BF15" si="19">SQRT((1/AJ14)^2*AR14^2+((-AQ14/AJ14^2)^2*AK14^2))</f>
        <v>5.0926269397317521</v>
      </c>
      <c r="BG14" s="7">
        <f t="shared" si="16"/>
        <v>3</v>
      </c>
      <c r="BH14" s="44">
        <f t="shared" si="15"/>
        <v>0.90843552582683051</v>
      </c>
      <c r="BI14" s="44">
        <f t="shared" ref="BI14:BI15" si="20">SQRT((1/AM14)^2*AU14^2+((-AT14/AM14^2)^2*AN14^2))</f>
        <v>1.5876345425977865</v>
      </c>
      <c r="BJ14" s="1">
        <f t="shared" ref="BJ14:BJ15" si="21">BC14</f>
        <v>3</v>
      </c>
      <c r="BK14" s="1"/>
      <c r="BL14" s="1"/>
      <c r="BM14" s="1"/>
      <c r="BN14" s="1"/>
      <c r="BO14" s="1"/>
      <c r="BP14" s="1"/>
      <c r="BQ14" s="1"/>
      <c r="BR14" s="5" t="s">
        <v>162</v>
      </c>
    </row>
    <row r="15" spans="1:70" s="5" customFormat="1" x14ac:dyDescent="0.3">
      <c r="A15" s="4">
        <v>14</v>
      </c>
      <c r="B15" s="14" t="s">
        <v>30</v>
      </c>
      <c r="C15" s="5" t="s">
        <v>4</v>
      </c>
      <c r="D15" s="5" t="s">
        <v>253</v>
      </c>
      <c r="E15" s="8" t="s">
        <v>16</v>
      </c>
      <c r="F15" s="5" t="s">
        <v>7</v>
      </c>
      <c r="G15" s="5" t="s">
        <v>8</v>
      </c>
      <c r="H15" s="5" t="s">
        <v>9</v>
      </c>
      <c r="I15" s="5" t="s">
        <v>10</v>
      </c>
      <c r="J15" s="9" t="s">
        <v>32</v>
      </c>
      <c r="K15" s="5" t="s">
        <v>18</v>
      </c>
      <c r="L15" s="8">
        <v>5.15</v>
      </c>
      <c r="M15" s="8">
        <v>121</v>
      </c>
      <c r="N15" s="8">
        <v>2.1</v>
      </c>
      <c r="O15" s="5" t="s">
        <v>31</v>
      </c>
      <c r="P15" s="6">
        <v>53.683</v>
      </c>
      <c r="Q15" s="6">
        <v>8.8170000000000002</v>
      </c>
      <c r="R15" s="7" t="s">
        <v>5</v>
      </c>
      <c r="S15" s="8">
        <v>10.8</v>
      </c>
      <c r="T15" s="8">
        <v>929</v>
      </c>
      <c r="U15" s="8" t="s">
        <v>16</v>
      </c>
      <c r="V15" s="4">
        <v>57</v>
      </c>
      <c r="W15" s="4" t="s">
        <v>5</v>
      </c>
      <c r="X15" s="5" t="s">
        <v>7</v>
      </c>
      <c r="Y15" s="5" t="s">
        <v>8</v>
      </c>
      <c r="Z15" s="5" t="s">
        <v>9</v>
      </c>
      <c r="AA15" s="5" t="s">
        <v>10</v>
      </c>
      <c r="AB15" s="9" t="s">
        <v>32</v>
      </c>
      <c r="AC15" s="5" t="s">
        <v>18</v>
      </c>
      <c r="AD15" s="10" t="s">
        <v>36</v>
      </c>
      <c r="AE15" s="5" t="s">
        <v>12</v>
      </c>
      <c r="AF15" s="5" t="s">
        <v>37</v>
      </c>
      <c r="AG15" s="5" t="s">
        <v>35</v>
      </c>
      <c r="AH15" s="5" t="s">
        <v>13</v>
      </c>
      <c r="AI15" s="12" t="s">
        <v>21</v>
      </c>
      <c r="AJ15" s="37">
        <f>7*44/28*10^4/10^6</f>
        <v>0.11</v>
      </c>
      <c r="AK15" s="5">
        <f>24*SQRT(3)*44/28*10^4/10^6</f>
        <v>0.65323059028311947</v>
      </c>
      <c r="AL15" s="7">
        <v>3</v>
      </c>
      <c r="AM15" s="37">
        <f>255*44/28*10^4/10^6</f>
        <v>4.0071428571428571</v>
      </c>
      <c r="AN15" s="5">
        <f>101*SQRT(3)*44/28*10^4/10^6</f>
        <v>2.7490120674414609</v>
      </c>
      <c r="AO15" s="7">
        <v>3</v>
      </c>
      <c r="AP15" s="12" t="s">
        <v>226</v>
      </c>
      <c r="AQ15" s="34">
        <f t="shared" si="11"/>
        <v>0.40333333333333382</v>
      </c>
      <c r="AR15" s="34">
        <f t="shared" si="18"/>
        <v>0.66457532940004749</v>
      </c>
      <c r="AS15" s="7">
        <v>3</v>
      </c>
      <c r="AT15" s="34">
        <f t="shared" si="3"/>
        <v>-0.46054945054945318</v>
      </c>
      <c r="AU15" s="34">
        <f t="shared" si="4"/>
        <v>3.4194670521739616</v>
      </c>
      <c r="AV15" s="40">
        <v>3</v>
      </c>
      <c r="AW15" s="12" t="s">
        <v>194</v>
      </c>
      <c r="AX15" s="5">
        <v>-0.29333333333333383</v>
      </c>
      <c r="AY15" s="5">
        <v>0.12227086474524083</v>
      </c>
      <c r="AZ15" s="7">
        <v>3</v>
      </c>
      <c r="BA15" s="5">
        <v>4.4676923076923103</v>
      </c>
      <c r="BB15" s="5">
        <v>2.0336389979454337</v>
      </c>
      <c r="BC15" s="7">
        <v>3</v>
      </c>
      <c r="BD15" s="7"/>
      <c r="BE15" s="44">
        <f t="shared" si="14"/>
        <v>3.666666666666671</v>
      </c>
      <c r="BF15" s="44">
        <f t="shared" si="19"/>
        <v>22.596975591349704</v>
      </c>
      <c r="BG15" s="7">
        <f t="shared" si="16"/>
        <v>3</v>
      </c>
      <c r="BH15" s="44">
        <f t="shared" si="15"/>
        <v>-0.11493212669683324</v>
      </c>
      <c r="BI15" s="44">
        <f t="shared" si="20"/>
        <v>0.85697780705081517</v>
      </c>
      <c r="BJ15" s="1">
        <f t="shared" si="21"/>
        <v>3</v>
      </c>
      <c r="BK15" s="1"/>
      <c r="BL15" s="1"/>
      <c r="BM15" s="1"/>
      <c r="BN15" s="1"/>
      <c r="BO15" s="1"/>
      <c r="BP15" s="1"/>
      <c r="BQ15" s="1"/>
      <c r="BR15" s="5" t="s">
        <v>162</v>
      </c>
    </row>
    <row r="16" spans="1:70" s="5" customFormat="1" x14ac:dyDescent="0.3">
      <c r="A16" s="4">
        <v>15</v>
      </c>
      <c r="B16" s="14" t="s">
        <v>38</v>
      </c>
      <c r="C16" s="5" t="s">
        <v>4</v>
      </c>
      <c r="D16" s="5" t="s">
        <v>253</v>
      </c>
      <c r="E16" s="8" t="s">
        <v>6</v>
      </c>
      <c r="F16" s="5" t="s">
        <v>25</v>
      </c>
      <c r="G16" s="5" t="s">
        <v>26</v>
      </c>
      <c r="H16" s="5" t="s">
        <v>9</v>
      </c>
      <c r="I16" s="5" t="s">
        <v>10</v>
      </c>
      <c r="J16" s="9" t="s">
        <v>39</v>
      </c>
      <c r="K16" s="29" t="s">
        <v>178</v>
      </c>
      <c r="L16" s="8">
        <v>6.5</v>
      </c>
      <c r="M16" s="8">
        <v>80</v>
      </c>
      <c r="N16" s="8">
        <v>0</v>
      </c>
      <c r="O16" s="5" t="s">
        <v>24</v>
      </c>
      <c r="P16" s="6">
        <v>62.667000000000002</v>
      </c>
      <c r="Q16" s="6">
        <v>30.832999999999998</v>
      </c>
      <c r="R16" s="7" t="s">
        <v>5</v>
      </c>
      <c r="S16" s="8">
        <v>1.9</v>
      </c>
      <c r="T16" s="8">
        <v>791.02804142901948</v>
      </c>
      <c r="U16" s="8" t="s">
        <v>6</v>
      </c>
      <c r="V16" s="4">
        <v>60</v>
      </c>
      <c r="W16" s="4" t="s">
        <v>5</v>
      </c>
      <c r="X16" s="5" t="s">
        <v>25</v>
      </c>
      <c r="Y16" s="5" t="s">
        <v>26</v>
      </c>
      <c r="Z16" s="5" t="s">
        <v>9</v>
      </c>
      <c r="AA16" s="5" t="s">
        <v>10</v>
      </c>
      <c r="AB16" s="9" t="s">
        <v>39</v>
      </c>
      <c r="AC16" s="5" t="s">
        <v>18</v>
      </c>
      <c r="AD16" s="10">
        <v>1991</v>
      </c>
      <c r="AE16" s="7" t="s">
        <v>12</v>
      </c>
      <c r="AF16" s="7" t="s">
        <v>37</v>
      </c>
      <c r="AG16" s="5" t="s">
        <v>35</v>
      </c>
      <c r="AH16" s="5" t="s">
        <v>13</v>
      </c>
      <c r="AI16" s="12" t="s">
        <v>21</v>
      </c>
      <c r="AJ16" s="37">
        <f>0.2*44/28</f>
        <v>0.31428571428571433</v>
      </c>
      <c r="AK16" s="5" t="s">
        <v>5</v>
      </c>
      <c r="AL16" s="7">
        <v>3</v>
      </c>
      <c r="AM16" s="37">
        <f>9.3*44/28</f>
        <v>14.614285714285716</v>
      </c>
      <c r="AN16" s="5" t="s">
        <v>5</v>
      </c>
      <c r="AO16" s="7">
        <v>3</v>
      </c>
      <c r="AP16" s="12" t="s">
        <v>226</v>
      </c>
      <c r="AQ16" s="37" t="s">
        <v>5</v>
      </c>
      <c r="AR16" s="37" t="s">
        <v>5</v>
      </c>
      <c r="AS16" s="37" t="s">
        <v>5</v>
      </c>
      <c r="AT16" s="37" t="s">
        <v>5</v>
      </c>
      <c r="AU16" s="37" t="s">
        <v>5</v>
      </c>
      <c r="AV16" s="40" t="s">
        <v>5</v>
      </c>
      <c r="AX16" s="37" t="s">
        <v>5</v>
      </c>
      <c r="AY16" s="37" t="s">
        <v>5</v>
      </c>
      <c r="AZ16" s="37" t="s">
        <v>5</v>
      </c>
      <c r="BA16" s="37" t="s">
        <v>5</v>
      </c>
      <c r="BB16" s="37" t="s">
        <v>5</v>
      </c>
      <c r="BC16" s="37" t="s">
        <v>5</v>
      </c>
      <c r="BD16" s="7"/>
      <c r="BE16" s="45"/>
      <c r="BF16" s="45"/>
      <c r="BG16" s="7"/>
      <c r="BH16" s="45"/>
      <c r="BI16" s="45"/>
      <c r="BJ16" s="7"/>
      <c r="BK16" s="7"/>
      <c r="BL16" s="7"/>
      <c r="BM16" s="7"/>
      <c r="BN16" s="7"/>
      <c r="BO16" s="7"/>
      <c r="BP16" s="7"/>
      <c r="BQ16" s="7"/>
      <c r="BR16" s="5" t="s">
        <v>161</v>
      </c>
    </row>
    <row r="17" spans="1:70" s="5" customFormat="1" x14ac:dyDescent="0.3">
      <c r="A17" s="4">
        <v>16</v>
      </c>
      <c r="B17" s="14" t="s">
        <v>38</v>
      </c>
      <c r="C17" s="5" t="s">
        <v>4</v>
      </c>
      <c r="D17" s="5" t="s">
        <v>253</v>
      </c>
      <c r="E17" s="8" t="s">
        <v>6</v>
      </c>
      <c r="F17" s="5" t="s">
        <v>25</v>
      </c>
      <c r="G17" s="5" t="s">
        <v>26</v>
      </c>
      <c r="H17" s="5" t="s">
        <v>9</v>
      </c>
      <c r="I17" s="5" t="s">
        <v>10</v>
      </c>
      <c r="J17" s="9" t="s">
        <v>39</v>
      </c>
      <c r="K17" s="29" t="s">
        <v>178</v>
      </c>
      <c r="L17" s="8">
        <v>6.5</v>
      </c>
      <c r="M17" s="8">
        <v>80</v>
      </c>
      <c r="N17" s="8">
        <v>0</v>
      </c>
      <c r="O17" s="5" t="s">
        <v>24</v>
      </c>
      <c r="P17" s="6">
        <v>62.667000000000002</v>
      </c>
      <c r="Q17" s="6">
        <v>30.832999999999998</v>
      </c>
      <c r="R17" s="7" t="s">
        <v>5</v>
      </c>
      <c r="S17" s="8">
        <v>1.9</v>
      </c>
      <c r="T17" s="8">
        <v>753.67482332059831</v>
      </c>
      <c r="U17" s="8" t="s">
        <v>6</v>
      </c>
      <c r="V17" s="4">
        <v>61</v>
      </c>
      <c r="W17" s="4" t="s">
        <v>5</v>
      </c>
      <c r="X17" s="5" t="s">
        <v>25</v>
      </c>
      <c r="Y17" s="5" t="s">
        <v>26</v>
      </c>
      <c r="Z17" s="5" t="s">
        <v>9</v>
      </c>
      <c r="AA17" s="5" t="s">
        <v>10</v>
      </c>
      <c r="AB17" s="9" t="s">
        <v>39</v>
      </c>
      <c r="AC17" s="5" t="s">
        <v>18</v>
      </c>
      <c r="AD17" s="10">
        <v>1992</v>
      </c>
      <c r="AE17" s="7" t="s">
        <v>12</v>
      </c>
      <c r="AF17" s="7" t="s">
        <v>37</v>
      </c>
      <c r="AG17" s="5" t="s">
        <v>35</v>
      </c>
      <c r="AH17" s="5" t="s">
        <v>13</v>
      </c>
      <c r="AI17" s="12" t="s">
        <v>21</v>
      </c>
      <c r="AJ17" s="37" t="s">
        <v>5</v>
      </c>
      <c r="AK17" s="5" t="s">
        <v>5</v>
      </c>
      <c r="AL17" s="7">
        <v>3</v>
      </c>
      <c r="AM17" s="37">
        <f>7.8*44/28</f>
        <v>12.257142857142856</v>
      </c>
      <c r="AN17" s="5" t="s">
        <v>5</v>
      </c>
      <c r="AO17" s="7">
        <v>3</v>
      </c>
      <c r="AP17" s="12" t="s">
        <v>226</v>
      </c>
      <c r="AQ17" s="37" t="s">
        <v>5</v>
      </c>
      <c r="AR17" s="37" t="s">
        <v>5</v>
      </c>
      <c r="AS17" s="37" t="s">
        <v>5</v>
      </c>
      <c r="AT17" s="37" t="s">
        <v>5</v>
      </c>
      <c r="AU17" s="37" t="s">
        <v>5</v>
      </c>
      <c r="AV17" s="40" t="s">
        <v>5</v>
      </c>
      <c r="AX17" s="37" t="s">
        <v>5</v>
      </c>
      <c r="AY17" s="37" t="s">
        <v>5</v>
      </c>
      <c r="AZ17" s="37" t="s">
        <v>5</v>
      </c>
      <c r="BA17" s="37" t="s">
        <v>5</v>
      </c>
      <c r="BB17" s="37" t="s">
        <v>5</v>
      </c>
      <c r="BC17" s="37" t="s">
        <v>5</v>
      </c>
      <c r="BD17" s="7"/>
      <c r="BE17" s="45"/>
      <c r="BF17" s="45"/>
      <c r="BG17" s="7"/>
      <c r="BH17" s="45"/>
      <c r="BI17" s="45"/>
      <c r="BJ17" s="7"/>
      <c r="BK17" s="7"/>
      <c r="BL17" s="7"/>
      <c r="BM17" s="7"/>
      <c r="BN17" s="7"/>
      <c r="BO17" s="7"/>
      <c r="BP17" s="7"/>
      <c r="BQ17" s="7"/>
      <c r="BR17" s="5" t="s">
        <v>161</v>
      </c>
    </row>
    <row r="18" spans="1:70" s="5" customFormat="1" x14ac:dyDescent="0.3">
      <c r="A18" s="4">
        <v>17</v>
      </c>
      <c r="B18" s="14" t="s">
        <v>217</v>
      </c>
      <c r="C18" s="5" t="s">
        <v>4</v>
      </c>
      <c r="D18" s="5" t="s">
        <v>23</v>
      </c>
      <c r="E18" s="8" t="s">
        <v>6</v>
      </c>
      <c r="F18" s="5" t="s">
        <v>7</v>
      </c>
      <c r="G18" s="5" t="s">
        <v>5</v>
      </c>
      <c r="H18" s="5" t="s">
        <v>9</v>
      </c>
      <c r="I18" s="5" t="s">
        <v>10</v>
      </c>
      <c r="J18" s="9" t="s">
        <v>216</v>
      </c>
      <c r="K18" s="5" t="s">
        <v>41</v>
      </c>
      <c r="L18" s="8" t="s">
        <v>5</v>
      </c>
      <c r="M18" s="8">
        <v>0</v>
      </c>
      <c r="N18" s="8">
        <v>0</v>
      </c>
      <c r="O18" s="5" t="s">
        <v>40</v>
      </c>
      <c r="P18" s="6">
        <v>45.982999999999997</v>
      </c>
      <c r="Q18" s="6">
        <v>14.5</v>
      </c>
      <c r="R18" s="7" t="s">
        <v>5</v>
      </c>
      <c r="S18" s="7">
        <v>10</v>
      </c>
      <c r="T18" s="7">
        <v>1400</v>
      </c>
      <c r="U18" s="8" t="s">
        <v>6</v>
      </c>
      <c r="V18" s="4" t="s">
        <v>5</v>
      </c>
      <c r="W18" s="4" t="s">
        <v>5</v>
      </c>
      <c r="X18" s="5" t="s">
        <v>7</v>
      </c>
      <c r="Y18" s="5" t="s">
        <v>5</v>
      </c>
      <c r="Z18" s="5" t="s">
        <v>9</v>
      </c>
      <c r="AA18" s="5" t="s">
        <v>10</v>
      </c>
      <c r="AB18" s="9" t="s">
        <v>41</v>
      </c>
      <c r="AC18" s="5" t="s">
        <v>41</v>
      </c>
      <c r="AD18" s="10" t="s">
        <v>42</v>
      </c>
      <c r="AE18" s="7" t="s">
        <v>12</v>
      </c>
      <c r="AF18" s="7" t="s">
        <v>37</v>
      </c>
      <c r="AG18" s="5" t="s">
        <v>43</v>
      </c>
      <c r="AH18" s="5" t="s">
        <v>13</v>
      </c>
      <c r="AI18" s="4" t="s">
        <v>21</v>
      </c>
      <c r="AJ18" s="37" t="s">
        <v>5</v>
      </c>
      <c r="AK18" s="37" t="s">
        <v>5</v>
      </c>
      <c r="AL18" s="37" t="s">
        <v>5</v>
      </c>
      <c r="AM18" s="37" t="s">
        <v>5</v>
      </c>
      <c r="AN18" s="37" t="s">
        <v>5</v>
      </c>
      <c r="AO18" s="37" t="s">
        <v>5</v>
      </c>
      <c r="AP18" s="12" t="s">
        <v>226</v>
      </c>
      <c r="AQ18" s="37" t="s">
        <v>5</v>
      </c>
      <c r="AR18" s="37" t="s">
        <v>5</v>
      </c>
      <c r="AS18" s="37" t="s">
        <v>5</v>
      </c>
      <c r="AT18" s="37" t="s">
        <v>5</v>
      </c>
      <c r="AU18" s="37" t="s">
        <v>5</v>
      </c>
      <c r="AV18" s="40" t="s">
        <v>5</v>
      </c>
      <c r="AW18" s="12"/>
      <c r="AX18" s="37" t="s">
        <v>5</v>
      </c>
      <c r="AY18" s="37" t="s">
        <v>5</v>
      </c>
      <c r="AZ18" s="37" t="s">
        <v>5</v>
      </c>
      <c r="BA18" s="37" t="s">
        <v>5</v>
      </c>
      <c r="BB18" s="37" t="s">
        <v>5</v>
      </c>
      <c r="BC18" s="37" t="s">
        <v>5</v>
      </c>
      <c r="BD18" s="7"/>
      <c r="BE18" s="44"/>
      <c r="BF18" s="44"/>
      <c r="BG18" s="26"/>
      <c r="BH18" s="44"/>
      <c r="BI18" s="44"/>
      <c r="BJ18" s="1"/>
      <c r="BK18" s="1"/>
      <c r="BL18" s="1"/>
      <c r="BM18" s="1"/>
      <c r="BN18" s="1"/>
      <c r="BO18" s="1"/>
      <c r="BP18" s="1"/>
      <c r="BQ18" s="1"/>
      <c r="BR18" s="5" t="s">
        <v>160</v>
      </c>
    </row>
    <row r="19" spans="1:70" s="5" customFormat="1" x14ac:dyDescent="0.3">
      <c r="A19" s="4">
        <v>18</v>
      </c>
      <c r="B19" s="14" t="s">
        <v>44</v>
      </c>
      <c r="C19" s="5" t="s">
        <v>4</v>
      </c>
      <c r="D19" s="5" t="s">
        <v>23</v>
      </c>
      <c r="E19" s="8" t="s">
        <v>6</v>
      </c>
      <c r="F19" s="5" t="s">
        <v>7</v>
      </c>
      <c r="G19" s="5" t="s">
        <v>5</v>
      </c>
      <c r="H19" s="5" t="s">
        <v>9</v>
      </c>
      <c r="I19" s="5" t="s">
        <v>10</v>
      </c>
      <c r="J19" s="9" t="s">
        <v>46</v>
      </c>
      <c r="K19" s="5" t="s">
        <v>18</v>
      </c>
      <c r="L19" s="8">
        <v>0.9</v>
      </c>
      <c r="M19" s="8">
        <v>0</v>
      </c>
      <c r="N19" s="8">
        <v>0</v>
      </c>
      <c r="O19" s="5" t="s">
        <v>45</v>
      </c>
      <c r="P19" s="6">
        <v>57.133000000000003</v>
      </c>
      <c r="Q19" s="6">
        <v>14.75</v>
      </c>
      <c r="R19" s="7" t="s">
        <v>5</v>
      </c>
      <c r="S19" s="8">
        <v>5.6</v>
      </c>
      <c r="T19" s="8">
        <v>766.95984703632928</v>
      </c>
      <c r="U19" s="8" t="s">
        <v>6</v>
      </c>
      <c r="V19" s="4">
        <v>30</v>
      </c>
      <c r="W19" s="4" t="s">
        <v>5</v>
      </c>
      <c r="X19" s="5" t="s">
        <v>7</v>
      </c>
      <c r="Y19" s="5" t="s">
        <v>5</v>
      </c>
      <c r="Z19" s="5" t="s">
        <v>9</v>
      </c>
      <c r="AA19" s="5" t="s">
        <v>10</v>
      </c>
      <c r="AB19" s="9" t="s">
        <v>46</v>
      </c>
      <c r="AC19" s="5" t="s">
        <v>18</v>
      </c>
      <c r="AD19" s="10" t="s">
        <v>47</v>
      </c>
      <c r="AE19" s="7" t="s">
        <v>12</v>
      </c>
      <c r="AF19" s="7" t="s">
        <v>37</v>
      </c>
      <c r="AG19" s="5" t="s">
        <v>43</v>
      </c>
      <c r="AH19" s="5" t="s">
        <v>13</v>
      </c>
      <c r="AI19" s="4" t="s">
        <v>21</v>
      </c>
      <c r="AJ19" s="37">
        <v>0.2</v>
      </c>
      <c r="AK19" s="5">
        <f>0.3*SQRT(3)</f>
        <v>0.51961524227066314</v>
      </c>
      <c r="AL19" s="7">
        <v>3</v>
      </c>
      <c r="AM19" s="37">
        <v>0.9</v>
      </c>
      <c r="AN19" s="5">
        <f>0.6*SQRT(3)</f>
        <v>1.0392304845413263</v>
      </c>
      <c r="AO19" s="7">
        <v>3</v>
      </c>
      <c r="AP19" s="12" t="s">
        <v>226</v>
      </c>
      <c r="AQ19" s="34">
        <f t="shared" si="11"/>
        <v>-1.2919786096256769E-2</v>
      </c>
      <c r="AR19" s="34">
        <f t="shared" si="18"/>
        <v>0.5347094327302232</v>
      </c>
      <c r="AS19" s="7">
        <v>10</v>
      </c>
      <c r="AT19" s="34">
        <f t="shared" si="3"/>
        <v>0.71738509151277885</v>
      </c>
      <c r="AU19" s="34">
        <f>SQRT(AN19^2+BB19^2)</f>
        <v>1.0440418542726821</v>
      </c>
      <c r="AV19" s="40">
        <v>10</v>
      </c>
      <c r="AW19" s="12" t="s">
        <v>194</v>
      </c>
      <c r="AX19" s="5">
        <v>0.21291978609625678</v>
      </c>
      <c r="AY19" s="5">
        <v>0.12615140685175541</v>
      </c>
      <c r="AZ19" s="7">
        <v>3</v>
      </c>
      <c r="BA19" s="5">
        <v>0.18261490848722114</v>
      </c>
      <c r="BB19" s="5">
        <v>0.10011689903877677</v>
      </c>
      <c r="BC19" s="7">
        <v>3</v>
      </c>
      <c r="BD19" s="7"/>
      <c r="BE19" s="44">
        <f t="shared" ref="BE19:BE40" si="22">AQ19/AJ19</f>
        <v>-6.4598930481283845E-2</v>
      </c>
      <c r="BF19" s="44">
        <f t="shared" ref="BF19:BF34" si="23">SQRT((1/AJ19)^2*AR19^2+((-AQ19/AJ19^2)^2*AK19^2))</f>
        <v>2.6788098726015206</v>
      </c>
      <c r="BG19" s="26">
        <f t="shared" ref="BG19:BG24" si="24">AZ19</f>
        <v>3</v>
      </c>
      <c r="BH19" s="44">
        <f t="shared" ref="BH19:BH34" si="25">AT19/AM19</f>
        <v>0.79709454612530983</v>
      </c>
      <c r="BI19" s="44">
        <f t="shared" ref="BI19:BI34" si="26">SQRT((1/AM19)^2*AU19^2+((-AT19/AM19^2)^2*AN19^2))</f>
        <v>1.4808288829099514</v>
      </c>
      <c r="BJ19" s="1">
        <f t="shared" ref="BJ19:BJ24" si="27">BC19</f>
        <v>3</v>
      </c>
      <c r="BK19" s="1"/>
      <c r="BL19" s="1"/>
      <c r="BM19" s="1"/>
      <c r="BN19" s="1"/>
      <c r="BO19" s="1"/>
      <c r="BP19" s="1"/>
      <c r="BQ19" s="1"/>
      <c r="BR19" s="5" t="s">
        <v>158</v>
      </c>
    </row>
    <row r="20" spans="1:70" s="5" customFormat="1" x14ac:dyDescent="0.3">
      <c r="A20" s="4">
        <v>19</v>
      </c>
      <c r="B20" s="14" t="s">
        <v>44</v>
      </c>
      <c r="C20" s="5" t="s">
        <v>4</v>
      </c>
      <c r="D20" s="5" t="s">
        <v>23</v>
      </c>
      <c r="E20" s="8" t="s">
        <v>6</v>
      </c>
      <c r="F20" s="5" t="s">
        <v>7</v>
      </c>
      <c r="G20" s="5" t="s">
        <v>5</v>
      </c>
      <c r="H20" s="5" t="s">
        <v>9</v>
      </c>
      <c r="I20" s="5" t="s">
        <v>10</v>
      </c>
      <c r="J20" s="9" t="s">
        <v>46</v>
      </c>
      <c r="K20" s="5" t="s">
        <v>18</v>
      </c>
      <c r="L20" s="8">
        <v>0.9</v>
      </c>
      <c r="M20" s="8">
        <v>0</v>
      </c>
      <c r="N20" s="8">
        <v>0</v>
      </c>
      <c r="O20" s="5" t="s">
        <v>45</v>
      </c>
      <c r="P20" s="6">
        <v>57.133000000000003</v>
      </c>
      <c r="Q20" s="6">
        <v>14.75</v>
      </c>
      <c r="R20" s="7" t="s">
        <v>5</v>
      </c>
      <c r="S20" s="8">
        <v>5.6</v>
      </c>
      <c r="T20" s="8">
        <v>789.59847036328836</v>
      </c>
      <c r="U20" s="8" t="s">
        <v>6</v>
      </c>
      <c r="V20" s="4">
        <v>31</v>
      </c>
      <c r="W20" s="4" t="s">
        <v>5</v>
      </c>
      <c r="X20" s="5" t="s">
        <v>7</v>
      </c>
      <c r="Y20" s="5" t="s">
        <v>5</v>
      </c>
      <c r="Z20" s="5" t="s">
        <v>9</v>
      </c>
      <c r="AA20" s="5" t="s">
        <v>10</v>
      </c>
      <c r="AB20" s="9" t="s">
        <v>46</v>
      </c>
      <c r="AC20" s="5" t="s">
        <v>18</v>
      </c>
      <c r="AD20" s="10" t="s">
        <v>48</v>
      </c>
      <c r="AE20" s="7" t="s">
        <v>12</v>
      </c>
      <c r="AF20" s="7" t="s">
        <v>37</v>
      </c>
      <c r="AG20" s="5" t="s">
        <v>43</v>
      </c>
      <c r="AH20" s="5" t="s">
        <v>13</v>
      </c>
      <c r="AI20" s="4" t="s">
        <v>21</v>
      </c>
      <c r="AJ20" s="37">
        <v>0.3</v>
      </c>
      <c r="AK20" s="5">
        <f>0.5*SQRT(3)</f>
        <v>0.8660254037844386</v>
      </c>
      <c r="AL20" s="7">
        <v>3</v>
      </c>
      <c r="AM20" s="37">
        <v>0.7</v>
      </c>
      <c r="AN20" s="5">
        <f>0.5*SQRT(3)</f>
        <v>0.8660254037844386</v>
      </c>
      <c r="AO20" s="7">
        <v>3</v>
      </c>
      <c r="AP20" s="12" t="s">
        <v>226</v>
      </c>
      <c r="AQ20" s="34">
        <f t="shared" si="11"/>
        <v>0.14616700946112723</v>
      </c>
      <c r="AR20" s="34">
        <f t="shared" si="18"/>
        <v>0.87761942162353179</v>
      </c>
      <c r="AS20" s="7">
        <v>10</v>
      </c>
      <c r="AT20" s="34">
        <f t="shared" si="3"/>
        <v>0.55770667541144869</v>
      </c>
      <c r="AU20" s="34">
        <f t="shared" si="4"/>
        <v>0.86763719419429519</v>
      </c>
      <c r="AV20" s="40">
        <v>10</v>
      </c>
      <c r="AW20" s="12" t="s">
        <v>194</v>
      </c>
      <c r="AX20" s="5">
        <v>0.15383299053887275</v>
      </c>
      <c r="AY20" s="5">
        <v>0.14218245043190994</v>
      </c>
      <c r="AZ20" s="7">
        <v>3</v>
      </c>
      <c r="BA20" s="5">
        <v>0.14229332458855123</v>
      </c>
      <c r="BB20" s="5">
        <v>5.286114593299425E-2</v>
      </c>
      <c r="BC20" s="7">
        <v>3</v>
      </c>
      <c r="BD20" s="7"/>
      <c r="BE20" s="44">
        <f t="shared" si="22"/>
        <v>0.48722336487042411</v>
      </c>
      <c r="BF20" s="44">
        <f t="shared" si="23"/>
        <v>3.2459475669544329</v>
      </c>
      <c r="BG20" s="26">
        <f t="shared" si="24"/>
        <v>3</v>
      </c>
      <c r="BH20" s="44">
        <f t="shared" si="25"/>
        <v>0.79672382201635528</v>
      </c>
      <c r="BI20" s="44">
        <f t="shared" si="26"/>
        <v>1.5836350184897279</v>
      </c>
      <c r="BJ20" s="1">
        <f t="shared" si="27"/>
        <v>3</v>
      </c>
      <c r="BK20" s="1"/>
      <c r="BL20" s="1"/>
      <c r="BM20" s="1"/>
      <c r="BN20" s="1"/>
      <c r="BO20" s="1"/>
      <c r="BP20" s="1"/>
      <c r="BQ20" s="1"/>
      <c r="BR20" s="5" t="s">
        <v>158</v>
      </c>
    </row>
    <row r="21" spans="1:70" s="5" customFormat="1" x14ac:dyDescent="0.3">
      <c r="A21" s="4">
        <v>20</v>
      </c>
      <c r="B21" s="14" t="s">
        <v>44</v>
      </c>
      <c r="C21" s="5" t="s">
        <v>4</v>
      </c>
      <c r="D21" s="5" t="s">
        <v>23</v>
      </c>
      <c r="E21" s="8" t="s">
        <v>6</v>
      </c>
      <c r="F21" s="5" t="s">
        <v>7</v>
      </c>
      <c r="G21" s="5" t="s">
        <v>5</v>
      </c>
      <c r="H21" s="5" t="s">
        <v>9</v>
      </c>
      <c r="I21" s="5" t="s">
        <v>10</v>
      </c>
      <c r="J21" s="9" t="s">
        <v>46</v>
      </c>
      <c r="K21" s="5" t="s">
        <v>18</v>
      </c>
      <c r="L21" s="8">
        <v>0.9</v>
      </c>
      <c r="M21" s="8">
        <v>0</v>
      </c>
      <c r="N21" s="8">
        <v>0</v>
      </c>
      <c r="O21" s="5" t="s">
        <v>45</v>
      </c>
      <c r="P21" s="6">
        <v>57.133000000000003</v>
      </c>
      <c r="Q21" s="6">
        <v>14.75</v>
      </c>
      <c r="R21" s="7" t="s">
        <v>5</v>
      </c>
      <c r="S21" s="8">
        <v>5.6</v>
      </c>
      <c r="T21" s="8">
        <v>766.95984703632928</v>
      </c>
      <c r="U21" s="8" t="s">
        <v>6</v>
      </c>
      <c r="V21" s="4">
        <v>40</v>
      </c>
      <c r="W21" s="4" t="s">
        <v>5</v>
      </c>
      <c r="X21" s="5" t="s">
        <v>7</v>
      </c>
      <c r="Y21" s="5" t="s">
        <v>5</v>
      </c>
      <c r="Z21" s="5" t="s">
        <v>9</v>
      </c>
      <c r="AA21" s="5" t="s">
        <v>10</v>
      </c>
      <c r="AB21" s="9" t="s">
        <v>46</v>
      </c>
      <c r="AC21" s="5" t="s">
        <v>18</v>
      </c>
      <c r="AD21" s="10" t="s">
        <v>47</v>
      </c>
      <c r="AE21" s="7" t="s">
        <v>12</v>
      </c>
      <c r="AF21" s="7" t="s">
        <v>37</v>
      </c>
      <c r="AG21" s="5" t="s">
        <v>43</v>
      </c>
      <c r="AH21" s="5" t="s">
        <v>13</v>
      </c>
      <c r="AI21" s="4" t="s">
        <v>21</v>
      </c>
      <c r="AJ21" s="37">
        <v>0.2</v>
      </c>
      <c r="AK21" s="5">
        <f>0.3*SQRT(3)</f>
        <v>0.51961524227066314</v>
      </c>
      <c r="AL21" s="7">
        <v>3</v>
      </c>
      <c r="AM21" s="37">
        <v>0.6</v>
      </c>
      <c r="AN21" s="5">
        <f>0.3*SQRT(3)</f>
        <v>0.51961524227066314</v>
      </c>
      <c r="AO21" s="7">
        <v>3</v>
      </c>
      <c r="AP21" s="12" t="s">
        <v>226</v>
      </c>
      <c r="AQ21" s="34">
        <f t="shared" si="11"/>
        <v>-1.2919786096256769E-2</v>
      </c>
      <c r="AR21" s="34">
        <f t="shared" si="18"/>
        <v>0.5347094327302232</v>
      </c>
      <c r="AS21" s="7">
        <v>10</v>
      </c>
      <c r="AT21" s="34">
        <f t="shared" si="3"/>
        <v>0.47815384615384593</v>
      </c>
      <c r="AU21" s="34">
        <f t="shared" si="4"/>
        <v>0.52070368668966249</v>
      </c>
      <c r="AV21" s="40">
        <v>10</v>
      </c>
      <c r="AW21" s="12" t="s">
        <v>194</v>
      </c>
      <c r="AX21" s="5">
        <v>0.21291978609625678</v>
      </c>
      <c r="AY21" s="5">
        <v>0.12615140685175541</v>
      </c>
      <c r="AZ21" s="7">
        <v>3</v>
      </c>
      <c r="BA21" s="5">
        <v>0.12184615384615408</v>
      </c>
      <c r="BB21" s="5">
        <v>3.3650101518513519E-2</v>
      </c>
      <c r="BC21" s="7">
        <v>3</v>
      </c>
      <c r="BD21" s="7"/>
      <c r="BE21" s="44">
        <f t="shared" si="22"/>
        <v>-6.4598930481283845E-2</v>
      </c>
      <c r="BF21" s="44">
        <f t="shared" si="23"/>
        <v>2.6788098726015206</v>
      </c>
      <c r="BG21" s="26">
        <f t="shared" si="24"/>
        <v>3</v>
      </c>
      <c r="BH21" s="44">
        <f t="shared" si="25"/>
        <v>0.79692307692307662</v>
      </c>
      <c r="BI21" s="44">
        <f t="shared" si="26"/>
        <v>1.1088102417255787</v>
      </c>
      <c r="BJ21" s="1">
        <f t="shared" si="27"/>
        <v>3</v>
      </c>
      <c r="BK21" s="1"/>
      <c r="BL21" s="1"/>
      <c r="BM21" s="1"/>
      <c r="BN21" s="1"/>
      <c r="BO21" s="1"/>
      <c r="BP21" s="1"/>
      <c r="BQ21" s="1"/>
      <c r="BR21" s="5" t="s">
        <v>158</v>
      </c>
    </row>
    <row r="22" spans="1:70" s="5" customFormat="1" x14ac:dyDescent="0.3">
      <c r="A22" s="4">
        <v>21</v>
      </c>
      <c r="B22" s="14" t="s">
        <v>44</v>
      </c>
      <c r="C22" s="5" t="s">
        <v>4</v>
      </c>
      <c r="D22" s="5" t="s">
        <v>23</v>
      </c>
      <c r="E22" s="8" t="s">
        <v>6</v>
      </c>
      <c r="F22" s="5" t="s">
        <v>7</v>
      </c>
      <c r="G22" s="5" t="s">
        <v>5</v>
      </c>
      <c r="H22" s="5" t="s">
        <v>9</v>
      </c>
      <c r="I22" s="5" t="s">
        <v>10</v>
      </c>
      <c r="J22" s="9" t="s">
        <v>46</v>
      </c>
      <c r="K22" s="5" t="s">
        <v>18</v>
      </c>
      <c r="L22" s="8">
        <v>0.9</v>
      </c>
      <c r="M22" s="8">
        <v>0</v>
      </c>
      <c r="N22" s="8">
        <v>0</v>
      </c>
      <c r="O22" s="5" t="s">
        <v>45</v>
      </c>
      <c r="P22" s="6">
        <v>57.133000000000003</v>
      </c>
      <c r="Q22" s="6">
        <v>14.75</v>
      </c>
      <c r="R22" s="7" t="s">
        <v>5</v>
      </c>
      <c r="S22" s="8">
        <v>5.6</v>
      </c>
      <c r="T22" s="8">
        <v>789.59847036328836</v>
      </c>
      <c r="U22" s="8" t="s">
        <v>6</v>
      </c>
      <c r="V22" s="4">
        <v>41</v>
      </c>
      <c r="W22" s="4" t="s">
        <v>5</v>
      </c>
      <c r="X22" s="5" t="s">
        <v>7</v>
      </c>
      <c r="Y22" s="5" t="s">
        <v>5</v>
      </c>
      <c r="Z22" s="5" t="s">
        <v>9</v>
      </c>
      <c r="AA22" s="5" t="s">
        <v>10</v>
      </c>
      <c r="AB22" s="9" t="s">
        <v>46</v>
      </c>
      <c r="AC22" s="5" t="s">
        <v>18</v>
      </c>
      <c r="AD22" s="10" t="s">
        <v>48</v>
      </c>
      <c r="AE22" s="7" t="s">
        <v>12</v>
      </c>
      <c r="AF22" s="7" t="s">
        <v>37</v>
      </c>
      <c r="AG22" s="5" t="s">
        <v>43</v>
      </c>
      <c r="AH22" s="5" t="s">
        <v>13</v>
      </c>
      <c r="AI22" s="4" t="s">
        <v>21</v>
      </c>
      <c r="AJ22" s="37">
        <v>0.3</v>
      </c>
      <c r="AK22" s="5">
        <f>0.5*SQRT(3)</f>
        <v>0.8660254037844386</v>
      </c>
      <c r="AL22" s="7">
        <v>3</v>
      </c>
      <c r="AM22" s="37">
        <v>0.4</v>
      </c>
      <c r="AN22" s="5">
        <f>0.4*SQRT(3)</f>
        <v>0.69282032302755092</v>
      </c>
      <c r="AO22" s="7">
        <v>3</v>
      </c>
      <c r="AP22" s="12" t="s">
        <v>226</v>
      </c>
      <c r="AQ22" s="34">
        <f t="shared" si="11"/>
        <v>0.14616700946112723</v>
      </c>
      <c r="AR22" s="34">
        <f t="shared" si="18"/>
        <v>0.87761942162353179</v>
      </c>
      <c r="AS22" s="7">
        <v>4</v>
      </c>
      <c r="AT22" s="34">
        <f t="shared" si="3"/>
        <v>0.23640236686390517</v>
      </c>
      <c r="AU22" s="34">
        <f t="shared" si="4"/>
        <v>0.69565962635849943</v>
      </c>
      <c r="AV22" s="40">
        <v>4</v>
      </c>
      <c r="AW22" s="12" t="s">
        <v>194</v>
      </c>
      <c r="AX22" s="5">
        <v>0.15383299053887275</v>
      </c>
      <c r="AY22" s="5">
        <v>0.14218245043190994</v>
      </c>
      <c r="AZ22" s="7">
        <v>3</v>
      </c>
      <c r="BA22" s="5">
        <v>0.16359763313609485</v>
      </c>
      <c r="BB22" s="5">
        <v>6.2787863040933575E-2</v>
      </c>
      <c r="BC22" s="7">
        <v>3</v>
      </c>
      <c r="BD22" s="7"/>
      <c r="BE22" s="44">
        <f t="shared" si="22"/>
        <v>0.48722336487042411</v>
      </c>
      <c r="BF22" s="44">
        <f t="shared" si="23"/>
        <v>3.2459475669544329</v>
      </c>
      <c r="BG22" s="26">
        <f t="shared" si="24"/>
        <v>3</v>
      </c>
      <c r="BH22" s="44">
        <f t="shared" si="25"/>
        <v>0.59100591715976292</v>
      </c>
      <c r="BI22" s="44">
        <f t="shared" si="26"/>
        <v>2.0180444632766026</v>
      </c>
      <c r="BJ22" s="1">
        <f t="shared" si="27"/>
        <v>3</v>
      </c>
      <c r="BK22" s="1"/>
      <c r="BL22" s="1"/>
      <c r="BM22" s="1"/>
      <c r="BN22" s="1"/>
      <c r="BO22" s="1"/>
      <c r="BP22" s="1"/>
      <c r="BQ22" s="1"/>
      <c r="BR22" s="5" t="s">
        <v>158</v>
      </c>
    </row>
    <row r="23" spans="1:70" s="5" customFormat="1" x14ac:dyDescent="0.3">
      <c r="A23" s="4">
        <v>22</v>
      </c>
      <c r="B23" s="14" t="s">
        <v>44</v>
      </c>
      <c r="C23" s="5" t="s">
        <v>4</v>
      </c>
      <c r="D23" s="5" t="s">
        <v>23</v>
      </c>
      <c r="E23" s="8" t="s">
        <v>6</v>
      </c>
      <c r="F23" s="5" t="s">
        <v>7</v>
      </c>
      <c r="G23" s="5" t="s">
        <v>5</v>
      </c>
      <c r="H23" s="5" t="s">
        <v>9</v>
      </c>
      <c r="I23" s="5" t="s">
        <v>10</v>
      </c>
      <c r="J23" s="9" t="s">
        <v>46</v>
      </c>
      <c r="K23" s="5" t="s">
        <v>18</v>
      </c>
      <c r="L23" s="8">
        <v>0.9</v>
      </c>
      <c r="M23" s="8">
        <v>0</v>
      </c>
      <c r="N23" s="8">
        <v>0</v>
      </c>
      <c r="O23" s="5" t="s">
        <v>45</v>
      </c>
      <c r="P23" s="6">
        <v>57.133000000000003</v>
      </c>
      <c r="Q23" s="6">
        <v>14.75</v>
      </c>
      <c r="R23" s="7" t="s">
        <v>5</v>
      </c>
      <c r="S23" s="8">
        <v>5.6</v>
      </c>
      <c r="T23" s="8">
        <v>766.95984703632928</v>
      </c>
      <c r="U23" s="8" t="s">
        <v>6</v>
      </c>
      <c r="V23" s="4">
        <v>40</v>
      </c>
      <c r="W23" s="4" t="s">
        <v>5</v>
      </c>
      <c r="X23" s="5" t="s">
        <v>7</v>
      </c>
      <c r="Y23" s="5" t="s">
        <v>5</v>
      </c>
      <c r="Z23" s="5" t="s">
        <v>9</v>
      </c>
      <c r="AA23" s="5" t="s">
        <v>10</v>
      </c>
      <c r="AB23" s="9" t="s">
        <v>46</v>
      </c>
      <c r="AC23" s="5" t="s">
        <v>18</v>
      </c>
      <c r="AD23" s="10" t="s">
        <v>47</v>
      </c>
      <c r="AE23" s="7" t="s">
        <v>12</v>
      </c>
      <c r="AF23" s="7" t="s">
        <v>37</v>
      </c>
      <c r="AG23" s="5" t="s">
        <v>43</v>
      </c>
      <c r="AH23" s="5" t="s">
        <v>13</v>
      </c>
      <c r="AI23" s="4" t="s">
        <v>21</v>
      </c>
      <c r="AJ23" s="37">
        <v>0.2</v>
      </c>
      <c r="AK23" s="5">
        <f>0.3*SQRT(3)</f>
        <v>0.51961524227066314</v>
      </c>
      <c r="AL23" s="7">
        <v>3</v>
      </c>
      <c r="AM23" s="37">
        <v>0.3</v>
      </c>
      <c r="AN23" s="5">
        <f>0.3*SQRT(3)</f>
        <v>0.51961524227066314</v>
      </c>
      <c r="AO23" s="7">
        <v>3</v>
      </c>
      <c r="AP23" s="12" t="s">
        <v>226</v>
      </c>
      <c r="AQ23" s="34">
        <f t="shared" si="11"/>
        <v>-1.2919786096256769E-2</v>
      </c>
      <c r="AR23" s="34">
        <f t="shared" si="18"/>
        <v>0.5347094327302232</v>
      </c>
      <c r="AS23" s="7">
        <v>4</v>
      </c>
      <c r="AT23" s="34">
        <f t="shared" si="3"/>
        <v>0.21405653311445139</v>
      </c>
      <c r="AU23" s="34">
        <f t="shared" si="4"/>
        <v>0.52071730319626919</v>
      </c>
      <c r="AV23" s="40">
        <v>4</v>
      </c>
      <c r="AW23" s="12" t="s">
        <v>194</v>
      </c>
      <c r="AX23" s="5">
        <v>0.21291978609625678</v>
      </c>
      <c r="AY23" s="5">
        <v>0.12615140685175541</v>
      </c>
      <c r="AZ23" s="7">
        <v>3</v>
      </c>
      <c r="BA23" s="5">
        <v>8.5943466885548603E-2</v>
      </c>
      <c r="BB23" s="5">
        <v>3.3860151328594774E-2</v>
      </c>
      <c r="BC23" s="7">
        <v>3</v>
      </c>
      <c r="BD23" s="7"/>
      <c r="BE23" s="44">
        <f t="shared" si="22"/>
        <v>-6.4598930481283845E-2</v>
      </c>
      <c r="BF23" s="44">
        <f t="shared" si="23"/>
        <v>2.6788098726015206</v>
      </c>
      <c r="BG23" s="26">
        <f t="shared" si="24"/>
        <v>3</v>
      </c>
      <c r="BH23" s="44">
        <f t="shared" si="25"/>
        <v>0.71352177704817132</v>
      </c>
      <c r="BI23" s="44">
        <f t="shared" si="26"/>
        <v>2.1307461081219885</v>
      </c>
      <c r="BJ23" s="1">
        <f t="shared" si="27"/>
        <v>3</v>
      </c>
      <c r="BK23" s="1"/>
      <c r="BL23" s="1"/>
      <c r="BM23" s="1"/>
      <c r="BN23" s="1"/>
      <c r="BO23" s="1"/>
      <c r="BP23" s="1"/>
      <c r="BQ23" s="1"/>
      <c r="BR23" s="5" t="s">
        <v>158</v>
      </c>
    </row>
    <row r="24" spans="1:70" s="5" customFormat="1" x14ac:dyDescent="0.3">
      <c r="A24" s="4">
        <v>23</v>
      </c>
      <c r="B24" s="14" t="s">
        <v>44</v>
      </c>
      <c r="C24" s="5" t="s">
        <v>4</v>
      </c>
      <c r="D24" s="5" t="s">
        <v>23</v>
      </c>
      <c r="E24" s="8" t="s">
        <v>6</v>
      </c>
      <c r="F24" s="5" t="s">
        <v>7</v>
      </c>
      <c r="G24" s="5" t="s">
        <v>214</v>
      </c>
      <c r="H24" s="5" t="s">
        <v>9</v>
      </c>
      <c r="I24" s="5" t="s">
        <v>10</v>
      </c>
      <c r="J24" s="9" t="s">
        <v>46</v>
      </c>
      <c r="K24" s="5" t="s">
        <v>18</v>
      </c>
      <c r="L24" s="8">
        <v>0.9</v>
      </c>
      <c r="M24" s="8">
        <v>0</v>
      </c>
      <c r="N24" s="8">
        <v>0</v>
      </c>
      <c r="O24" s="5" t="s">
        <v>45</v>
      </c>
      <c r="P24" s="6">
        <v>57.133000000000003</v>
      </c>
      <c r="Q24" s="6">
        <v>14.75</v>
      </c>
      <c r="R24" s="7" t="s">
        <v>5</v>
      </c>
      <c r="S24" s="8">
        <v>5.6</v>
      </c>
      <c r="T24" s="8">
        <v>789.59847036328836</v>
      </c>
      <c r="U24" s="8" t="s">
        <v>6</v>
      </c>
      <c r="V24" s="4">
        <v>41</v>
      </c>
      <c r="W24" s="4" t="s">
        <v>5</v>
      </c>
      <c r="X24" s="5" t="s">
        <v>7</v>
      </c>
      <c r="Y24" s="5" t="s">
        <v>5</v>
      </c>
      <c r="Z24" s="5" t="s">
        <v>9</v>
      </c>
      <c r="AA24" s="5" t="s">
        <v>10</v>
      </c>
      <c r="AB24" s="9" t="s">
        <v>46</v>
      </c>
      <c r="AC24" s="5" t="s">
        <v>18</v>
      </c>
      <c r="AD24" s="10" t="s">
        <v>48</v>
      </c>
      <c r="AE24" s="7" t="s">
        <v>12</v>
      </c>
      <c r="AF24" s="7" t="s">
        <v>37</v>
      </c>
      <c r="AG24" s="5" t="s">
        <v>43</v>
      </c>
      <c r="AH24" s="5" t="s">
        <v>13</v>
      </c>
      <c r="AI24" s="4" t="s">
        <v>21</v>
      </c>
      <c r="AJ24" s="37">
        <v>0.3</v>
      </c>
      <c r="AK24" s="5">
        <f>0.5*SQRT(3)</f>
        <v>0.8660254037844386</v>
      </c>
      <c r="AL24" s="7">
        <v>3</v>
      </c>
      <c r="AM24" s="37">
        <v>0.4</v>
      </c>
      <c r="AN24" s="5">
        <f t="shared" ref="AN24" si="28">0.6*SQRT(3)</f>
        <v>1.0392304845413263</v>
      </c>
      <c r="AO24" s="7">
        <v>3</v>
      </c>
      <c r="AP24" s="12" t="s">
        <v>226</v>
      </c>
      <c r="AQ24" s="34">
        <f t="shared" si="11"/>
        <v>0.14616700946112723</v>
      </c>
      <c r="AR24" s="34">
        <f t="shared" si="18"/>
        <v>0.87761942162353179</v>
      </c>
      <c r="AS24" s="7">
        <v>4</v>
      </c>
      <c r="AT24" s="34">
        <f t="shared" si="3"/>
        <v>0.25380704868414328</v>
      </c>
      <c r="AU24" s="34">
        <f t="shared" si="4"/>
        <v>1.0418356644062841</v>
      </c>
      <c r="AV24" s="40">
        <v>4</v>
      </c>
      <c r="AW24" s="12" t="s">
        <v>194</v>
      </c>
      <c r="AX24" s="5">
        <v>0.15383299053887275</v>
      </c>
      <c r="AY24" s="5">
        <v>0.14218245043190994</v>
      </c>
      <c r="AZ24" s="7">
        <v>3</v>
      </c>
      <c r="BA24" s="5">
        <v>0.14619295131585675</v>
      </c>
      <c r="BB24" s="5">
        <v>7.3631186523669484E-2</v>
      </c>
      <c r="BC24" s="7">
        <v>3</v>
      </c>
      <c r="BD24" s="7"/>
      <c r="BE24" s="44">
        <f t="shared" si="22"/>
        <v>0.48722336487042411</v>
      </c>
      <c r="BF24" s="44">
        <f t="shared" si="23"/>
        <v>3.2459475669544329</v>
      </c>
      <c r="BG24" s="26">
        <f t="shared" si="24"/>
        <v>3</v>
      </c>
      <c r="BH24" s="44">
        <f t="shared" si="25"/>
        <v>0.63451762171035819</v>
      </c>
      <c r="BI24" s="44">
        <f t="shared" si="26"/>
        <v>3.0824535406786042</v>
      </c>
      <c r="BJ24" s="1">
        <f t="shared" si="27"/>
        <v>3</v>
      </c>
      <c r="BK24" s="1"/>
      <c r="BL24" s="1"/>
      <c r="BM24" s="1"/>
      <c r="BN24" s="1"/>
      <c r="BO24" s="1"/>
      <c r="BP24" s="1"/>
      <c r="BQ24" s="1"/>
      <c r="BR24" s="5" t="s">
        <v>158</v>
      </c>
    </row>
    <row r="25" spans="1:70" s="5" customFormat="1" x14ac:dyDescent="0.3">
      <c r="A25" s="4">
        <v>24</v>
      </c>
      <c r="B25" s="14" t="s">
        <v>49</v>
      </c>
      <c r="C25" s="5" t="s">
        <v>4</v>
      </c>
      <c r="D25" s="5" t="s">
        <v>23</v>
      </c>
      <c r="E25" s="8" t="s">
        <v>6</v>
      </c>
      <c r="F25" s="5" t="s">
        <v>7</v>
      </c>
      <c r="G25" s="5" t="s">
        <v>5</v>
      </c>
      <c r="H25" s="5" t="s">
        <v>9</v>
      </c>
      <c r="I25" s="5" t="s">
        <v>10</v>
      </c>
      <c r="J25" s="9" t="s">
        <v>46</v>
      </c>
      <c r="K25" s="5" t="s">
        <v>18</v>
      </c>
      <c r="L25" s="8">
        <v>0.9</v>
      </c>
      <c r="M25" s="8">
        <v>0</v>
      </c>
      <c r="N25" s="8">
        <v>0</v>
      </c>
      <c r="O25" s="5" t="s">
        <v>45</v>
      </c>
      <c r="P25" s="6">
        <v>57.133000000000003</v>
      </c>
      <c r="Q25" s="6">
        <v>14.75</v>
      </c>
      <c r="R25" s="7" t="s">
        <v>5</v>
      </c>
      <c r="S25" s="8">
        <v>5.6</v>
      </c>
      <c r="T25" s="8">
        <v>766.95984703632928</v>
      </c>
      <c r="U25" s="8" t="s">
        <v>6</v>
      </c>
      <c r="V25" s="4">
        <v>60</v>
      </c>
      <c r="W25" s="4" t="s">
        <v>5</v>
      </c>
      <c r="X25" s="5" t="s">
        <v>7</v>
      </c>
      <c r="Y25" s="5" t="s">
        <v>5</v>
      </c>
      <c r="Z25" s="5" t="s">
        <v>9</v>
      </c>
      <c r="AA25" s="5" t="s">
        <v>10</v>
      </c>
      <c r="AB25" s="9" t="s">
        <v>46</v>
      </c>
      <c r="AC25" s="5" t="s">
        <v>18</v>
      </c>
      <c r="AD25" s="10" t="s">
        <v>47</v>
      </c>
      <c r="AE25" s="7" t="s">
        <v>12</v>
      </c>
      <c r="AF25" s="7" t="s">
        <v>37</v>
      </c>
      <c r="AG25" s="5" t="s">
        <v>43</v>
      </c>
      <c r="AH25" s="5" t="s">
        <v>13</v>
      </c>
      <c r="AI25" s="4" t="s">
        <v>21</v>
      </c>
      <c r="AJ25" s="37">
        <v>1</v>
      </c>
      <c r="AK25" s="5">
        <f>0.5*SQRT(10)</f>
        <v>1.5811388300841898</v>
      </c>
      <c r="AL25" s="7">
        <v>10</v>
      </c>
      <c r="AM25" s="37">
        <v>2</v>
      </c>
      <c r="AN25" s="5">
        <f>0.9*SQRT(10)</f>
        <v>2.8460498941515415</v>
      </c>
      <c r="AO25" s="7">
        <v>10</v>
      </c>
      <c r="AP25" s="12" t="s">
        <v>226</v>
      </c>
      <c r="AQ25" s="34">
        <f t="shared" si="11"/>
        <v>0.86724642732659463</v>
      </c>
      <c r="AR25" s="34">
        <f t="shared" si="18"/>
        <v>1.581976766381149</v>
      </c>
      <c r="AS25" s="7">
        <v>4</v>
      </c>
      <c r="AT25" s="34">
        <f t="shared" si="3"/>
        <v>1.4158653846153841</v>
      </c>
      <c r="AU25" s="34">
        <f t="shared" si="4"/>
        <v>2.8488815541309287</v>
      </c>
      <c r="AV25" s="40">
        <v>4</v>
      </c>
      <c r="AW25" s="12" t="s">
        <v>194</v>
      </c>
      <c r="AX25" s="5">
        <v>0.13275357267340535</v>
      </c>
      <c r="AY25" s="5">
        <v>5.1482903664769923E-2</v>
      </c>
      <c r="AZ25" s="7">
        <v>3</v>
      </c>
      <c r="BA25" s="5">
        <v>0.58413461538461575</v>
      </c>
      <c r="BB25" s="5">
        <v>0.1269886194407028</v>
      </c>
      <c r="BC25" s="7">
        <v>3</v>
      </c>
      <c r="BD25" s="7"/>
      <c r="BE25" s="44">
        <f t="shared" si="22"/>
        <v>0.86724642732659463</v>
      </c>
      <c r="BF25" s="44">
        <f t="shared" si="23"/>
        <v>2.0935475642188339</v>
      </c>
      <c r="BG25" s="26">
        <f t="shared" ref="BG25:BG28" si="29">AZ25</f>
        <v>3</v>
      </c>
      <c r="BH25" s="44">
        <f t="shared" si="25"/>
        <v>0.70793269230769207</v>
      </c>
      <c r="BI25" s="44">
        <f t="shared" si="26"/>
        <v>1.7446770871607873</v>
      </c>
      <c r="BJ25" s="1">
        <f t="shared" ref="BJ25:BJ28" si="30">BC25</f>
        <v>3</v>
      </c>
      <c r="BK25" s="1"/>
      <c r="BL25" s="1"/>
      <c r="BM25" s="1"/>
      <c r="BN25" s="1"/>
      <c r="BO25" s="1"/>
      <c r="BP25" s="1"/>
      <c r="BQ25" s="1"/>
      <c r="BR25" s="5" t="s">
        <v>159</v>
      </c>
    </row>
    <row r="26" spans="1:70" s="5" customFormat="1" x14ac:dyDescent="0.3">
      <c r="A26" s="4">
        <v>25</v>
      </c>
      <c r="B26" s="14" t="s">
        <v>49</v>
      </c>
      <c r="C26" s="5" t="s">
        <v>4</v>
      </c>
      <c r="D26" s="5" t="s">
        <v>23</v>
      </c>
      <c r="E26" s="8" t="s">
        <v>6</v>
      </c>
      <c r="F26" s="5" t="s">
        <v>7</v>
      </c>
      <c r="G26" s="5" t="s">
        <v>5</v>
      </c>
      <c r="H26" s="5" t="s">
        <v>9</v>
      </c>
      <c r="I26" s="5" t="s">
        <v>10</v>
      </c>
      <c r="J26" s="9" t="s">
        <v>46</v>
      </c>
      <c r="K26" s="5" t="s">
        <v>18</v>
      </c>
      <c r="L26" s="8">
        <v>0.9</v>
      </c>
      <c r="M26" s="8">
        <v>0</v>
      </c>
      <c r="N26" s="8">
        <v>0</v>
      </c>
      <c r="O26" s="5" t="s">
        <v>45</v>
      </c>
      <c r="P26" s="6">
        <v>57.133000000000003</v>
      </c>
      <c r="Q26" s="6">
        <v>14.75</v>
      </c>
      <c r="R26" s="7" t="s">
        <v>5</v>
      </c>
      <c r="S26" s="8">
        <v>5.6</v>
      </c>
      <c r="T26" s="8">
        <v>789.59847036328836</v>
      </c>
      <c r="U26" s="8" t="s">
        <v>6</v>
      </c>
      <c r="V26" s="4">
        <v>61</v>
      </c>
      <c r="W26" s="4" t="s">
        <v>5</v>
      </c>
      <c r="X26" s="5" t="s">
        <v>7</v>
      </c>
      <c r="Y26" s="5" t="s">
        <v>5</v>
      </c>
      <c r="Z26" s="5" t="s">
        <v>9</v>
      </c>
      <c r="AA26" s="5" t="s">
        <v>10</v>
      </c>
      <c r="AB26" s="9" t="s">
        <v>46</v>
      </c>
      <c r="AC26" s="5" t="s">
        <v>18</v>
      </c>
      <c r="AD26" s="10" t="s">
        <v>48</v>
      </c>
      <c r="AE26" s="7" t="s">
        <v>12</v>
      </c>
      <c r="AF26" s="7" t="s">
        <v>37</v>
      </c>
      <c r="AG26" s="5" t="s">
        <v>43</v>
      </c>
      <c r="AH26" s="5" t="s">
        <v>13</v>
      </c>
      <c r="AI26" s="4" t="s">
        <v>21</v>
      </c>
      <c r="AJ26" s="37">
        <v>1</v>
      </c>
      <c r="AK26" s="5">
        <f>0.5*SQRT(10)</f>
        <v>1.5811388300841898</v>
      </c>
      <c r="AL26" s="7">
        <v>10</v>
      </c>
      <c r="AM26" s="37">
        <v>2</v>
      </c>
      <c r="AN26" s="5">
        <f>1.4*SQRT(10)</f>
        <v>4.4271887242357311</v>
      </c>
      <c r="AO26" s="7">
        <v>10</v>
      </c>
      <c r="AP26" s="12" t="s">
        <v>226</v>
      </c>
      <c r="AQ26" s="34">
        <f t="shared" si="11"/>
        <v>0.86724642732659463</v>
      </c>
      <c r="AR26" s="34">
        <f t="shared" si="18"/>
        <v>1.5817792516751568</v>
      </c>
      <c r="AS26" s="7">
        <v>4</v>
      </c>
      <c r="AT26" s="34">
        <f t="shared" si="3"/>
        <v>1.3852678571428574</v>
      </c>
      <c r="AU26" s="34">
        <f t="shared" si="4"/>
        <v>4.4326965086213779</v>
      </c>
      <c r="AV26" s="40">
        <v>4</v>
      </c>
      <c r="AW26" s="12" t="s">
        <v>194</v>
      </c>
      <c r="AX26" s="5">
        <v>0.13275357267340535</v>
      </c>
      <c r="AY26" s="5">
        <v>4.5006677615871411E-2</v>
      </c>
      <c r="AZ26" s="7">
        <v>3</v>
      </c>
      <c r="BA26" s="5">
        <v>0.61473214285714262</v>
      </c>
      <c r="BB26" s="5">
        <v>0.22090345751968726</v>
      </c>
      <c r="BC26" s="7">
        <v>3</v>
      </c>
      <c r="BD26" s="7"/>
      <c r="BE26" s="44">
        <f t="shared" si="22"/>
        <v>0.86724642732659463</v>
      </c>
      <c r="BF26" s="44">
        <f t="shared" si="23"/>
        <v>2.093398317403278</v>
      </c>
      <c r="BG26" s="26">
        <f t="shared" si="29"/>
        <v>3</v>
      </c>
      <c r="BH26" s="44">
        <f t="shared" si="25"/>
        <v>0.69263392857142869</v>
      </c>
      <c r="BI26" s="44">
        <f t="shared" si="26"/>
        <v>2.6949831545905187</v>
      </c>
      <c r="BJ26" s="1">
        <f t="shared" si="30"/>
        <v>3</v>
      </c>
      <c r="BK26" s="1"/>
      <c r="BL26" s="1"/>
      <c r="BM26" s="1"/>
      <c r="BN26" s="1"/>
      <c r="BO26" s="1"/>
      <c r="BP26" s="1"/>
      <c r="BQ26" s="1"/>
      <c r="BR26" s="5" t="s">
        <v>159</v>
      </c>
    </row>
    <row r="27" spans="1:70" s="5" customFormat="1" x14ac:dyDescent="0.3">
      <c r="A27" s="4">
        <v>26</v>
      </c>
      <c r="B27" s="14" t="s">
        <v>49</v>
      </c>
      <c r="C27" s="5" t="s">
        <v>4</v>
      </c>
      <c r="D27" s="5" t="s">
        <v>23</v>
      </c>
      <c r="E27" s="8" t="s">
        <v>6</v>
      </c>
      <c r="F27" s="5" t="s">
        <v>7</v>
      </c>
      <c r="G27" s="5" t="s">
        <v>5</v>
      </c>
      <c r="H27" s="5" t="s">
        <v>9</v>
      </c>
      <c r="I27" s="5" t="s">
        <v>10</v>
      </c>
      <c r="J27" s="9" t="s">
        <v>46</v>
      </c>
      <c r="K27" s="5" t="s">
        <v>18</v>
      </c>
      <c r="L27" s="8">
        <v>0.9</v>
      </c>
      <c r="M27" s="8">
        <v>0</v>
      </c>
      <c r="N27" s="8">
        <v>0</v>
      </c>
      <c r="O27" s="5" t="s">
        <v>45</v>
      </c>
      <c r="P27" s="6">
        <v>57.133000000000003</v>
      </c>
      <c r="Q27" s="6">
        <v>14.75</v>
      </c>
      <c r="R27" s="7" t="s">
        <v>5</v>
      </c>
      <c r="S27" s="8">
        <v>5.6</v>
      </c>
      <c r="T27" s="8">
        <v>766.95984703632928</v>
      </c>
      <c r="U27" s="8" t="s">
        <v>6</v>
      </c>
      <c r="V27" s="4">
        <v>20</v>
      </c>
      <c r="W27" s="4" t="s">
        <v>5</v>
      </c>
      <c r="X27" s="5" t="s">
        <v>7</v>
      </c>
      <c r="Y27" s="5" t="s">
        <v>5</v>
      </c>
      <c r="Z27" s="5" t="s">
        <v>9</v>
      </c>
      <c r="AA27" s="5" t="s">
        <v>10</v>
      </c>
      <c r="AB27" s="9" t="s">
        <v>46</v>
      </c>
      <c r="AC27" s="5" t="s">
        <v>18</v>
      </c>
      <c r="AD27" s="10" t="s">
        <v>47</v>
      </c>
      <c r="AE27" s="7" t="s">
        <v>12</v>
      </c>
      <c r="AF27" s="7" t="s">
        <v>37</v>
      </c>
      <c r="AG27" s="5" t="s">
        <v>43</v>
      </c>
      <c r="AH27" s="5" t="s">
        <v>13</v>
      </c>
      <c r="AI27" s="4" t="s">
        <v>21</v>
      </c>
      <c r="AJ27" s="37">
        <v>1</v>
      </c>
      <c r="AK27" s="5">
        <f>0.5*SQRT(10)</f>
        <v>1.5811388300841898</v>
      </c>
      <c r="AL27" s="7">
        <v>10</v>
      </c>
      <c r="AM27" s="37">
        <v>11</v>
      </c>
      <c r="AN27" s="5">
        <f>4.4*SQRT(10)</f>
        <v>13.914021704740872</v>
      </c>
      <c r="AO27" s="7">
        <v>10</v>
      </c>
      <c r="AP27" s="12" t="s">
        <v>226</v>
      </c>
      <c r="AQ27" s="34">
        <f t="shared" si="11"/>
        <v>0.86724642732659463</v>
      </c>
      <c r="AR27" s="34">
        <f t="shared" si="18"/>
        <v>1.581976766381149</v>
      </c>
      <c r="AS27" s="7">
        <v>4</v>
      </c>
      <c r="AT27" s="34">
        <f t="shared" si="3"/>
        <v>7.3904509283819637</v>
      </c>
      <c r="AU27" s="34">
        <f t="shared" si="4"/>
        <v>13.958685878465761</v>
      </c>
      <c r="AV27" s="40">
        <v>4</v>
      </c>
      <c r="AW27" s="12" t="s">
        <v>194</v>
      </c>
      <c r="AX27" s="5">
        <v>0.13275357267340535</v>
      </c>
      <c r="AY27" s="5">
        <v>5.1482903664769923E-2</v>
      </c>
      <c r="AZ27" s="7">
        <v>3</v>
      </c>
      <c r="BA27" s="5">
        <v>3.6095490716180363</v>
      </c>
      <c r="BB27" s="5">
        <v>1.1157560009605165</v>
      </c>
      <c r="BC27" s="7">
        <v>3</v>
      </c>
      <c r="BD27" s="7"/>
      <c r="BE27" s="44">
        <f t="shared" si="22"/>
        <v>0.86724642732659463</v>
      </c>
      <c r="BF27" s="44">
        <f t="shared" si="23"/>
        <v>2.0935475642188339</v>
      </c>
      <c r="BG27" s="26">
        <f t="shared" si="29"/>
        <v>3</v>
      </c>
      <c r="BH27" s="44">
        <f t="shared" si="25"/>
        <v>0.67185917530745121</v>
      </c>
      <c r="BI27" s="44">
        <f t="shared" si="26"/>
        <v>1.527259024108965</v>
      </c>
      <c r="BJ27" s="1">
        <f t="shared" si="30"/>
        <v>3</v>
      </c>
      <c r="BK27" s="1"/>
      <c r="BL27" s="1"/>
      <c r="BM27" s="1"/>
      <c r="BN27" s="1"/>
      <c r="BO27" s="1"/>
      <c r="BP27" s="1"/>
      <c r="BQ27" s="1"/>
      <c r="BR27" s="5" t="s">
        <v>159</v>
      </c>
    </row>
    <row r="28" spans="1:70" s="5" customFormat="1" x14ac:dyDescent="0.3">
      <c r="A28" s="4">
        <v>27</v>
      </c>
      <c r="B28" s="14" t="s">
        <v>49</v>
      </c>
      <c r="C28" s="5" t="s">
        <v>4</v>
      </c>
      <c r="D28" s="5" t="s">
        <v>23</v>
      </c>
      <c r="E28" s="8" t="s">
        <v>6</v>
      </c>
      <c r="F28" s="5" t="s">
        <v>7</v>
      </c>
      <c r="G28" s="5" t="s">
        <v>5</v>
      </c>
      <c r="H28" s="5" t="s">
        <v>9</v>
      </c>
      <c r="I28" s="5" t="s">
        <v>10</v>
      </c>
      <c r="J28" s="9" t="s">
        <v>46</v>
      </c>
      <c r="K28" s="5" t="s">
        <v>18</v>
      </c>
      <c r="L28" s="8">
        <v>0.9</v>
      </c>
      <c r="M28" s="8">
        <v>0</v>
      </c>
      <c r="N28" s="8">
        <v>0</v>
      </c>
      <c r="O28" s="5" t="s">
        <v>45</v>
      </c>
      <c r="P28" s="6">
        <v>57.133000000000003</v>
      </c>
      <c r="Q28" s="6">
        <v>14.75</v>
      </c>
      <c r="R28" s="7" t="s">
        <v>5</v>
      </c>
      <c r="S28" s="8">
        <v>5.6</v>
      </c>
      <c r="T28" s="8">
        <v>789.59847036328836</v>
      </c>
      <c r="U28" s="8" t="s">
        <v>6</v>
      </c>
      <c r="V28" s="4">
        <v>21</v>
      </c>
      <c r="W28" s="4" t="s">
        <v>5</v>
      </c>
      <c r="X28" s="5" t="s">
        <v>7</v>
      </c>
      <c r="Y28" s="5" t="s">
        <v>5</v>
      </c>
      <c r="Z28" s="5" t="s">
        <v>9</v>
      </c>
      <c r="AA28" s="5" t="s">
        <v>10</v>
      </c>
      <c r="AB28" s="9" t="s">
        <v>46</v>
      </c>
      <c r="AC28" s="5" t="s">
        <v>18</v>
      </c>
      <c r="AD28" s="10" t="s">
        <v>48</v>
      </c>
      <c r="AE28" s="7" t="s">
        <v>12</v>
      </c>
      <c r="AF28" s="7" t="s">
        <v>37</v>
      </c>
      <c r="AG28" s="5" t="s">
        <v>43</v>
      </c>
      <c r="AH28" s="5" t="s">
        <v>13</v>
      </c>
      <c r="AI28" s="4" t="s">
        <v>21</v>
      </c>
      <c r="AJ28" s="37">
        <v>1</v>
      </c>
      <c r="AK28" s="5">
        <f>0.5*SQRT(10)</f>
        <v>1.5811388300841898</v>
      </c>
      <c r="AL28" s="7">
        <v>10</v>
      </c>
      <c r="AM28" s="37">
        <v>6</v>
      </c>
      <c r="AN28" s="5">
        <f>2.7*SQRT(10)</f>
        <v>8.538149682454625</v>
      </c>
      <c r="AO28" s="7">
        <v>10</v>
      </c>
      <c r="AP28" s="12" t="s">
        <v>226</v>
      </c>
      <c r="AQ28" s="34">
        <f t="shared" si="11"/>
        <v>0.86724642732659463</v>
      </c>
      <c r="AR28" s="34">
        <f t="shared" si="18"/>
        <v>1.5817792516751568</v>
      </c>
      <c r="AS28" s="5" t="s">
        <v>5</v>
      </c>
      <c r="AT28" s="34">
        <f t="shared" si="3"/>
        <v>2.4730223123732236</v>
      </c>
      <c r="AU28" s="34">
        <f t="shared" si="4"/>
        <v>8.5846711860666911</v>
      </c>
      <c r="AV28" s="40" t="s">
        <v>5</v>
      </c>
      <c r="AW28" s="12" t="s">
        <v>194</v>
      </c>
      <c r="AX28" s="5">
        <v>0.13275357267340535</v>
      </c>
      <c r="AY28" s="5">
        <v>4.5006677615871411E-2</v>
      </c>
      <c r="AZ28" s="7">
        <v>3</v>
      </c>
      <c r="BA28" s="5">
        <v>3.5269776876267764</v>
      </c>
      <c r="BB28" s="5">
        <v>0.8925129539024399</v>
      </c>
      <c r="BC28" s="7">
        <v>3</v>
      </c>
      <c r="BD28" s="7"/>
      <c r="BE28" s="44">
        <f t="shared" si="22"/>
        <v>0.86724642732659463</v>
      </c>
      <c r="BF28" s="44">
        <f t="shared" si="23"/>
        <v>2.093398317403278</v>
      </c>
      <c r="BG28" s="26">
        <f t="shared" si="29"/>
        <v>3</v>
      </c>
      <c r="BH28" s="44">
        <f t="shared" si="25"/>
        <v>0.41217038539553724</v>
      </c>
      <c r="BI28" s="44">
        <f t="shared" si="26"/>
        <v>1.5463321663411984</v>
      </c>
      <c r="BJ28" s="1">
        <f t="shared" si="30"/>
        <v>3</v>
      </c>
      <c r="BK28" s="1"/>
      <c r="BL28" s="1"/>
      <c r="BM28" s="1"/>
      <c r="BN28" s="1"/>
      <c r="BO28" s="1"/>
      <c r="BP28" s="1"/>
      <c r="BQ28" s="1"/>
      <c r="BR28" s="5" t="s">
        <v>159</v>
      </c>
    </row>
    <row r="29" spans="1:70" s="5" customFormat="1" x14ac:dyDescent="0.3">
      <c r="A29" s="4">
        <v>28</v>
      </c>
      <c r="B29" s="14" t="s">
        <v>53</v>
      </c>
      <c r="C29" s="5" t="s">
        <v>4</v>
      </c>
      <c r="D29" s="5" t="s">
        <v>253</v>
      </c>
      <c r="E29" s="8" t="s">
        <v>16</v>
      </c>
      <c r="F29" s="5" t="s">
        <v>55</v>
      </c>
      <c r="G29" s="5" t="s">
        <v>211</v>
      </c>
      <c r="H29" s="5" t="s">
        <v>9</v>
      </c>
      <c r="I29" s="5" t="s">
        <v>10</v>
      </c>
      <c r="J29" s="9" t="s">
        <v>56</v>
      </c>
      <c r="K29" s="5" t="s">
        <v>18</v>
      </c>
      <c r="L29" s="8" t="s">
        <v>5</v>
      </c>
      <c r="M29" s="8">
        <v>0</v>
      </c>
      <c r="N29" s="8">
        <v>0</v>
      </c>
      <c r="O29" s="5" t="s">
        <v>54</v>
      </c>
      <c r="P29" s="6">
        <v>34.267000000000003</v>
      </c>
      <c r="Q29" s="6">
        <v>102.43300000000001</v>
      </c>
      <c r="R29" s="7">
        <v>3430</v>
      </c>
      <c r="S29" s="8">
        <v>2.9</v>
      </c>
      <c r="T29" s="8">
        <v>592.6</v>
      </c>
      <c r="U29" s="8" t="s">
        <v>16</v>
      </c>
      <c r="V29" s="4" t="s">
        <v>5</v>
      </c>
      <c r="W29" s="4" t="s">
        <v>5</v>
      </c>
      <c r="X29" s="5" t="s">
        <v>55</v>
      </c>
      <c r="Y29" s="5" t="s">
        <v>211</v>
      </c>
      <c r="Z29" s="5" t="s">
        <v>9</v>
      </c>
      <c r="AA29" s="5" t="s">
        <v>10</v>
      </c>
      <c r="AB29" s="9" t="s">
        <v>56</v>
      </c>
      <c r="AC29" s="5" t="s">
        <v>18</v>
      </c>
      <c r="AD29" s="10" t="s">
        <v>57</v>
      </c>
      <c r="AE29" s="7" t="s">
        <v>12</v>
      </c>
      <c r="AF29" s="5" t="s">
        <v>5</v>
      </c>
      <c r="AG29" s="5" t="s">
        <v>43</v>
      </c>
      <c r="AH29" s="5" t="s">
        <v>13</v>
      </c>
      <c r="AI29" s="5" t="s">
        <v>21</v>
      </c>
      <c r="AJ29" s="37">
        <f>SUM(-88.6,23.35)*10^4/10^6</f>
        <v>-0.65249999999999997</v>
      </c>
      <c r="AK29" s="5">
        <f>SQRT(9.22^2+1.27^2)*10^4/10^6</f>
        <v>9.3070564627061342E-2</v>
      </c>
      <c r="AL29" s="7">
        <v>4</v>
      </c>
      <c r="AM29" s="37">
        <f>SUM(42.79,23.44)*10^4/10^6</f>
        <v>0.6623</v>
      </c>
      <c r="AN29" s="5">
        <f>SQRT(5.95^2+1.46^2)*10^4/10^6</f>
        <v>6.1265079776329362E-2</v>
      </c>
      <c r="AO29" s="7">
        <v>4</v>
      </c>
      <c r="AP29" s="12" t="s">
        <v>226</v>
      </c>
      <c r="AQ29" s="34">
        <f t="shared" si="11"/>
        <v>0.23350000000000004</v>
      </c>
      <c r="AR29" s="34">
        <f t="shared" si="18"/>
        <v>0.13100751886819323</v>
      </c>
      <c r="AS29" s="7">
        <v>3</v>
      </c>
      <c r="AT29" s="34">
        <f t="shared" si="3"/>
        <v>0.2344</v>
      </c>
      <c r="AU29" s="34">
        <f t="shared" si="4"/>
        <v>6.298071133291526E-2</v>
      </c>
      <c r="AV29" s="40">
        <v>3</v>
      </c>
      <c r="AW29" s="12" t="s">
        <v>194</v>
      </c>
      <c r="AX29" s="5">
        <v>-0.88600000000000001</v>
      </c>
      <c r="AY29" s="5">
        <v>9.2200000000000004E-2</v>
      </c>
      <c r="AZ29" s="7">
        <v>4</v>
      </c>
      <c r="BA29" s="5">
        <v>0.4279</v>
      </c>
      <c r="BB29" s="5">
        <v>1.46E-2</v>
      </c>
      <c r="BC29" s="7">
        <v>4</v>
      </c>
      <c r="BD29" s="7"/>
      <c r="BE29" s="44">
        <f t="shared" si="22"/>
        <v>-0.35785440613026825</v>
      </c>
      <c r="BF29" s="44">
        <f t="shared" si="23"/>
        <v>0.2071645230843619</v>
      </c>
      <c r="BG29" s="26">
        <f t="shared" ref="BG29:BG34" si="31">AZ29</f>
        <v>4</v>
      </c>
      <c r="BH29" s="44">
        <f t="shared" si="25"/>
        <v>0.35391816397402986</v>
      </c>
      <c r="BI29" s="44">
        <f t="shared" si="26"/>
        <v>0.10057174952367284</v>
      </c>
      <c r="BJ29" s="1">
        <f t="shared" ref="BJ29:BJ34" si="32">BC29</f>
        <v>4</v>
      </c>
      <c r="BK29" s="1"/>
      <c r="BL29" s="44">
        <f>AX29/AJ29</f>
        <v>1.3578544061302682</v>
      </c>
      <c r="BM29" s="44">
        <f>SQRT((1/AJ29)^2*AY29^2+((-AX29/AJ29^2)^2*AK29^2))</f>
        <v>0.23974660708822906</v>
      </c>
      <c r="BN29" s="26">
        <v>4</v>
      </c>
      <c r="BO29" s="44">
        <f>BA29/AM29</f>
        <v>0.64608183602597014</v>
      </c>
      <c r="BP29" s="44">
        <f>SQRT((1/AM29)^2*BB29^2+((-BA29/AM29^2)^2*AN29^2))</f>
        <v>6.3700797247285987E-2</v>
      </c>
      <c r="BQ29" s="1">
        <v>4</v>
      </c>
      <c r="BR29" s="5" t="s">
        <v>157</v>
      </c>
    </row>
    <row r="30" spans="1:70" s="5" customFormat="1" x14ac:dyDescent="0.3">
      <c r="A30" s="4">
        <v>29</v>
      </c>
      <c r="B30" s="14" t="s">
        <v>53</v>
      </c>
      <c r="C30" s="5" t="s">
        <v>4</v>
      </c>
      <c r="D30" s="5" t="s">
        <v>253</v>
      </c>
      <c r="E30" s="8" t="s">
        <v>16</v>
      </c>
      <c r="F30" s="5" t="s">
        <v>55</v>
      </c>
      <c r="G30" s="5" t="s">
        <v>211</v>
      </c>
      <c r="H30" s="5" t="s">
        <v>9</v>
      </c>
      <c r="I30" s="5" t="s">
        <v>10</v>
      </c>
      <c r="J30" s="9" t="s">
        <v>56</v>
      </c>
      <c r="K30" s="5" t="s">
        <v>18</v>
      </c>
      <c r="L30" s="8" t="s">
        <v>5</v>
      </c>
      <c r="M30" s="8">
        <v>0</v>
      </c>
      <c r="N30" s="8">
        <v>0</v>
      </c>
      <c r="O30" s="5" t="s">
        <v>54</v>
      </c>
      <c r="P30" s="6">
        <v>34.267000000000003</v>
      </c>
      <c r="Q30" s="6">
        <v>102.43300000000001</v>
      </c>
      <c r="R30" s="7">
        <v>3430</v>
      </c>
      <c r="S30" s="8">
        <v>2.9</v>
      </c>
      <c r="T30" s="8">
        <v>592.6</v>
      </c>
      <c r="U30" s="8" t="s">
        <v>16</v>
      </c>
      <c r="V30" s="4" t="s">
        <v>5</v>
      </c>
      <c r="W30" s="4" t="s">
        <v>5</v>
      </c>
      <c r="X30" s="5" t="s">
        <v>55</v>
      </c>
      <c r="Y30" s="5" t="s">
        <v>211</v>
      </c>
      <c r="Z30" s="5" t="s">
        <v>9</v>
      </c>
      <c r="AA30" s="5" t="s">
        <v>10</v>
      </c>
      <c r="AB30" s="9" t="s">
        <v>56</v>
      </c>
      <c r="AC30" s="5" t="s">
        <v>18</v>
      </c>
      <c r="AD30" s="10" t="s">
        <v>57</v>
      </c>
      <c r="AE30" s="7" t="s">
        <v>12</v>
      </c>
      <c r="AF30" s="5" t="s">
        <v>5</v>
      </c>
      <c r="AG30" s="5" t="s">
        <v>43</v>
      </c>
      <c r="AH30" s="5" t="s">
        <v>13</v>
      </c>
      <c r="AI30" s="5" t="s">
        <v>21</v>
      </c>
      <c r="AJ30" s="37">
        <f t="shared" ref="AJ30:AJ31" si="33">SUM(-88.6,23.35)*10^4/10^6</f>
        <v>-0.65249999999999997</v>
      </c>
      <c r="AK30" s="5">
        <f t="shared" ref="AK30:AK31" si="34">SQRT(9.22^2+1.27^2)*10^4/10^6</f>
        <v>9.3070564627061342E-2</v>
      </c>
      <c r="AL30" s="7">
        <v>4</v>
      </c>
      <c r="AM30" s="37">
        <f>SUM(26.42,-13.95)*10^4/10^6</f>
        <v>0.12470000000000003</v>
      </c>
      <c r="AN30" s="5">
        <f>SQRT(2.56^2+3.26^2)*10^4/10^6</f>
        <v>4.1450211097170543E-2</v>
      </c>
      <c r="AO30" s="7">
        <v>4</v>
      </c>
      <c r="AP30" s="12" t="s">
        <v>226</v>
      </c>
      <c r="AQ30" s="34">
        <f t="shared" si="11"/>
        <v>0.23350000000000004</v>
      </c>
      <c r="AR30" s="34">
        <f t="shared" si="18"/>
        <v>0.13100751886819323</v>
      </c>
      <c r="AS30" s="7">
        <v>6</v>
      </c>
      <c r="AT30" s="34">
        <f t="shared" si="3"/>
        <v>-0.13949999999999996</v>
      </c>
      <c r="AU30" s="34">
        <f t="shared" si="4"/>
        <v>5.273404972121902E-2</v>
      </c>
      <c r="AV30" s="40">
        <v>6</v>
      </c>
      <c r="AW30" s="12" t="s">
        <v>194</v>
      </c>
      <c r="AX30" s="5">
        <v>-0.88600000000000001</v>
      </c>
      <c r="AY30" s="5">
        <v>9.2200000000000004E-2</v>
      </c>
      <c r="AZ30" s="7">
        <v>4</v>
      </c>
      <c r="BA30" s="5">
        <v>0.26419999999999999</v>
      </c>
      <c r="BB30" s="5">
        <v>3.2599999999999997E-2</v>
      </c>
      <c r="BC30" s="7">
        <v>4</v>
      </c>
      <c r="BD30" s="7"/>
      <c r="BE30" s="44">
        <f t="shared" si="22"/>
        <v>-0.35785440613026825</v>
      </c>
      <c r="BF30" s="44">
        <f t="shared" si="23"/>
        <v>0.2071645230843619</v>
      </c>
      <c r="BG30" s="26">
        <f t="shared" si="31"/>
        <v>4</v>
      </c>
      <c r="BH30" s="44">
        <f t="shared" si="25"/>
        <v>-1.1186848436246986</v>
      </c>
      <c r="BI30" s="44">
        <f t="shared" si="26"/>
        <v>0.56312190567143028</v>
      </c>
      <c r="BJ30" s="1">
        <f t="shared" si="32"/>
        <v>4</v>
      </c>
      <c r="BK30" s="1"/>
      <c r="BL30" s="44">
        <f t="shared" ref="BL30:BL34" si="35">AX30/AJ30</f>
        <v>1.3578544061302682</v>
      </c>
      <c r="BM30" s="44">
        <f t="shared" ref="BM30:BM34" si="36">SQRT((1/AJ30)^2*AY30^2+((-AX30/AJ30^2)^2*AK30^2))</f>
        <v>0.23974660708822906</v>
      </c>
      <c r="BN30" s="26">
        <v>4</v>
      </c>
      <c r="BO30" s="44">
        <f t="shared" ref="BO30:BO34" si="37">BA30/AM30</f>
        <v>2.1186848436246986</v>
      </c>
      <c r="BP30" s="44">
        <f t="shared" ref="BP30:BP34" si="38">SQRT((1/AM30)^2*BB30^2+((-BA30/AM30^2)^2*AN30^2))</f>
        <v>0.75120696120329689</v>
      </c>
      <c r="BQ30" s="1">
        <v>4</v>
      </c>
      <c r="BR30" s="5" t="s">
        <v>157</v>
      </c>
    </row>
    <row r="31" spans="1:70" s="5" customFormat="1" x14ac:dyDescent="0.3">
      <c r="A31" s="4">
        <v>30</v>
      </c>
      <c r="B31" s="14" t="s">
        <v>53</v>
      </c>
      <c r="C31" s="5" t="s">
        <v>4</v>
      </c>
      <c r="D31" s="5" t="s">
        <v>253</v>
      </c>
      <c r="E31" s="8" t="s">
        <v>16</v>
      </c>
      <c r="F31" s="5" t="s">
        <v>55</v>
      </c>
      <c r="G31" s="5" t="s">
        <v>211</v>
      </c>
      <c r="H31" s="5" t="s">
        <v>9</v>
      </c>
      <c r="I31" s="5" t="s">
        <v>10</v>
      </c>
      <c r="J31" s="9" t="s">
        <v>56</v>
      </c>
      <c r="K31" s="5" t="s">
        <v>18</v>
      </c>
      <c r="L31" s="8" t="s">
        <v>5</v>
      </c>
      <c r="M31" s="8">
        <v>0</v>
      </c>
      <c r="N31" s="8">
        <v>0</v>
      </c>
      <c r="O31" s="5" t="s">
        <v>54</v>
      </c>
      <c r="P31" s="6">
        <v>34.267000000000003</v>
      </c>
      <c r="Q31" s="6">
        <v>102.43300000000001</v>
      </c>
      <c r="R31" s="7">
        <v>3430</v>
      </c>
      <c r="S31" s="8">
        <v>2.9</v>
      </c>
      <c r="T31" s="8">
        <v>592.6</v>
      </c>
      <c r="U31" s="8" t="s">
        <v>16</v>
      </c>
      <c r="V31" s="4" t="s">
        <v>5</v>
      </c>
      <c r="W31" s="4" t="s">
        <v>5</v>
      </c>
      <c r="X31" s="5" t="s">
        <v>55</v>
      </c>
      <c r="Y31" s="5" t="s">
        <v>211</v>
      </c>
      <c r="Z31" s="5" t="s">
        <v>9</v>
      </c>
      <c r="AA31" s="5" t="s">
        <v>10</v>
      </c>
      <c r="AB31" s="9" t="s">
        <v>56</v>
      </c>
      <c r="AC31" s="5" t="s">
        <v>18</v>
      </c>
      <c r="AD31" s="10" t="s">
        <v>57</v>
      </c>
      <c r="AE31" s="7" t="s">
        <v>12</v>
      </c>
      <c r="AF31" s="5" t="s">
        <v>5</v>
      </c>
      <c r="AG31" s="5" t="s">
        <v>43</v>
      </c>
      <c r="AH31" s="5" t="s">
        <v>13</v>
      </c>
      <c r="AI31" s="5" t="s">
        <v>21</v>
      </c>
      <c r="AJ31" s="37">
        <f t="shared" si="33"/>
        <v>-0.65249999999999997</v>
      </c>
      <c r="AK31" s="5">
        <f t="shared" si="34"/>
        <v>9.3070564627061342E-2</v>
      </c>
      <c r="AL31" s="7">
        <v>4</v>
      </c>
      <c r="AM31" s="37">
        <f>SUM(25.79,16.24)*10^4/10^6</f>
        <v>0.42030000000000001</v>
      </c>
      <c r="AN31" s="5">
        <f>SQRT(1.28^2+2.46^2)*10^4/10^6</f>
        <v>2.773084924772409E-2</v>
      </c>
      <c r="AO31" s="7">
        <v>4</v>
      </c>
      <c r="AP31" s="12" t="s">
        <v>226</v>
      </c>
      <c r="AQ31" s="34">
        <f t="shared" si="11"/>
        <v>0.23350000000000004</v>
      </c>
      <c r="AR31" s="34">
        <f t="shared" si="18"/>
        <v>0.13100751886819323</v>
      </c>
      <c r="AS31" s="7">
        <v>6</v>
      </c>
      <c r="AT31" s="34">
        <f t="shared" si="3"/>
        <v>0.16239999999999999</v>
      </c>
      <c r="AU31" s="34">
        <f t="shared" si="4"/>
        <v>3.7069664147386064E-2</v>
      </c>
      <c r="AV31" s="40">
        <v>6</v>
      </c>
      <c r="AW31" s="12" t="s">
        <v>194</v>
      </c>
      <c r="AX31" s="5">
        <v>-0.88600000000000001</v>
      </c>
      <c r="AY31" s="5">
        <v>9.2200000000000004E-2</v>
      </c>
      <c r="AZ31" s="7">
        <v>4</v>
      </c>
      <c r="BA31" s="5">
        <v>0.25790000000000002</v>
      </c>
      <c r="BB31" s="5">
        <v>2.46E-2</v>
      </c>
      <c r="BC31" s="7">
        <v>4</v>
      </c>
      <c r="BD31" s="7"/>
      <c r="BE31" s="44">
        <f t="shared" si="22"/>
        <v>-0.35785440613026825</v>
      </c>
      <c r="BF31" s="44">
        <f t="shared" si="23"/>
        <v>0.2071645230843619</v>
      </c>
      <c r="BG31" s="26">
        <f t="shared" si="31"/>
        <v>4</v>
      </c>
      <c r="BH31" s="44">
        <f t="shared" si="25"/>
        <v>0.3863906733285748</v>
      </c>
      <c r="BI31" s="44">
        <f t="shared" si="26"/>
        <v>9.1808645413279308E-2</v>
      </c>
      <c r="BJ31" s="1">
        <f t="shared" si="32"/>
        <v>4</v>
      </c>
      <c r="BK31" s="1"/>
      <c r="BL31" s="44">
        <f t="shared" si="35"/>
        <v>1.3578544061302682</v>
      </c>
      <c r="BM31" s="44">
        <f t="shared" si="36"/>
        <v>0.23974660708822906</v>
      </c>
      <c r="BN31" s="26">
        <v>4</v>
      </c>
      <c r="BO31" s="44">
        <f t="shared" si="37"/>
        <v>0.6136093266714252</v>
      </c>
      <c r="BP31" s="44">
        <f t="shared" si="38"/>
        <v>7.1167154156009008E-2</v>
      </c>
      <c r="BQ31" s="1">
        <v>4</v>
      </c>
      <c r="BR31" s="5" t="s">
        <v>157</v>
      </c>
    </row>
    <row r="32" spans="1:70" s="5" customFormat="1" x14ac:dyDescent="0.3">
      <c r="A32" s="4">
        <v>31</v>
      </c>
      <c r="B32" s="14" t="s">
        <v>53</v>
      </c>
      <c r="C32" s="5" t="s">
        <v>4</v>
      </c>
      <c r="D32" s="5" t="s">
        <v>253</v>
      </c>
      <c r="E32" s="8" t="s">
        <v>16</v>
      </c>
      <c r="F32" s="5" t="s">
        <v>55</v>
      </c>
      <c r="G32" s="5" t="s">
        <v>211</v>
      </c>
      <c r="H32" s="5" t="s">
        <v>9</v>
      </c>
      <c r="I32" s="5" t="s">
        <v>10</v>
      </c>
      <c r="J32" s="9" t="s">
        <v>56</v>
      </c>
      <c r="K32" s="5" t="s">
        <v>18</v>
      </c>
      <c r="L32" s="8" t="s">
        <v>5</v>
      </c>
      <c r="M32" s="8">
        <v>0</v>
      </c>
      <c r="N32" s="8">
        <v>0</v>
      </c>
      <c r="O32" s="5" t="s">
        <v>54</v>
      </c>
      <c r="P32" s="6">
        <v>34.267000000000003</v>
      </c>
      <c r="Q32" s="6">
        <v>102.43300000000001</v>
      </c>
      <c r="R32" s="7">
        <v>3430</v>
      </c>
      <c r="S32" s="8">
        <v>2.9</v>
      </c>
      <c r="T32" s="8">
        <v>592.6</v>
      </c>
      <c r="U32" s="8" t="s">
        <v>16</v>
      </c>
      <c r="V32" s="4" t="s">
        <v>5</v>
      </c>
      <c r="W32" s="4" t="s">
        <v>5</v>
      </c>
      <c r="X32" s="5" t="s">
        <v>55</v>
      </c>
      <c r="Y32" s="5" t="s">
        <v>211</v>
      </c>
      <c r="Z32" s="5" t="s">
        <v>9</v>
      </c>
      <c r="AA32" s="5" t="s">
        <v>10</v>
      </c>
      <c r="AB32" s="9" t="s">
        <v>56</v>
      </c>
      <c r="AC32" s="5" t="s">
        <v>18</v>
      </c>
      <c r="AD32" s="10" t="s">
        <v>58</v>
      </c>
      <c r="AE32" s="7" t="s">
        <v>12</v>
      </c>
      <c r="AF32" s="5" t="s">
        <v>5</v>
      </c>
      <c r="AG32" s="5" t="s">
        <v>43</v>
      </c>
      <c r="AH32" s="5" t="s">
        <v>13</v>
      </c>
      <c r="AI32" s="5" t="s">
        <v>21</v>
      </c>
      <c r="AJ32" s="37">
        <f>SUM(-39.18,2.96)*10^4/10^6</f>
        <v>-0.36220000000000002</v>
      </c>
      <c r="AK32" s="5">
        <f>SQRT(1.62^2+55.4^2)*10^4/10^6</f>
        <v>0.55423680859358304</v>
      </c>
      <c r="AL32" s="7">
        <v>4</v>
      </c>
      <c r="AM32" s="37">
        <f>SUM(1.12,-3.97)*10^4/10^6</f>
        <v>-2.8500000000000001E-2</v>
      </c>
      <c r="AN32" s="5">
        <f>SQRT(9.94^2+0.58^2)*10^4/10^6</f>
        <v>9.9569071503153028E-2</v>
      </c>
      <c r="AO32" s="7">
        <v>4</v>
      </c>
      <c r="AP32" s="12" t="s">
        <v>226</v>
      </c>
      <c r="AQ32" s="34">
        <f t="shared" si="11"/>
        <v>2.959999999999996E-2</v>
      </c>
      <c r="AR32" s="34">
        <f t="shared" si="18"/>
        <v>0.78364178040734922</v>
      </c>
      <c r="AS32" s="7">
        <v>3</v>
      </c>
      <c r="AT32" s="34">
        <f t="shared" si="3"/>
        <v>-3.9699999999999999E-2</v>
      </c>
      <c r="AU32" s="34">
        <f t="shared" si="4"/>
        <v>9.9569071503153028E-2</v>
      </c>
      <c r="AV32" s="40">
        <v>3</v>
      </c>
      <c r="AW32" s="12" t="s">
        <v>194</v>
      </c>
      <c r="AX32" s="5">
        <v>-0.39179999999999998</v>
      </c>
      <c r="AY32" s="5">
        <v>0.55400000000000005</v>
      </c>
      <c r="AZ32" s="7">
        <v>4</v>
      </c>
      <c r="BA32" s="5">
        <v>1.1200000000000002E-2</v>
      </c>
      <c r="BB32" s="5">
        <v>3.4444488709877404E-16</v>
      </c>
      <c r="BC32" s="7">
        <v>4</v>
      </c>
      <c r="BD32" s="7"/>
      <c r="BE32" s="44">
        <f t="shared" si="22"/>
        <v>-8.1722805080066144E-2</v>
      </c>
      <c r="BF32" s="44">
        <f t="shared" si="23"/>
        <v>2.1671718911276665</v>
      </c>
      <c r="BG32" s="26">
        <f t="shared" si="31"/>
        <v>4</v>
      </c>
      <c r="BH32" s="44">
        <f t="shared" si="25"/>
        <v>1.3929824561403508</v>
      </c>
      <c r="BI32" s="44">
        <f t="shared" si="26"/>
        <v>5.9907723050358932</v>
      </c>
      <c r="BJ32" s="1">
        <f t="shared" si="32"/>
        <v>4</v>
      </c>
      <c r="BK32" s="1"/>
      <c r="BL32" s="44">
        <f t="shared" si="35"/>
        <v>1.0817228050800662</v>
      </c>
      <c r="BM32" s="44">
        <f t="shared" si="36"/>
        <v>2.2537394740190395</v>
      </c>
      <c r="BN32" s="26">
        <v>4</v>
      </c>
      <c r="BO32" s="44">
        <f t="shared" si="37"/>
        <v>-0.39298245614035093</v>
      </c>
      <c r="BP32" s="44">
        <f t="shared" si="38"/>
        <v>1.3729437991201159</v>
      </c>
      <c r="BQ32" s="1">
        <v>4</v>
      </c>
      <c r="BR32" s="5" t="s">
        <v>157</v>
      </c>
    </row>
    <row r="33" spans="1:70" s="5" customFormat="1" x14ac:dyDescent="0.3">
      <c r="A33" s="4">
        <v>32</v>
      </c>
      <c r="B33" s="14" t="s">
        <v>53</v>
      </c>
      <c r="C33" s="5" t="s">
        <v>4</v>
      </c>
      <c r="D33" s="5" t="s">
        <v>253</v>
      </c>
      <c r="E33" s="8" t="s">
        <v>16</v>
      </c>
      <c r="F33" s="5" t="s">
        <v>55</v>
      </c>
      <c r="G33" s="5" t="s">
        <v>211</v>
      </c>
      <c r="H33" s="5" t="s">
        <v>9</v>
      </c>
      <c r="I33" s="5" t="s">
        <v>10</v>
      </c>
      <c r="J33" s="9" t="s">
        <v>56</v>
      </c>
      <c r="K33" s="5" t="s">
        <v>18</v>
      </c>
      <c r="L33" s="8" t="s">
        <v>5</v>
      </c>
      <c r="M33" s="8">
        <v>0</v>
      </c>
      <c r="N33" s="8">
        <v>0</v>
      </c>
      <c r="O33" s="5" t="s">
        <v>54</v>
      </c>
      <c r="P33" s="6">
        <v>34.267000000000003</v>
      </c>
      <c r="Q33" s="6">
        <v>102.43300000000001</v>
      </c>
      <c r="R33" s="7">
        <v>3430</v>
      </c>
      <c r="S33" s="8">
        <v>2.9</v>
      </c>
      <c r="T33" s="8">
        <v>592.6</v>
      </c>
      <c r="U33" s="8" t="s">
        <v>16</v>
      </c>
      <c r="V33" s="4" t="s">
        <v>5</v>
      </c>
      <c r="W33" s="4" t="s">
        <v>5</v>
      </c>
      <c r="X33" s="5" t="s">
        <v>55</v>
      </c>
      <c r="Y33" s="5" t="s">
        <v>211</v>
      </c>
      <c r="Z33" s="5" t="s">
        <v>9</v>
      </c>
      <c r="AA33" s="5" t="s">
        <v>10</v>
      </c>
      <c r="AB33" s="9" t="s">
        <v>56</v>
      </c>
      <c r="AC33" s="5" t="s">
        <v>18</v>
      </c>
      <c r="AD33" s="10" t="s">
        <v>58</v>
      </c>
      <c r="AE33" s="7" t="s">
        <v>12</v>
      </c>
      <c r="AF33" s="5" t="s">
        <v>5</v>
      </c>
      <c r="AG33" s="5" t="s">
        <v>43</v>
      </c>
      <c r="AH33" s="5" t="s">
        <v>13</v>
      </c>
      <c r="AI33" s="5" t="s">
        <v>21</v>
      </c>
      <c r="AJ33" s="37">
        <f t="shared" ref="AJ33:AJ34" si="39">SUM(-39.18,2.96)*10^4/10^6</f>
        <v>-0.36220000000000002</v>
      </c>
      <c r="AK33" s="5">
        <f t="shared" ref="AK33:AK34" si="40">SQRT(1.62^2+55.4^2)*10^4/10^6</f>
        <v>0.55423680859358304</v>
      </c>
      <c r="AL33" s="7">
        <v>4</v>
      </c>
      <c r="AM33" s="37">
        <f>SUM(8.47,-0.26)*10^4/10^6</f>
        <v>8.210000000000002E-2</v>
      </c>
      <c r="AN33" s="5">
        <f>SQRT(0.1^2+1.26^2)*10^4/10^6</f>
        <v>1.2639620247459968E-2</v>
      </c>
      <c r="AO33" s="7">
        <v>4</v>
      </c>
      <c r="AP33" s="12" t="s">
        <v>226</v>
      </c>
      <c r="AQ33" s="34">
        <f t="shared" si="11"/>
        <v>2.959999999999996E-2</v>
      </c>
      <c r="AR33" s="34">
        <f t="shared" si="18"/>
        <v>0.78364178040734922</v>
      </c>
      <c r="AS33" s="7">
        <v>3</v>
      </c>
      <c r="AT33" s="34">
        <f>AM33-BA33</f>
        <v>-2.5999999999999773E-3</v>
      </c>
      <c r="AU33" s="34">
        <f t="shared" si="4"/>
        <v>1.7847128620593285E-2</v>
      </c>
      <c r="AV33" s="40">
        <v>3</v>
      </c>
      <c r="AW33" s="12" t="s">
        <v>194</v>
      </c>
      <c r="AX33" s="5">
        <v>-0.39179999999999998</v>
      </c>
      <c r="AY33" s="5">
        <v>0.55400000000000005</v>
      </c>
      <c r="AZ33" s="7">
        <v>4</v>
      </c>
      <c r="BA33" s="5">
        <v>8.4699999999999998E-2</v>
      </c>
      <c r="BB33" s="5">
        <v>1.26E-2</v>
      </c>
      <c r="BC33" s="7">
        <v>4</v>
      </c>
      <c r="BD33" s="7"/>
      <c r="BE33" s="44">
        <f t="shared" si="22"/>
        <v>-8.1722805080066144E-2</v>
      </c>
      <c r="BF33" s="44">
        <f t="shared" si="23"/>
        <v>2.1671718911276665</v>
      </c>
      <c r="BG33" s="26">
        <f t="shared" si="31"/>
        <v>4</v>
      </c>
      <c r="BH33" s="44">
        <f t="shared" si="25"/>
        <v>-3.1668696711327368E-2</v>
      </c>
      <c r="BI33" s="44">
        <f t="shared" si="26"/>
        <v>0.21743747691190296</v>
      </c>
      <c r="BJ33" s="1">
        <f t="shared" si="32"/>
        <v>4</v>
      </c>
      <c r="BK33" s="1"/>
      <c r="BL33" s="44">
        <f t="shared" si="35"/>
        <v>1.0817228050800662</v>
      </c>
      <c r="BM33" s="44">
        <f t="shared" si="36"/>
        <v>2.2537394740190395</v>
      </c>
      <c r="BN33" s="26">
        <v>4</v>
      </c>
      <c r="BO33" s="44">
        <f t="shared" si="37"/>
        <v>1.0316686967113273</v>
      </c>
      <c r="BP33" s="44">
        <f t="shared" si="38"/>
        <v>0.22086255456550688</v>
      </c>
      <c r="BQ33" s="1">
        <v>4</v>
      </c>
      <c r="BR33" s="5" t="s">
        <v>157</v>
      </c>
    </row>
    <row r="34" spans="1:70" s="5" customFormat="1" x14ac:dyDescent="0.3">
      <c r="A34" s="4">
        <v>33</v>
      </c>
      <c r="B34" s="14" t="s">
        <v>53</v>
      </c>
      <c r="C34" s="5" t="s">
        <v>4</v>
      </c>
      <c r="D34" s="5" t="s">
        <v>253</v>
      </c>
      <c r="E34" s="8" t="s">
        <v>16</v>
      </c>
      <c r="F34" s="5" t="s">
        <v>55</v>
      </c>
      <c r="G34" s="5" t="s">
        <v>211</v>
      </c>
      <c r="H34" s="5" t="s">
        <v>9</v>
      </c>
      <c r="I34" s="5" t="s">
        <v>10</v>
      </c>
      <c r="J34" s="9" t="s">
        <v>56</v>
      </c>
      <c r="K34" s="5" t="s">
        <v>18</v>
      </c>
      <c r="L34" s="8" t="s">
        <v>5</v>
      </c>
      <c r="M34" s="8">
        <v>0</v>
      </c>
      <c r="N34" s="8">
        <v>0</v>
      </c>
      <c r="O34" s="5" t="s">
        <v>54</v>
      </c>
      <c r="P34" s="6">
        <v>34.267000000000003</v>
      </c>
      <c r="Q34" s="6">
        <v>102.43300000000001</v>
      </c>
      <c r="R34" s="7">
        <v>3430</v>
      </c>
      <c r="S34" s="8">
        <v>2.9</v>
      </c>
      <c r="T34" s="8">
        <v>592.6</v>
      </c>
      <c r="U34" s="8" t="s">
        <v>16</v>
      </c>
      <c r="V34" s="4" t="s">
        <v>5</v>
      </c>
      <c r="W34" s="4" t="s">
        <v>5</v>
      </c>
      <c r="X34" s="5" t="s">
        <v>55</v>
      </c>
      <c r="Y34" s="5" t="s">
        <v>211</v>
      </c>
      <c r="Z34" s="5" t="s">
        <v>9</v>
      </c>
      <c r="AA34" s="5" t="s">
        <v>10</v>
      </c>
      <c r="AB34" s="9" t="s">
        <v>56</v>
      </c>
      <c r="AC34" s="5" t="s">
        <v>18</v>
      </c>
      <c r="AD34" s="10" t="s">
        <v>58</v>
      </c>
      <c r="AE34" s="7" t="s">
        <v>12</v>
      </c>
      <c r="AF34" s="5" t="s">
        <v>5</v>
      </c>
      <c r="AG34" s="5" t="s">
        <v>43</v>
      </c>
      <c r="AH34" s="5" t="s">
        <v>13</v>
      </c>
      <c r="AI34" s="5" t="s">
        <v>21</v>
      </c>
      <c r="AJ34" s="37">
        <f t="shared" si="39"/>
        <v>-0.36220000000000002</v>
      </c>
      <c r="AK34" s="5">
        <f t="shared" si="40"/>
        <v>0.55423680859358304</v>
      </c>
      <c r="AL34" s="7">
        <v>4</v>
      </c>
      <c r="AM34" s="37">
        <f>SUM(-3.1,33.14)*10^4/10^6</f>
        <v>0.3004</v>
      </c>
      <c r="AN34" s="5">
        <f>SQRT(2.25^2+0.56^2)*10^4/10^6</f>
        <v>2.3186418438387587E-2</v>
      </c>
      <c r="AO34" s="7">
        <v>4</v>
      </c>
      <c r="AP34" s="12" t="s">
        <v>226</v>
      </c>
      <c r="AQ34" s="34">
        <f t="shared" si="11"/>
        <v>2.959999999999996E-2</v>
      </c>
      <c r="AR34" s="34">
        <f t="shared" si="18"/>
        <v>0.78364178040734922</v>
      </c>
      <c r="AS34" s="5" t="s">
        <v>5</v>
      </c>
      <c r="AT34" s="34">
        <f t="shared" si="3"/>
        <v>0.33140000000000003</v>
      </c>
      <c r="AU34" s="34">
        <f t="shared" si="4"/>
        <v>2.3853092042752023E-2</v>
      </c>
      <c r="AV34" s="41">
        <v>6</v>
      </c>
      <c r="AW34" s="12" t="s">
        <v>194</v>
      </c>
      <c r="AX34" s="5">
        <v>-0.39179999999999998</v>
      </c>
      <c r="AY34" s="5">
        <v>0.55400000000000005</v>
      </c>
      <c r="AZ34" s="7">
        <v>4</v>
      </c>
      <c r="BA34" s="5">
        <v>-3.1E-2</v>
      </c>
      <c r="BB34" s="5">
        <v>5.6000000000000008E-3</v>
      </c>
      <c r="BC34" s="7">
        <v>4</v>
      </c>
      <c r="BD34" s="7"/>
      <c r="BE34" s="44">
        <f t="shared" si="22"/>
        <v>-8.1722805080066144E-2</v>
      </c>
      <c r="BF34" s="44">
        <f t="shared" si="23"/>
        <v>2.1671718911276665</v>
      </c>
      <c r="BG34" s="26">
        <f t="shared" si="31"/>
        <v>4</v>
      </c>
      <c r="BH34" s="44">
        <f t="shared" si="25"/>
        <v>1.1031957390146472</v>
      </c>
      <c r="BI34" s="44">
        <f t="shared" si="26"/>
        <v>0.1164287002698365</v>
      </c>
      <c r="BJ34" s="1">
        <f t="shared" si="32"/>
        <v>4</v>
      </c>
      <c r="BK34" s="1"/>
      <c r="BL34" s="44">
        <f t="shared" si="35"/>
        <v>1.0817228050800662</v>
      </c>
      <c r="BM34" s="44">
        <f t="shared" si="36"/>
        <v>2.2537394740190395</v>
      </c>
      <c r="BN34" s="26">
        <v>4</v>
      </c>
      <c r="BO34" s="44">
        <f t="shared" si="37"/>
        <v>-0.10319573901464714</v>
      </c>
      <c r="BP34" s="44">
        <f t="shared" si="38"/>
        <v>2.027217750965854E-2</v>
      </c>
      <c r="BQ34" s="1">
        <v>4</v>
      </c>
      <c r="BR34" s="5" t="s">
        <v>157</v>
      </c>
    </row>
    <row r="35" spans="1:70" s="5" customFormat="1" x14ac:dyDescent="0.3">
      <c r="A35" s="4">
        <v>34</v>
      </c>
      <c r="B35" s="14" t="s">
        <v>62</v>
      </c>
      <c r="C35" s="5" t="s">
        <v>4</v>
      </c>
      <c r="D35" s="5" t="s">
        <v>249</v>
      </c>
      <c r="E35" s="8" t="s">
        <v>16</v>
      </c>
      <c r="F35" s="5" t="s">
        <v>7</v>
      </c>
      <c r="G35" s="5" t="s">
        <v>8</v>
      </c>
      <c r="H35" s="5" t="s">
        <v>9</v>
      </c>
      <c r="I35" s="5" t="s">
        <v>10</v>
      </c>
      <c r="J35" s="9" t="s">
        <v>64</v>
      </c>
      <c r="K35" s="5" t="s">
        <v>11</v>
      </c>
      <c r="L35" s="8">
        <v>4.5999999999999996</v>
      </c>
      <c r="M35" s="8">
        <v>0</v>
      </c>
      <c r="N35" s="8">
        <v>0</v>
      </c>
      <c r="O35" s="5" t="s">
        <v>63</v>
      </c>
      <c r="P35" s="6">
        <v>56.146000000000001</v>
      </c>
      <c r="Q35" s="6">
        <v>-4.3</v>
      </c>
      <c r="R35" s="7">
        <v>15</v>
      </c>
      <c r="S35" s="8">
        <v>9.4</v>
      </c>
      <c r="T35" s="8">
        <v>1672</v>
      </c>
      <c r="U35" s="8" t="s">
        <v>16</v>
      </c>
      <c r="V35" s="4">
        <v>88</v>
      </c>
      <c r="W35" s="4" t="s">
        <v>5</v>
      </c>
      <c r="X35" s="5" t="s">
        <v>7</v>
      </c>
      <c r="Y35" s="5" t="s">
        <v>8</v>
      </c>
      <c r="Z35" s="5" t="s">
        <v>9</v>
      </c>
      <c r="AA35" s="5" t="s">
        <v>10</v>
      </c>
      <c r="AB35" s="9" t="s">
        <v>64</v>
      </c>
      <c r="AC35" s="5" t="s">
        <v>11</v>
      </c>
      <c r="AD35" s="10" t="s">
        <v>65</v>
      </c>
      <c r="AE35" s="5" t="s">
        <v>12</v>
      </c>
      <c r="AF35" s="5" t="s">
        <v>37</v>
      </c>
      <c r="AG35" s="5" t="s">
        <v>35</v>
      </c>
      <c r="AH35" s="5" t="s">
        <v>13</v>
      </c>
      <c r="AI35" s="4"/>
      <c r="AJ35" s="37" t="s">
        <v>5</v>
      </c>
      <c r="AK35" s="5" t="s">
        <v>5</v>
      </c>
      <c r="AL35" s="5" t="s">
        <v>5</v>
      </c>
      <c r="AM35" s="37" t="s">
        <v>5</v>
      </c>
      <c r="AN35" s="5" t="s">
        <v>5</v>
      </c>
      <c r="AO35" s="5" t="s">
        <v>5</v>
      </c>
      <c r="AP35" s="12" t="s">
        <v>226</v>
      </c>
      <c r="AQ35" s="5" t="s">
        <v>5</v>
      </c>
      <c r="AR35" s="5" t="s">
        <v>5</v>
      </c>
      <c r="AS35" s="5" t="s">
        <v>5</v>
      </c>
      <c r="AT35" s="5" t="s">
        <v>5</v>
      </c>
      <c r="AU35" s="5" t="s">
        <v>5</v>
      </c>
      <c r="AV35" s="40" t="s">
        <v>5</v>
      </c>
      <c r="AW35" s="12" t="s">
        <v>194</v>
      </c>
      <c r="AX35" s="6">
        <v>1.0932057416267946E-2</v>
      </c>
      <c r="AY35" s="5">
        <v>2.1896008261006756E-3</v>
      </c>
      <c r="AZ35" s="7">
        <v>3</v>
      </c>
      <c r="BA35" s="5">
        <v>9.3905994933858733E-3</v>
      </c>
      <c r="BB35" s="5">
        <v>2.5274489941263223E-3</v>
      </c>
      <c r="BC35" s="7">
        <v>3</v>
      </c>
      <c r="BD35" s="7"/>
      <c r="BE35" s="44"/>
      <c r="BF35" s="44"/>
      <c r="BG35" s="26"/>
      <c r="BH35" s="44"/>
      <c r="BI35" s="44"/>
      <c r="BJ35" s="1"/>
      <c r="BK35" s="1"/>
      <c r="BL35" s="44">
        <v>0.49152542372881519</v>
      </c>
      <c r="BM35" s="44">
        <v>0.97035416149505616</v>
      </c>
      <c r="BN35" s="26">
        <v>6</v>
      </c>
      <c r="BO35" s="44">
        <v>0.50847457627118486</v>
      </c>
      <c r="BP35" s="44">
        <v>1.3444171951580846</v>
      </c>
      <c r="BQ35" s="1">
        <v>6</v>
      </c>
      <c r="BR35" s="5" t="s">
        <v>156</v>
      </c>
    </row>
    <row r="36" spans="1:70" s="5" customFormat="1" x14ac:dyDescent="0.3">
      <c r="A36" s="4">
        <v>35</v>
      </c>
      <c r="B36" s="14" t="s">
        <v>62</v>
      </c>
      <c r="C36" s="5" t="s">
        <v>4</v>
      </c>
      <c r="D36" s="5" t="s">
        <v>249</v>
      </c>
      <c r="E36" s="8" t="s">
        <v>16</v>
      </c>
      <c r="F36" s="5" t="s">
        <v>7</v>
      </c>
      <c r="G36" s="5" t="s">
        <v>8</v>
      </c>
      <c r="H36" s="5" t="s">
        <v>9</v>
      </c>
      <c r="I36" s="5" t="s">
        <v>10</v>
      </c>
      <c r="J36" s="9" t="s">
        <v>64</v>
      </c>
      <c r="K36" s="5" t="s">
        <v>11</v>
      </c>
      <c r="L36" s="8">
        <v>5.6</v>
      </c>
      <c r="M36" s="8">
        <v>0</v>
      </c>
      <c r="N36" s="8">
        <v>0</v>
      </c>
      <c r="O36" s="5" t="s">
        <v>63</v>
      </c>
      <c r="P36" s="6">
        <v>56.146000000000001</v>
      </c>
      <c r="Q36" s="6">
        <v>-4.3</v>
      </c>
      <c r="R36" s="7">
        <v>15</v>
      </c>
      <c r="S36" s="8">
        <v>9.4</v>
      </c>
      <c r="T36" s="8">
        <v>1311</v>
      </c>
      <c r="U36" s="8" t="s">
        <v>16</v>
      </c>
      <c r="V36" s="4">
        <v>89</v>
      </c>
      <c r="W36" s="4" t="s">
        <v>5</v>
      </c>
      <c r="X36" s="5" t="s">
        <v>7</v>
      </c>
      <c r="Y36" s="5" t="s">
        <v>8</v>
      </c>
      <c r="Z36" s="5" t="s">
        <v>9</v>
      </c>
      <c r="AA36" s="5" t="s">
        <v>10</v>
      </c>
      <c r="AB36" s="9" t="s">
        <v>64</v>
      </c>
      <c r="AC36" s="5" t="s">
        <v>11</v>
      </c>
      <c r="AD36" s="10" t="s">
        <v>66</v>
      </c>
      <c r="AE36" s="5" t="s">
        <v>12</v>
      </c>
      <c r="AF36" s="5" t="s">
        <v>34</v>
      </c>
      <c r="AG36" s="5" t="s">
        <v>60</v>
      </c>
      <c r="AH36" s="5" t="s">
        <v>13</v>
      </c>
      <c r="AI36" s="4" t="s">
        <v>21</v>
      </c>
      <c r="AJ36" s="37">
        <v>0.7</v>
      </c>
      <c r="AK36" s="5" t="s">
        <v>5</v>
      </c>
      <c r="AL36" s="7">
        <v>3</v>
      </c>
      <c r="AM36" s="37">
        <v>0.8</v>
      </c>
      <c r="AN36" s="5" t="s">
        <v>5</v>
      </c>
      <c r="AO36" s="7">
        <v>3</v>
      </c>
      <c r="AP36" s="12" t="s">
        <v>226</v>
      </c>
      <c r="AQ36" s="34">
        <f t="shared" si="11"/>
        <v>0.69344515006524576</v>
      </c>
      <c r="AR36" s="5" t="s">
        <v>5</v>
      </c>
      <c r="AS36" s="1">
        <v>3</v>
      </c>
      <c r="AT36" s="34">
        <f t="shared" si="3"/>
        <v>0.78899760765550242</v>
      </c>
      <c r="AU36" s="5" t="s">
        <v>5</v>
      </c>
      <c r="AV36" s="40" t="s">
        <v>5</v>
      </c>
      <c r="AW36" s="12" t="s">
        <v>194</v>
      </c>
      <c r="AX36" s="6">
        <v>6.5548499347542416E-3</v>
      </c>
      <c r="AY36" s="5">
        <v>3.5308142998411291E-3</v>
      </c>
      <c r="AZ36" s="7">
        <v>3</v>
      </c>
      <c r="BA36" s="5">
        <v>1.1002392344497611E-2</v>
      </c>
      <c r="BB36" s="5">
        <v>1.9711663103974273E-3</v>
      </c>
      <c r="BC36" s="7">
        <v>3</v>
      </c>
      <c r="BD36" s="7"/>
      <c r="BE36" s="44">
        <f t="shared" si="22"/>
        <v>0.9906359286646369</v>
      </c>
      <c r="BF36" s="44"/>
      <c r="BG36" s="26">
        <f t="shared" ref="BG36" si="41">AZ36</f>
        <v>3</v>
      </c>
      <c r="BH36" s="44">
        <f t="shared" ref="BH36:BH42" si="42">AT36/AM36</f>
        <v>0.98624700956937794</v>
      </c>
      <c r="BI36" s="44"/>
      <c r="BJ36" s="1">
        <f t="shared" ref="BJ36" si="43">BC36</f>
        <v>3</v>
      </c>
      <c r="BK36" s="1"/>
      <c r="BL36" s="44">
        <v>0.49152542372881519</v>
      </c>
      <c r="BM36" s="44">
        <v>0.97035416149505616</v>
      </c>
      <c r="BN36" s="26">
        <v>6</v>
      </c>
      <c r="BO36" s="44">
        <v>0.50847457627118486</v>
      </c>
      <c r="BP36" s="44">
        <v>1.1296541588107827</v>
      </c>
      <c r="BQ36" s="1">
        <v>6</v>
      </c>
      <c r="BR36" s="5" t="s">
        <v>156</v>
      </c>
    </row>
    <row r="37" spans="1:70" s="5" customFormat="1" x14ac:dyDescent="0.3">
      <c r="A37" s="4">
        <v>36</v>
      </c>
      <c r="B37" s="14" t="s">
        <v>68</v>
      </c>
      <c r="C37" s="5" t="s">
        <v>69</v>
      </c>
      <c r="D37" s="5" t="s">
        <v>253</v>
      </c>
      <c r="E37" s="8" t="s">
        <v>16</v>
      </c>
      <c r="F37" s="5" t="s">
        <v>55</v>
      </c>
      <c r="G37" s="5" t="s">
        <v>26</v>
      </c>
      <c r="H37" s="5" t="s">
        <v>9</v>
      </c>
      <c r="I37" s="5" t="s">
        <v>10</v>
      </c>
      <c r="J37" s="9" t="s">
        <v>72</v>
      </c>
      <c r="K37" s="5" t="s">
        <v>18</v>
      </c>
      <c r="L37" s="8" t="s">
        <v>70</v>
      </c>
      <c r="M37" s="8">
        <v>0</v>
      </c>
      <c r="N37" s="8">
        <v>0</v>
      </c>
      <c r="O37" s="5" t="s">
        <v>54</v>
      </c>
      <c r="P37" s="6">
        <v>32.799999999999997</v>
      </c>
      <c r="Q37" s="6">
        <v>102.55</v>
      </c>
      <c r="R37" s="7">
        <v>3500</v>
      </c>
      <c r="S37" s="8">
        <v>1.7</v>
      </c>
      <c r="T37" s="8">
        <v>756</v>
      </c>
      <c r="U37" s="8" t="s">
        <v>16</v>
      </c>
      <c r="V37" s="4" t="s">
        <v>71</v>
      </c>
      <c r="W37" s="4" t="s">
        <v>5</v>
      </c>
      <c r="X37" s="5" t="s">
        <v>55</v>
      </c>
      <c r="Y37" s="5" t="s">
        <v>26</v>
      </c>
      <c r="Z37" s="5" t="s">
        <v>9</v>
      </c>
      <c r="AA37" s="5" t="s">
        <v>10</v>
      </c>
      <c r="AB37" s="9" t="s">
        <v>72</v>
      </c>
      <c r="AC37" s="5" t="s">
        <v>18</v>
      </c>
      <c r="AD37" s="10" t="s">
        <v>73</v>
      </c>
      <c r="AE37" s="5" t="s">
        <v>12</v>
      </c>
      <c r="AF37" s="5" t="s">
        <v>5</v>
      </c>
      <c r="AG37" s="5" t="s">
        <v>60</v>
      </c>
      <c r="AH37" s="5" t="s">
        <v>13</v>
      </c>
      <c r="AI37" s="4" t="s">
        <v>21</v>
      </c>
      <c r="AJ37" s="37">
        <v>1.3785046728971999</v>
      </c>
      <c r="AK37" s="5">
        <v>1.030159237619066</v>
      </c>
      <c r="AL37" s="7">
        <v>6</v>
      </c>
      <c r="AM37" s="37">
        <v>3.2242990654205603</v>
      </c>
      <c r="AN37" s="5">
        <v>3.548326262910205</v>
      </c>
      <c r="AO37" s="7">
        <v>6</v>
      </c>
      <c r="AP37" s="12" t="s">
        <v>226</v>
      </c>
      <c r="AQ37" s="34">
        <f t="shared" si="11"/>
        <v>0.67757009345794794</v>
      </c>
      <c r="AR37" s="34">
        <f t="shared" si="18"/>
        <v>1.2380973177094898</v>
      </c>
      <c r="AS37" s="1">
        <v>3</v>
      </c>
      <c r="AT37" s="34">
        <f t="shared" si="3"/>
        <v>2.0093457943925204</v>
      </c>
      <c r="AU37" s="34">
        <f t="shared" si="4"/>
        <v>3.7283746271623608</v>
      </c>
      <c r="AV37" s="41" t="s">
        <v>109</v>
      </c>
      <c r="AW37" s="12" t="s">
        <v>194</v>
      </c>
      <c r="AX37" s="5">
        <v>0.70093457943925197</v>
      </c>
      <c r="AY37" s="5">
        <v>0.68677282507939841</v>
      </c>
      <c r="AZ37" s="7">
        <v>6</v>
      </c>
      <c r="BA37" s="5">
        <v>1.21495327102804</v>
      </c>
      <c r="BB37" s="5">
        <v>1.1446213751323062</v>
      </c>
      <c r="BC37" s="7">
        <v>6</v>
      </c>
      <c r="BD37" s="7"/>
      <c r="BE37" s="44">
        <f t="shared" si="22"/>
        <v>0.49152542372881519</v>
      </c>
      <c r="BF37" s="44">
        <f t="shared" ref="BF37:BF40" si="44">SQRT((1/AJ37)^2*AR37^2+((-AQ37/AJ37^2)^2*AK37^2))</f>
        <v>0.97035416149505616</v>
      </c>
      <c r="BG37" s="26">
        <f t="shared" ref="BG37:BG38" si="45">AZ37</f>
        <v>6</v>
      </c>
      <c r="BH37" s="44">
        <f t="shared" si="42"/>
        <v>0.62318840579710055</v>
      </c>
      <c r="BI37" s="44">
        <f t="shared" ref="BI37:BI42" si="46">SQRT((1/AM37)^2*AU37^2+((-AT37/AM37^2)^2*AN37^2))</f>
        <v>1.3444171951580846</v>
      </c>
      <c r="BJ37" s="1">
        <f t="shared" ref="BJ37:BJ38" si="47">BC37</f>
        <v>6</v>
      </c>
      <c r="BK37" s="1"/>
      <c r="BL37" s="44">
        <f t="shared" ref="BL37:BL38" si="48">AX37/AJ37</f>
        <v>0.50847457627118486</v>
      </c>
      <c r="BM37" s="44">
        <f t="shared" ref="BM37:BM38" si="49">SQRT((1/AJ37)^2*AY37^2+((-AX37/AJ37^2)^2*AK37^2))</f>
        <v>0.62657195395271326</v>
      </c>
      <c r="BN37" s="1">
        <v>6</v>
      </c>
      <c r="BO37" s="44">
        <f t="shared" ref="BO37:BO38" si="50">BA37/AM37</f>
        <v>0.37681159420289939</v>
      </c>
      <c r="BP37" s="44">
        <f t="shared" ref="BP37" si="51">SQRT((1/AM37)^2*BB37^2+((-BA37/AM37^2)^2*AN37^2))</f>
        <v>0.54587816256999289</v>
      </c>
      <c r="BQ37" s="1">
        <v>4</v>
      </c>
      <c r="BR37" s="5" t="s">
        <v>155</v>
      </c>
    </row>
    <row r="38" spans="1:70" s="5" customFormat="1" x14ac:dyDescent="0.3">
      <c r="A38" s="4">
        <v>37</v>
      </c>
      <c r="B38" s="14" t="s">
        <v>68</v>
      </c>
      <c r="C38" s="5" t="s">
        <v>74</v>
      </c>
      <c r="D38" s="5" t="s">
        <v>253</v>
      </c>
      <c r="E38" s="8" t="s">
        <v>16</v>
      </c>
      <c r="F38" s="5" t="s">
        <v>55</v>
      </c>
      <c r="G38" s="5" t="s">
        <v>26</v>
      </c>
      <c r="H38" s="5" t="s">
        <v>9</v>
      </c>
      <c r="I38" s="5" t="s">
        <v>10</v>
      </c>
      <c r="J38" s="9" t="s">
        <v>72</v>
      </c>
      <c r="K38" s="5" t="s">
        <v>18</v>
      </c>
      <c r="L38" s="8" t="s">
        <v>70</v>
      </c>
      <c r="M38" s="8">
        <v>0</v>
      </c>
      <c r="N38" s="8">
        <v>0</v>
      </c>
      <c r="O38" s="5" t="s">
        <v>54</v>
      </c>
      <c r="P38" s="6">
        <v>32.799999999999997</v>
      </c>
      <c r="Q38" s="6">
        <v>102.55</v>
      </c>
      <c r="R38" s="7">
        <v>3500</v>
      </c>
      <c r="S38" s="8">
        <v>1.7</v>
      </c>
      <c r="T38" s="8">
        <v>756</v>
      </c>
      <c r="U38" s="8" t="s">
        <v>16</v>
      </c>
      <c r="V38" s="4" t="s">
        <v>71</v>
      </c>
      <c r="W38" s="4" t="s">
        <v>5</v>
      </c>
      <c r="X38" s="5" t="s">
        <v>55</v>
      </c>
      <c r="Y38" s="5" t="s">
        <v>26</v>
      </c>
      <c r="Z38" s="5" t="s">
        <v>9</v>
      </c>
      <c r="AA38" s="5" t="s">
        <v>10</v>
      </c>
      <c r="AB38" s="9" t="s">
        <v>72</v>
      </c>
      <c r="AC38" s="5" t="s">
        <v>18</v>
      </c>
      <c r="AD38" s="10" t="s">
        <v>73</v>
      </c>
      <c r="AE38" s="5" t="s">
        <v>12</v>
      </c>
      <c r="AF38" s="5" t="s">
        <v>5</v>
      </c>
      <c r="AG38" s="5" t="s">
        <v>60</v>
      </c>
      <c r="AH38" s="5" t="s">
        <v>13</v>
      </c>
      <c r="AI38" s="4" t="s">
        <v>21</v>
      </c>
      <c r="AJ38" s="37">
        <v>1.3785046728971999</v>
      </c>
      <c r="AK38" s="5">
        <v>1.030159237619066</v>
      </c>
      <c r="AL38" s="7">
        <v>6</v>
      </c>
      <c r="AM38" s="37">
        <v>2.8037383177570097</v>
      </c>
      <c r="AN38" s="5">
        <v>2.5181670252910933</v>
      </c>
      <c r="AO38" s="7">
        <v>6</v>
      </c>
      <c r="AP38" s="12" t="s">
        <v>226</v>
      </c>
      <c r="AQ38" s="34">
        <f t="shared" si="11"/>
        <v>0.67757009345794794</v>
      </c>
      <c r="AR38" s="34">
        <f t="shared" si="18"/>
        <v>1.2380973177094898</v>
      </c>
      <c r="AS38" s="1">
        <v>3</v>
      </c>
      <c r="AT38" s="34">
        <f t="shared" si="3"/>
        <v>1.4953271028037396</v>
      </c>
      <c r="AU38" s="34">
        <f t="shared" si="4"/>
        <v>2.8684129445276039</v>
      </c>
      <c r="AV38" s="41" t="s">
        <v>109</v>
      </c>
      <c r="AW38" s="12" t="s">
        <v>194</v>
      </c>
      <c r="AX38" s="5">
        <v>0.70093457943925197</v>
      </c>
      <c r="AY38" s="5">
        <v>0.68677282507939841</v>
      </c>
      <c r="AZ38" s="7">
        <v>6</v>
      </c>
      <c r="BA38" s="5">
        <v>1.3084112149532701</v>
      </c>
      <c r="BB38" s="5">
        <v>1.373545650158787</v>
      </c>
      <c r="BC38" s="7">
        <v>6</v>
      </c>
      <c r="BD38" s="7"/>
      <c r="BE38" s="44">
        <f t="shared" si="22"/>
        <v>0.49152542372881519</v>
      </c>
      <c r="BF38" s="44">
        <f t="shared" si="44"/>
        <v>0.97035416149505616</v>
      </c>
      <c r="BG38" s="26">
        <f t="shared" si="45"/>
        <v>6</v>
      </c>
      <c r="BH38" s="44">
        <f t="shared" si="42"/>
        <v>0.53333333333333377</v>
      </c>
      <c r="BI38" s="44">
        <f t="shared" si="46"/>
        <v>1.1296541588107827</v>
      </c>
      <c r="BJ38" s="1">
        <f t="shared" si="47"/>
        <v>6</v>
      </c>
      <c r="BK38" s="1"/>
      <c r="BL38" s="44">
        <f t="shared" si="48"/>
        <v>0.50847457627118486</v>
      </c>
      <c r="BM38" s="44">
        <f t="shared" si="49"/>
        <v>0.62657195395271326</v>
      </c>
      <c r="BN38" s="1">
        <v>6</v>
      </c>
      <c r="BO38" s="44">
        <f t="shared" si="50"/>
        <v>0.46666666666666629</v>
      </c>
      <c r="BP38" s="44">
        <f>SQRT((1/AM38)^2*BB38^2+((-BA38/AM38^2)^2*AN38^2))</f>
        <v>0.64472790700734273</v>
      </c>
      <c r="BQ38" s="1">
        <v>4</v>
      </c>
      <c r="BR38" s="5" t="s">
        <v>155</v>
      </c>
    </row>
    <row r="39" spans="1:70" s="5" customFormat="1" x14ac:dyDescent="0.3">
      <c r="A39" s="4">
        <v>38</v>
      </c>
      <c r="B39" s="14" t="s">
        <v>75</v>
      </c>
      <c r="C39" s="5" t="s">
        <v>4</v>
      </c>
      <c r="D39" s="5" t="s">
        <v>23</v>
      </c>
      <c r="E39" s="8" t="s">
        <v>16</v>
      </c>
      <c r="F39" s="5" t="s">
        <v>52</v>
      </c>
      <c r="G39" s="5" t="s">
        <v>5</v>
      </c>
      <c r="H39" s="5" t="s">
        <v>9</v>
      </c>
      <c r="I39" s="5" t="s">
        <v>10</v>
      </c>
      <c r="J39" s="9" t="s">
        <v>78</v>
      </c>
      <c r="K39" s="5" t="s">
        <v>59</v>
      </c>
      <c r="L39" s="8" t="s">
        <v>76</v>
      </c>
      <c r="M39" s="8">
        <v>0</v>
      </c>
      <c r="N39" s="8">
        <v>0</v>
      </c>
      <c r="O39" s="5" t="s">
        <v>63</v>
      </c>
      <c r="P39" s="6">
        <v>55.167000000000002</v>
      </c>
      <c r="Q39" s="6">
        <v>-2.0499999999999998</v>
      </c>
      <c r="R39" s="7">
        <v>300</v>
      </c>
      <c r="S39" s="8">
        <v>7.6</v>
      </c>
      <c r="T39" s="8">
        <v>950</v>
      </c>
      <c r="U39" s="8" t="s">
        <v>16</v>
      </c>
      <c r="V39" s="4" t="s">
        <v>77</v>
      </c>
      <c r="W39" s="4" t="s">
        <v>5</v>
      </c>
      <c r="X39" s="5" t="s">
        <v>52</v>
      </c>
      <c r="Y39" s="5" t="s">
        <v>5</v>
      </c>
      <c r="Z39" s="5" t="s">
        <v>9</v>
      </c>
      <c r="AA39" s="5" t="s">
        <v>10</v>
      </c>
      <c r="AB39" s="9" t="s">
        <v>78</v>
      </c>
      <c r="AC39" s="5" t="s">
        <v>59</v>
      </c>
      <c r="AD39" s="10" t="s">
        <v>79</v>
      </c>
      <c r="AE39" s="5" t="s">
        <v>12</v>
      </c>
      <c r="AF39" s="5" t="s">
        <v>5</v>
      </c>
      <c r="AG39" s="5" t="s">
        <v>60</v>
      </c>
      <c r="AH39" s="5" t="s">
        <v>13</v>
      </c>
      <c r="AI39" s="4" t="s">
        <v>21</v>
      </c>
      <c r="AJ39" s="37">
        <f>1.46*44/28</f>
        <v>2.294285714285714</v>
      </c>
      <c r="AK39" s="5">
        <f>0.32*SQRT(3)*44/28</f>
        <v>0.87097412037749256</v>
      </c>
      <c r="AL39" s="7">
        <v>3</v>
      </c>
      <c r="AM39" s="37">
        <f>1.37*44/28</f>
        <v>2.152857142857143</v>
      </c>
      <c r="AN39" s="5">
        <f>0.3*SQRT(3)*44/28</f>
        <v>0.81653823785389912</v>
      </c>
      <c r="AO39" s="7">
        <v>3</v>
      </c>
      <c r="AP39" s="12" t="s">
        <v>226</v>
      </c>
      <c r="AQ39" s="34">
        <f t="shared" si="11"/>
        <v>1.9819031950055086</v>
      </c>
      <c r="AR39" s="34">
        <f t="shared" si="18"/>
        <v>0.87773171423705842</v>
      </c>
      <c r="AS39" s="1">
        <v>3</v>
      </c>
      <c r="AT39" s="34">
        <f t="shared" si="3"/>
        <v>1.9151630554535439</v>
      </c>
      <c r="AU39" s="34">
        <f t="shared" si="4"/>
        <v>0.81963972421921805</v>
      </c>
      <c r="AV39" s="41" t="s">
        <v>109</v>
      </c>
      <c r="AW39" s="12" t="s">
        <v>194</v>
      </c>
      <c r="AX39" s="5">
        <v>0.31238251928020544</v>
      </c>
      <c r="AY39" s="5">
        <v>0.10870622709936326</v>
      </c>
      <c r="AZ39" s="7">
        <v>3</v>
      </c>
      <c r="BA39" s="5">
        <v>0.23769408740359915</v>
      </c>
      <c r="BB39" s="5">
        <v>7.12361119138675E-2</v>
      </c>
      <c r="BC39" s="7">
        <v>3</v>
      </c>
      <c r="BD39" s="7"/>
      <c r="BE39" s="44">
        <f t="shared" si="22"/>
        <v>0.86384323568110599</v>
      </c>
      <c r="BF39" s="44">
        <f t="shared" si="44"/>
        <v>0.50389074322203942</v>
      </c>
      <c r="BG39" s="26">
        <f t="shared" ref="BG39:BG40" si="52">AZ39</f>
        <v>3</v>
      </c>
      <c r="BH39" s="44">
        <f t="shared" si="42"/>
        <v>0.88959133299102899</v>
      </c>
      <c r="BI39" s="44">
        <f t="shared" si="46"/>
        <v>0.50871547132769113</v>
      </c>
      <c r="BJ39" s="1">
        <f t="shared" ref="BJ39:BJ40" si="53">BC39</f>
        <v>3</v>
      </c>
      <c r="BK39" s="1"/>
      <c r="BL39" s="44">
        <v>-0.89312977099236701</v>
      </c>
      <c r="BM39" s="44"/>
      <c r="BN39" s="1">
        <v>3</v>
      </c>
      <c r="BO39" s="44">
        <v>1.8931297709923667</v>
      </c>
      <c r="BP39" s="44"/>
      <c r="BQ39" s="26"/>
      <c r="BR39" s="5" t="s">
        <v>154</v>
      </c>
    </row>
    <row r="40" spans="1:70" s="5" customFormat="1" x14ac:dyDescent="0.3">
      <c r="A40" s="4">
        <v>39</v>
      </c>
      <c r="B40" s="14" t="s">
        <v>75</v>
      </c>
      <c r="C40" s="5" t="s">
        <v>4</v>
      </c>
      <c r="D40" s="5" t="s">
        <v>23</v>
      </c>
      <c r="E40" s="8" t="s">
        <v>16</v>
      </c>
      <c r="F40" s="5" t="s">
        <v>52</v>
      </c>
      <c r="G40" s="5" t="s">
        <v>5</v>
      </c>
      <c r="H40" s="5" t="s">
        <v>9</v>
      </c>
      <c r="I40" s="5" t="s">
        <v>10</v>
      </c>
      <c r="J40" s="9" t="s">
        <v>78</v>
      </c>
      <c r="K40" s="5" t="s">
        <v>59</v>
      </c>
      <c r="L40" s="8" t="s">
        <v>76</v>
      </c>
      <c r="M40" s="8">
        <v>0</v>
      </c>
      <c r="N40" s="8">
        <v>0</v>
      </c>
      <c r="O40" s="5" t="s">
        <v>63</v>
      </c>
      <c r="P40" s="6">
        <v>55.167000000000002</v>
      </c>
      <c r="Q40" s="6">
        <v>-2.0499999999999998</v>
      </c>
      <c r="R40" s="7">
        <v>300</v>
      </c>
      <c r="S40" s="8">
        <v>7.6</v>
      </c>
      <c r="T40" s="8">
        <v>950</v>
      </c>
      <c r="U40" s="8" t="s">
        <v>16</v>
      </c>
      <c r="V40" s="4" t="s">
        <v>77</v>
      </c>
      <c r="W40" s="4" t="s">
        <v>5</v>
      </c>
      <c r="X40" s="5" t="s">
        <v>52</v>
      </c>
      <c r="Y40" s="5" t="s">
        <v>5</v>
      </c>
      <c r="Z40" s="5" t="s">
        <v>9</v>
      </c>
      <c r="AA40" s="5" t="s">
        <v>10</v>
      </c>
      <c r="AB40" s="9" t="s">
        <v>78</v>
      </c>
      <c r="AC40" s="5" t="s">
        <v>59</v>
      </c>
      <c r="AD40" s="10" t="s">
        <v>80</v>
      </c>
      <c r="AE40" s="5" t="s">
        <v>12</v>
      </c>
      <c r="AF40" s="5" t="s">
        <v>5</v>
      </c>
      <c r="AG40" s="5" t="s">
        <v>60</v>
      </c>
      <c r="AH40" s="5" t="s">
        <v>13</v>
      </c>
      <c r="AI40" s="4" t="s">
        <v>21</v>
      </c>
      <c r="AJ40" s="37">
        <f>0.22*44/28</f>
        <v>0.3457142857142857</v>
      </c>
      <c r="AK40" s="5">
        <f>0.04*SQRT(3)*44/28</f>
        <v>0.10887176504718657</v>
      </c>
      <c r="AL40" s="7">
        <v>3</v>
      </c>
      <c r="AM40" s="37">
        <f>0.19*44/28</f>
        <v>0.29857142857142854</v>
      </c>
      <c r="AN40" s="5">
        <f>0.03*SQRT(3)*44/28</f>
        <v>8.165382378538992E-2</v>
      </c>
      <c r="AO40" s="7">
        <v>3</v>
      </c>
      <c r="AP40" s="12" t="s">
        <v>226</v>
      </c>
      <c r="AQ40" s="34">
        <f t="shared" si="11"/>
        <v>2.6643848696290606E-2</v>
      </c>
      <c r="AR40" s="34">
        <f t="shared" si="18"/>
        <v>0.1412090463282141</v>
      </c>
      <c r="AS40" s="1">
        <v>3</v>
      </c>
      <c r="AT40" s="34">
        <f t="shared" si="3"/>
        <v>4.8564230627983707E-2</v>
      </c>
      <c r="AU40" s="34">
        <f t="shared" si="4"/>
        <v>0.11419642657533569</v>
      </c>
      <c r="AV40" s="41" t="s">
        <v>109</v>
      </c>
      <c r="AW40" s="12" t="s">
        <v>194</v>
      </c>
      <c r="AX40" s="5">
        <v>0.31907043701799509</v>
      </c>
      <c r="AY40" s="5">
        <v>8.9927379259232956E-2</v>
      </c>
      <c r="AZ40" s="7">
        <v>3</v>
      </c>
      <c r="BA40" s="5">
        <v>0.25000719794344484</v>
      </c>
      <c r="BB40" s="5">
        <v>7.9834058545213166E-2</v>
      </c>
      <c r="BC40" s="7">
        <v>3</v>
      </c>
      <c r="BD40" s="7"/>
      <c r="BE40" s="44">
        <f t="shared" si="22"/>
        <v>7.7068983832245558E-2</v>
      </c>
      <c r="BF40" s="44">
        <f t="shared" si="44"/>
        <v>0.4091763579637902</v>
      </c>
      <c r="BG40" s="26">
        <f t="shared" si="52"/>
        <v>3</v>
      </c>
      <c r="BH40" s="44">
        <f t="shared" si="42"/>
        <v>0.16265531789276841</v>
      </c>
      <c r="BI40" s="44">
        <f t="shared" si="46"/>
        <v>0.38505415710072183</v>
      </c>
      <c r="BJ40" s="1">
        <f t="shared" si="53"/>
        <v>3</v>
      </c>
      <c r="BK40" s="1"/>
      <c r="BL40" s="44">
        <v>1.0034602076124566</v>
      </c>
      <c r="BM40" s="44"/>
      <c r="BN40" s="1">
        <v>3</v>
      </c>
      <c r="BO40" s="44">
        <v>-3.4602076124567471E-3</v>
      </c>
      <c r="BP40" s="44"/>
      <c r="BQ40" s="26"/>
      <c r="BR40" s="5" t="s">
        <v>154</v>
      </c>
    </row>
    <row r="41" spans="1:70" x14ac:dyDescent="0.3">
      <c r="A41" s="4">
        <v>40</v>
      </c>
      <c r="B41" s="1" t="s">
        <v>50</v>
      </c>
      <c r="C41" s="5" t="s">
        <v>4</v>
      </c>
      <c r="D41" s="5" t="s">
        <v>253</v>
      </c>
      <c r="E41" s="1" t="s">
        <v>6</v>
      </c>
      <c r="F41" s="1" t="s">
        <v>108</v>
      </c>
      <c r="G41" s="1" t="s">
        <v>26</v>
      </c>
      <c r="H41" s="5" t="s">
        <v>9</v>
      </c>
      <c r="I41" s="5" t="s">
        <v>10</v>
      </c>
      <c r="J41" s="1" t="s">
        <v>220</v>
      </c>
      <c r="K41" s="1" t="s">
        <v>180</v>
      </c>
      <c r="L41" s="3">
        <v>1.5</v>
      </c>
      <c r="M41" s="8">
        <v>0</v>
      </c>
      <c r="N41" s="8">
        <v>0</v>
      </c>
      <c r="O41" s="1" t="s">
        <v>24</v>
      </c>
      <c r="P41" s="28">
        <v>63.9</v>
      </c>
      <c r="Q41" s="1">
        <v>23.933</v>
      </c>
      <c r="R41" s="7" t="s">
        <v>5</v>
      </c>
      <c r="S41" s="3">
        <v>3.5</v>
      </c>
      <c r="T41" s="3">
        <v>928</v>
      </c>
      <c r="U41" s="1" t="s">
        <v>6</v>
      </c>
      <c r="V41" s="1">
        <v>77</v>
      </c>
      <c r="W41" s="4" t="s">
        <v>5</v>
      </c>
      <c r="X41" s="1" t="s">
        <v>108</v>
      </c>
      <c r="Y41" s="1" t="s">
        <v>26</v>
      </c>
      <c r="Z41" s="5" t="s">
        <v>9</v>
      </c>
      <c r="AA41" s="5" t="s">
        <v>10</v>
      </c>
      <c r="AB41" s="1" t="s">
        <v>109</v>
      </c>
      <c r="AC41" s="1" t="s">
        <v>109</v>
      </c>
      <c r="AD41" s="1" t="s">
        <v>110</v>
      </c>
      <c r="AE41" s="5" t="s">
        <v>12</v>
      </c>
      <c r="AF41" s="5" t="s">
        <v>5</v>
      </c>
      <c r="AG41" s="5" t="s">
        <v>60</v>
      </c>
      <c r="AH41" s="5" t="s">
        <v>13</v>
      </c>
      <c r="AI41" s="4" t="s">
        <v>21</v>
      </c>
      <c r="AJ41" s="37" t="s">
        <v>5</v>
      </c>
      <c r="AK41" s="5" t="s">
        <v>5</v>
      </c>
      <c r="AL41" s="5" t="s">
        <v>5</v>
      </c>
      <c r="AM41" s="34">
        <f>34.8*44/28</f>
        <v>54.685714285714276</v>
      </c>
      <c r="AN41" s="25">
        <f>2.4*44/28*SQRT(6)</f>
        <v>9.2380756013536995</v>
      </c>
      <c r="AO41" s="1">
        <v>6</v>
      </c>
      <c r="AP41" s="12" t="s">
        <v>226</v>
      </c>
      <c r="AQ41" s="5" t="s">
        <v>5</v>
      </c>
      <c r="AR41" s="5" t="s">
        <v>5</v>
      </c>
      <c r="AS41" s="1">
        <v>3</v>
      </c>
      <c r="AT41" s="34">
        <f>AM41-BA41</f>
        <v>21.104914285714273</v>
      </c>
      <c r="AU41" s="34">
        <f>SQRT(AN41^2+BB41^2)</f>
        <v>26.11121717914212</v>
      </c>
      <c r="AV41" s="41" t="s">
        <v>109</v>
      </c>
      <c r="AW41" s="12" t="s">
        <v>194</v>
      </c>
      <c r="AX41" s="5" t="s">
        <v>5</v>
      </c>
      <c r="AY41" s="5" t="s">
        <v>5</v>
      </c>
      <c r="AZ41" s="7" t="s">
        <v>5</v>
      </c>
      <c r="BA41" s="25">
        <f>0.66*10^4*24*(("2007-12-31"-"2007-10-1")+("2008-5-1"-"2008-1-1"))/10^6</f>
        <v>33.580800000000004</v>
      </c>
      <c r="BB41" s="25">
        <f>0.48*10^4*24*(("2007-12-31"-"2007-10-1")+("2008-5-1"-"2008-1-1"))/10^6</f>
        <v>24.4224</v>
      </c>
      <c r="BC41" s="1">
        <v>6</v>
      </c>
      <c r="BG41" s="5"/>
      <c r="BH41" s="44">
        <f t="shared" si="42"/>
        <v>0.38593103448275845</v>
      </c>
      <c r="BI41" s="44">
        <f t="shared" si="46"/>
        <v>0.48190823078469186</v>
      </c>
      <c r="BJ41" s="1">
        <v>6</v>
      </c>
      <c r="BL41" s="44">
        <v>0.82938388625592419</v>
      </c>
      <c r="BM41" s="44"/>
      <c r="BN41" s="1">
        <v>3</v>
      </c>
      <c r="BO41" s="44">
        <v>0.17061611374407579</v>
      </c>
      <c r="BP41" s="44"/>
      <c r="BQ41" s="26"/>
      <c r="BR41" s="1" t="s">
        <v>145</v>
      </c>
    </row>
    <row r="42" spans="1:70" x14ac:dyDescent="0.3">
      <c r="A42" s="4">
        <v>41</v>
      </c>
      <c r="B42" s="1" t="s">
        <v>50</v>
      </c>
      <c r="C42" s="5" t="s">
        <v>4</v>
      </c>
      <c r="D42" s="1" t="s">
        <v>23</v>
      </c>
      <c r="E42" s="1" t="s">
        <v>6</v>
      </c>
      <c r="F42" s="1" t="s">
        <v>108</v>
      </c>
      <c r="G42" s="1" t="s">
        <v>26</v>
      </c>
      <c r="H42" s="5" t="s">
        <v>9</v>
      </c>
      <c r="I42" s="5" t="s">
        <v>10</v>
      </c>
      <c r="J42" s="1" t="s">
        <v>220</v>
      </c>
      <c r="K42" s="1" t="s">
        <v>180</v>
      </c>
      <c r="L42" s="3">
        <v>1.5</v>
      </c>
      <c r="M42" s="8">
        <v>0</v>
      </c>
      <c r="N42" s="8">
        <v>0</v>
      </c>
      <c r="O42" s="1" t="s">
        <v>24</v>
      </c>
      <c r="P42" s="28">
        <v>63.9</v>
      </c>
      <c r="Q42" s="1">
        <v>23.933</v>
      </c>
      <c r="R42" s="7" t="s">
        <v>5</v>
      </c>
      <c r="S42" s="3">
        <v>3.5</v>
      </c>
      <c r="T42" s="3">
        <v>928</v>
      </c>
      <c r="U42" s="1" t="s">
        <v>6</v>
      </c>
      <c r="V42" s="1">
        <v>47</v>
      </c>
      <c r="W42" s="4" t="s">
        <v>5</v>
      </c>
      <c r="X42" s="1" t="s">
        <v>108</v>
      </c>
      <c r="Y42" s="1" t="s">
        <v>26</v>
      </c>
      <c r="Z42" s="5" t="s">
        <v>9</v>
      </c>
      <c r="AA42" s="5" t="s">
        <v>10</v>
      </c>
      <c r="AB42" s="1" t="s">
        <v>109</v>
      </c>
      <c r="AC42" s="1" t="s">
        <v>109</v>
      </c>
      <c r="AD42" s="1" t="s">
        <v>110</v>
      </c>
      <c r="AE42" s="5" t="s">
        <v>12</v>
      </c>
      <c r="AF42" s="5" t="s">
        <v>5</v>
      </c>
      <c r="AG42" s="5" t="s">
        <v>60</v>
      </c>
      <c r="AH42" s="5" t="s">
        <v>13</v>
      </c>
      <c r="AI42" s="4" t="s">
        <v>21</v>
      </c>
      <c r="AJ42" s="37" t="s">
        <v>5</v>
      </c>
      <c r="AK42" s="5" t="s">
        <v>5</v>
      </c>
      <c r="AL42" s="5" t="s">
        <v>5</v>
      </c>
      <c r="AM42" s="34">
        <f>25.5*44/28</f>
        <v>40.071428571428569</v>
      </c>
      <c r="AN42" s="25">
        <f>5.5*44/28*SQRT(6)</f>
        <v>21.170589919768894</v>
      </c>
      <c r="AO42" s="1">
        <v>6</v>
      </c>
      <c r="AP42" s="12" t="s">
        <v>226</v>
      </c>
      <c r="AQ42" s="5" t="s">
        <v>5</v>
      </c>
      <c r="AR42" s="5" t="s">
        <v>5</v>
      </c>
      <c r="AS42" s="1">
        <v>3</v>
      </c>
      <c r="AT42" s="34">
        <f t="shared" si="3"/>
        <v>19.210628571428568</v>
      </c>
      <c r="AU42" s="34">
        <f t="shared" si="4"/>
        <v>28.67076735825221</v>
      </c>
      <c r="AV42" s="41" t="s">
        <v>109</v>
      </c>
      <c r="AW42" s="12" t="s">
        <v>194</v>
      </c>
      <c r="AX42" s="5" t="s">
        <v>5</v>
      </c>
      <c r="AY42" s="5" t="s">
        <v>5</v>
      </c>
      <c r="AZ42" s="7" t="s">
        <v>5</v>
      </c>
      <c r="BA42" s="25">
        <f>0.41*10^4*24*(("2007-12-31"-"2007-10-1")+("2008-5-1"-"2008-1-1"))/10^6</f>
        <v>20.860800000000001</v>
      </c>
      <c r="BB42" s="25">
        <f>0.38*10^4*24*(("2007-12-31"-"2007-10-1")+("2008-5-1"-"2008-1-1"))/10^6</f>
        <v>19.334399999999999</v>
      </c>
      <c r="BC42" s="1">
        <v>6</v>
      </c>
      <c r="BG42" s="5"/>
      <c r="BH42" s="44">
        <f t="shared" si="42"/>
        <v>0.47940962566844914</v>
      </c>
      <c r="BI42" s="44">
        <f t="shared" si="46"/>
        <v>0.75899937551157937</v>
      </c>
      <c r="BJ42" s="1">
        <v>6</v>
      </c>
      <c r="BL42" s="44">
        <v>-1.887775115981154</v>
      </c>
      <c r="BM42" s="44">
        <v>5.2064592480141743</v>
      </c>
      <c r="BN42" s="1">
        <v>3</v>
      </c>
      <c r="BO42" s="44">
        <v>2.887775115981154</v>
      </c>
      <c r="BP42" s="44"/>
      <c r="BQ42" s="26"/>
      <c r="BR42" s="1" t="s">
        <v>145</v>
      </c>
    </row>
    <row r="43" spans="1:70" x14ac:dyDescent="0.3">
      <c r="A43" s="4">
        <v>42</v>
      </c>
      <c r="B43" s="1" t="s">
        <v>111</v>
      </c>
      <c r="C43" s="1" t="s">
        <v>185</v>
      </c>
      <c r="D43" s="1" t="s">
        <v>185</v>
      </c>
      <c r="E43" s="1" t="s">
        <v>16</v>
      </c>
      <c r="F43" s="1" t="s">
        <v>55</v>
      </c>
      <c r="G43" s="1" t="s">
        <v>26</v>
      </c>
      <c r="H43" s="5" t="s">
        <v>9</v>
      </c>
      <c r="I43" s="1" t="s">
        <v>113</v>
      </c>
      <c r="J43" s="27" t="s">
        <v>114</v>
      </c>
      <c r="K43" s="1" t="s">
        <v>18</v>
      </c>
      <c r="L43" s="3" t="s">
        <v>109</v>
      </c>
      <c r="M43" s="8">
        <v>0</v>
      </c>
      <c r="N43" s="8">
        <v>0</v>
      </c>
      <c r="O43" s="1" t="s">
        <v>112</v>
      </c>
      <c r="P43" s="28">
        <v>47.582999999999998</v>
      </c>
      <c r="Q43" s="1">
        <v>133.517</v>
      </c>
      <c r="R43" s="3" t="s">
        <v>109</v>
      </c>
      <c r="S43" s="3" t="s">
        <v>109</v>
      </c>
      <c r="T43" s="3" t="s">
        <v>109</v>
      </c>
      <c r="U43" s="1" t="s">
        <v>16</v>
      </c>
      <c r="V43" s="1" t="s">
        <v>109</v>
      </c>
      <c r="W43" s="1" t="s">
        <v>109</v>
      </c>
      <c r="X43" s="1" t="s">
        <v>55</v>
      </c>
      <c r="Y43" s="1" t="s">
        <v>26</v>
      </c>
      <c r="Z43" s="5" t="s">
        <v>9</v>
      </c>
      <c r="AA43" s="1" t="s">
        <v>113</v>
      </c>
      <c r="AB43" s="27" t="s">
        <v>114</v>
      </c>
      <c r="AC43" s="1" t="s">
        <v>18</v>
      </c>
      <c r="AD43" s="1">
        <v>2002</v>
      </c>
      <c r="AE43" s="1" t="s">
        <v>12</v>
      </c>
      <c r="AF43" s="1" t="s">
        <v>109</v>
      </c>
      <c r="AG43" s="5" t="s">
        <v>35</v>
      </c>
      <c r="AH43" s="5" t="s">
        <v>13</v>
      </c>
      <c r="AI43" s="4" t="s">
        <v>21</v>
      </c>
      <c r="AJ43" s="34">
        <f>AX43+1.25</f>
        <v>0.73877599999999999</v>
      </c>
      <c r="AK43" s="1" t="s">
        <v>109</v>
      </c>
      <c r="AL43" s="1">
        <v>3</v>
      </c>
      <c r="AM43" s="34" t="s">
        <v>109</v>
      </c>
      <c r="AN43" s="1" t="s">
        <v>109</v>
      </c>
      <c r="AO43" s="1" t="s">
        <v>109</v>
      </c>
      <c r="AP43" s="12" t="s">
        <v>226</v>
      </c>
      <c r="AQ43" s="34">
        <f t="shared" si="11"/>
        <v>1.25</v>
      </c>
      <c r="AR43" s="5" t="s">
        <v>5</v>
      </c>
      <c r="AS43" s="1">
        <v>3</v>
      </c>
      <c r="AT43" s="5" t="s">
        <v>5</v>
      </c>
      <c r="AU43" s="5" t="s">
        <v>5</v>
      </c>
      <c r="AV43" s="40" t="s">
        <v>5</v>
      </c>
      <c r="AW43" s="12" t="s">
        <v>194</v>
      </c>
      <c r="AX43" s="25">
        <f>-0.0119*10^4*24*(("2002-12-31"-"2002-11-1")+("2003-4-30"-"2003-1-1"))/10^6</f>
        <v>-0.51122400000000001</v>
      </c>
      <c r="AY43" s="25">
        <f>0.0047*10^4*24*(("2002-12-31"-"2002-11-1")+("2003-4-30"-"2003-1-1"))/10^6</f>
        <v>0.20191200000000001</v>
      </c>
      <c r="AZ43" s="26">
        <v>3</v>
      </c>
      <c r="BA43" s="25" t="s">
        <v>109</v>
      </c>
      <c r="BB43" s="25" t="s">
        <v>109</v>
      </c>
      <c r="BC43" s="25" t="s">
        <v>109</v>
      </c>
      <c r="BD43" s="25"/>
      <c r="BE43" s="44">
        <f t="shared" ref="BE43:BE52" si="54">AQ43/AJ43</f>
        <v>1.6919878285163568</v>
      </c>
      <c r="BG43" s="1">
        <v>6</v>
      </c>
      <c r="BJ43" s="26"/>
      <c r="BK43" s="26"/>
      <c r="BL43" s="44">
        <v>0.87251635622917711</v>
      </c>
      <c r="BM43" s="44">
        <v>1.1367776056771504</v>
      </c>
      <c r="BN43" s="1">
        <v>3</v>
      </c>
      <c r="BO43" s="44">
        <v>0.12748364377082289</v>
      </c>
      <c r="BP43" s="44"/>
      <c r="BQ43" s="26"/>
      <c r="BR43" s="1" t="s">
        <v>147</v>
      </c>
    </row>
    <row r="44" spans="1:70" x14ac:dyDescent="0.3">
      <c r="A44" s="4">
        <v>43</v>
      </c>
      <c r="B44" s="1" t="s">
        <v>111</v>
      </c>
      <c r="C44" s="1" t="s">
        <v>185</v>
      </c>
      <c r="D44" s="1" t="s">
        <v>185</v>
      </c>
      <c r="E44" s="1" t="s">
        <v>16</v>
      </c>
      <c r="F44" s="1" t="s">
        <v>55</v>
      </c>
      <c r="G44" s="1" t="s">
        <v>26</v>
      </c>
      <c r="H44" s="5" t="s">
        <v>9</v>
      </c>
      <c r="I44" s="1" t="s">
        <v>113</v>
      </c>
      <c r="J44" s="27" t="s">
        <v>114</v>
      </c>
      <c r="K44" s="1" t="s">
        <v>18</v>
      </c>
      <c r="L44" s="3" t="s">
        <v>109</v>
      </c>
      <c r="M44" s="8">
        <v>0</v>
      </c>
      <c r="N44" s="8">
        <v>0</v>
      </c>
      <c r="O44" s="1" t="s">
        <v>112</v>
      </c>
      <c r="P44" s="28">
        <v>47.582999999999998</v>
      </c>
      <c r="Q44" s="1">
        <v>133.517</v>
      </c>
      <c r="R44" s="3" t="s">
        <v>109</v>
      </c>
      <c r="S44" s="3" t="s">
        <v>109</v>
      </c>
      <c r="T44" s="3" t="s">
        <v>109</v>
      </c>
      <c r="U44" s="1" t="s">
        <v>16</v>
      </c>
      <c r="V44" s="1" t="s">
        <v>109</v>
      </c>
      <c r="W44" s="1" t="s">
        <v>109</v>
      </c>
      <c r="X44" s="1" t="s">
        <v>55</v>
      </c>
      <c r="Y44" s="1" t="s">
        <v>26</v>
      </c>
      <c r="Z44" s="5" t="s">
        <v>9</v>
      </c>
      <c r="AA44" s="1" t="s">
        <v>113</v>
      </c>
      <c r="AB44" s="27" t="s">
        <v>114</v>
      </c>
      <c r="AC44" s="1" t="s">
        <v>18</v>
      </c>
      <c r="AD44" s="1">
        <v>2003</v>
      </c>
      <c r="AE44" s="1" t="s">
        <v>12</v>
      </c>
      <c r="AF44" s="1" t="s">
        <v>109</v>
      </c>
      <c r="AG44" s="5" t="s">
        <v>35</v>
      </c>
      <c r="AH44" s="5" t="s">
        <v>13</v>
      </c>
      <c r="AI44" s="4" t="s">
        <v>21</v>
      </c>
      <c r="AJ44" s="34">
        <f>AX44+2.86</f>
        <v>2.6452</v>
      </c>
      <c r="AK44" s="1" t="s">
        <v>109</v>
      </c>
      <c r="AL44" s="1">
        <v>3</v>
      </c>
      <c r="AM44" s="34" t="s">
        <v>109</v>
      </c>
      <c r="AN44" s="1" t="s">
        <v>109</v>
      </c>
      <c r="AO44" s="1" t="s">
        <v>109</v>
      </c>
      <c r="AP44" s="12" t="s">
        <v>226</v>
      </c>
      <c r="AQ44" s="34">
        <f t="shared" si="11"/>
        <v>2.86</v>
      </c>
      <c r="AR44" s="5" t="s">
        <v>5</v>
      </c>
      <c r="AS44" s="1">
        <v>3</v>
      </c>
      <c r="AT44" s="5" t="s">
        <v>5</v>
      </c>
      <c r="AU44" s="5" t="s">
        <v>5</v>
      </c>
      <c r="AV44" s="40" t="s">
        <v>5</v>
      </c>
      <c r="AW44" s="12" t="s">
        <v>194</v>
      </c>
      <c r="AX44" s="25">
        <f>-0.005*10^4*24*(("2002-12-31"-"2002-11-1")+("2003-4-30"-"2003-1-1"))/10^6</f>
        <v>-0.21479999999999999</v>
      </c>
      <c r="AY44" s="25">
        <f>0.0058*10^4*24*(("2002-12-31"-"2002-11-1")+("2003-4-30"-"2003-1-1"))/10^6</f>
        <v>0.24916799999999997</v>
      </c>
      <c r="AZ44" s="26">
        <v>3</v>
      </c>
      <c r="BA44" s="25" t="s">
        <v>109</v>
      </c>
      <c r="BB44" s="25" t="s">
        <v>109</v>
      </c>
      <c r="BC44" s="25" t="s">
        <v>109</v>
      </c>
      <c r="BD44" s="25"/>
      <c r="BE44" s="44">
        <f t="shared" si="54"/>
        <v>1.0812036897021018</v>
      </c>
      <c r="BG44" s="1">
        <v>6</v>
      </c>
      <c r="BJ44" s="26"/>
      <c r="BK44" s="26"/>
      <c r="BL44" s="26"/>
      <c r="BM44" s="26"/>
      <c r="BN44" s="26"/>
      <c r="BO44" s="26"/>
      <c r="BP44" s="26"/>
      <c r="BQ44" s="26"/>
      <c r="BR44" s="1" t="s">
        <v>147</v>
      </c>
    </row>
    <row r="45" spans="1:70" x14ac:dyDescent="0.3">
      <c r="A45" s="4">
        <v>44</v>
      </c>
      <c r="B45" s="1" t="s">
        <v>111</v>
      </c>
      <c r="C45" s="1" t="s">
        <v>185</v>
      </c>
      <c r="D45" s="1" t="s">
        <v>185</v>
      </c>
      <c r="E45" s="1" t="s">
        <v>16</v>
      </c>
      <c r="F45" s="1" t="s">
        <v>55</v>
      </c>
      <c r="G45" s="1" t="s">
        <v>26</v>
      </c>
      <c r="H45" s="5" t="s">
        <v>9</v>
      </c>
      <c r="I45" s="1" t="s">
        <v>10</v>
      </c>
      <c r="J45" s="27" t="s">
        <v>115</v>
      </c>
      <c r="K45" s="1" t="s">
        <v>116</v>
      </c>
      <c r="L45" s="3" t="s">
        <v>109</v>
      </c>
      <c r="M45" s="8">
        <v>0</v>
      </c>
      <c r="N45" s="8">
        <v>0</v>
      </c>
      <c r="O45" s="1" t="s">
        <v>112</v>
      </c>
      <c r="P45" s="28">
        <v>47.582999999999998</v>
      </c>
      <c r="Q45" s="1">
        <v>133.517</v>
      </c>
      <c r="R45" s="3" t="s">
        <v>109</v>
      </c>
      <c r="S45" s="3" t="s">
        <v>109</v>
      </c>
      <c r="T45" s="3" t="s">
        <v>109</v>
      </c>
      <c r="U45" s="1" t="s">
        <v>16</v>
      </c>
      <c r="V45" s="1" t="s">
        <v>109</v>
      </c>
      <c r="W45" s="1" t="s">
        <v>109</v>
      </c>
      <c r="X45" s="1" t="s">
        <v>55</v>
      </c>
      <c r="Y45" s="1" t="s">
        <v>26</v>
      </c>
      <c r="Z45" s="5" t="s">
        <v>9</v>
      </c>
      <c r="AA45" s="1" t="s">
        <v>10</v>
      </c>
      <c r="AB45" s="27" t="s">
        <v>115</v>
      </c>
      <c r="AC45" s="1" t="s">
        <v>116</v>
      </c>
      <c r="AD45" s="1">
        <v>2002</v>
      </c>
      <c r="AE45" s="1" t="s">
        <v>12</v>
      </c>
      <c r="AF45" s="1" t="s">
        <v>109</v>
      </c>
      <c r="AG45" s="5" t="s">
        <v>35</v>
      </c>
      <c r="AH45" s="5" t="s">
        <v>13</v>
      </c>
      <c r="AI45" s="4" t="s">
        <v>21</v>
      </c>
      <c r="AJ45" s="34">
        <f>AX45+2.7</f>
        <v>0.20402399999999998</v>
      </c>
      <c r="AK45" s="1" t="s">
        <v>109</v>
      </c>
      <c r="AL45" s="1">
        <v>3</v>
      </c>
      <c r="AM45" s="34" t="s">
        <v>109</v>
      </c>
      <c r="AN45" s="1" t="s">
        <v>109</v>
      </c>
      <c r="AO45" s="1" t="s">
        <v>109</v>
      </c>
      <c r="AP45" s="12" t="s">
        <v>226</v>
      </c>
      <c r="AQ45" s="34">
        <f t="shared" si="11"/>
        <v>2.7</v>
      </c>
      <c r="AR45" s="5" t="s">
        <v>5</v>
      </c>
      <c r="AS45" s="1">
        <v>3</v>
      </c>
      <c r="AT45" s="5" t="s">
        <v>5</v>
      </c>
      <c r="AU45" s="5" t="s">
        <v>5</v>
      </c>
      <c r="AV45" s="40" t="s">
        <v>5</v>
      </c>
      <c r="AW45" s="12" t="s">
        <v>194</v>
      </c>
      <c r="AX45" s="25">
        <f>-0.0581*10^4*24*(("2002-12-31"-"2002-11-1")+("2003-4-30"-"2003-1-1"))/10^6</f>
        <v>-2.4959760000000002</v>
      </c>
      <c r="AY45" s="25">
        <f>0.0103*10^4*24*(("2002-12-31"-"2002-11-1")+("2003-4-30"-"2003-1-1"))/10^6</f>
        <v>0.44248799999999999</v>
      </c>
      <c r="AZ45" s="26">
        <v>3</v>
      </c>
      <c r="BA45" s="25" t="s">
        <v>109</v>
      </c>
      <c r="BB45" s="25" t="s">
        <v>109</v>
      </c>
      <c r="BC45" s="25" t="s">
        <v>109</v>
      </c>
      <c r="BD45" s="25"/>
      <c r="BE45" s="44">
        <f t="shared" si="54"/>
        <v>13.233737207387367</v>
      </c>
      <c r="BG45" s="1">
        <v>6</v>
      </c>
      <c r="BJ45" s="26"/>
      <c r="BK45" s="26"/>
      <c r="BL45" s="44"/>
      <c r="BM45" s="44"/>
      <c r="BO45" s="44"/>
      <c r="BP45" s="26"/>
      <c r="BQ45" s="26"/>
      <c r="BR45" s="1" t="s">
        <v>147</v>
      </c>
    </row>
    <row r="46" spans="1:70" x14ac:dyDescent="0.3">
      <c r="A46" s="4">
        <v>45</v>
      </c>
      <c r="B46" s="1" t="s">
        <v>111</v>
      </c>
      <c r="C46" s="1" t="s">
        <v>185</v>
      </c>
      <c r="D46" s="1" t="s">
        <v>185</v>
      </c>
      <c r="E46" s="1" t="s">
        <v>16</v>
      </c>
      <c r="F46" s="1" t="s">
        <v>55</v>
      </c>
      <c r="G46" s="1" t="s">
        <v>26</v>
      </c>
      <c r="H46" s="5" t="s">
        <v>9</v>
      </c>
      <c r="I46" s="1" t="s">
        <v>10</v>
      </c>
      <c r="J46" s="27" t="s">
        <v>115</v>
      </c>
      <c r="K46" s="1" t="s">
        <v>116</v>
      </c>
      <c r="L46" s="3" t="s">
        <v>109</v>
      </c>
      <c r="M46" s="8">
        <v>0</v>
      </c>
      <c r="N46" s="8">
        <v>0</v>
      </c>
      <c r="O46" s="1" t="s">
        <v>112</v>
      </c>
      <c r="P46" s="28">
        <v>47.582999999999998</v>
      </c>
      <c r="Q46" s="1">
        <v>133.517</v>
      </c>
      <c r="R46" s="3" t="s">
        <v>109</v>
      </c>
      <c r="S46" s="3" t="s">
        <v>109</v>
      </c>
      <c r="T46" s="3" t="s">
        <v>109</v>
      </c>
      <c r="U46" s="1" t="s">
        <v>16</v>
      </c>
      <c r="V46" s="1" t="s">
        <v>109</v>
      </c>
      <c r="W46" s="1" t="s">
        <v>109</v>
      </c>
      <c r="X46" s="1" t="s">
        <v>55</v>
      </c>
      <c r="Y46" s="1" t="s">
        <v>26</v>
      </c>
      <c r="Z46" s="5" t="s">
        <v>9</v>
      </c>
      <c r="AA46" s="1" t="s">
        <v>10</v>
      </c>
      <c r="AB46" s="27" t="s">
        <v>115</v>
      </c>
      <c r="AC46" s="1" t="s">
        <v>116</v>
      </c>
      <c r="AD46" s="1">
        <v>2003</v>
      </c>
      <c r="AE46" s="1" t="s">
        <v>12</v>
      </c>
      <c r="AF46" s="1" t="s">
        <v>109</v>
      </c>
      <c r="AG46" s="5" t="s">
        <v>35</v>
      </c>
      <c r="AH46" s="5" t="s">
        <v>13</v>
      </c>
      <c r="AI46" s="4" t="s">
        <v>21</v>
      </c>
      <c r="AJ46" s="34">
        <f>AX46+3.94</f>
        <v>3.7252000000000001</v>
      </c>
      <c r="AK46" s="1" t="s">
        <v>109</v>
      </c>
      <c r="AL46" s="1">
        <v>3</v>
      </c>
      <c r="AM46" s="34" t="s">
        <v>109</v>
      </c>
      <c r="AN46" s="1" t="s">
        <v>109</v>
      </c>
      <c r="AO46" s="1" t="s">
        <v>109</v>
      </c>
      <c r="AP46" s="12" t="s">
        <v>226</v>
      </c>
      <c r="AQ46" s="34">
        <f t="shared" si="11"/>
        <v>3.94</v>
      </c>
      <c r="AR46" s="5" t="s">
        <v>5</v>
      </c>
      <c r="AS46" s="25" t="s">
        <v>109</v>
      </c>
      <c r="AT46" s="5" t="s">
        <v>5</v>
      </c>
      <c r="AU46" s="5" t="s">
        <v>5</v>
      </c>
      <c r="AV46" s="40" t="s">
        <v>5</v>
      </c>
      <c r="AW46" s="12" t="s">
        <v>194</v>
      </c>
      <c r="AX46" s="25">
        <f>-0.005*10^4*24*(("2002-12-31"-"2002-11-1")+("2003-4-30"-"2003-1-1"))/10^6</f>
        <v>-0.21479999999999999</v>
      </c>
      <c r="AY46" s="25">
        <f>0.0075*10^4*24*(("2002-12-31"-"2002-11-1")+("2003-4-30"-"2003-1-1"))/10^6</f>
        <v>0.32219999999999999</v>
      </c>
      <c r="AZ46" s="26">
        <v>3</v>
      </c>
      <c r="BA46" s="25" t="s">
        <v>109</v>
      </c>
      <c r="BB46" s="25" t="s">
        <v>109</v>
      </c>
      <c r="BC46" s="25" t="s">
        <v>109</v>
      </c>
      <c r="BD46" s="25"/>
      <c r="BE46" s="44">
        <f t="shared" si="54"/>
        <v>1.0576613336196714</v>
      </c>
      <c r="BG46" s="1">
        <v>6</v>
      </c>
      <c r="BJ46" s="26"/>
      <c r="BK46" s="26"/>
      <c r="BL46" s="44">
        <f t="shared" ref="BL46" si="55">AX46/AJ46</f>
        <v>-5.766133361967142E-2</v>
      </c>
      <c r="BM46" s="44"/>
      <c r="BO46" s="44"/>
      <c r="BP46" s="26"/>
      <c r="BQ46" s="26"/>
      <c r="BR46" s="1" t="s">
        <v>147</v>
      </c>
    </row>
    <row r="47" spans="1:70" x14ac:dyDescent="0.3">
      <c r="A47" s="4">
        <v>46</v>
      </c>
      <c r="B47" s="1" t="s">
        <v>117</v>
      </c>
      <c r="C47" s="1" t="s">
        <v>185</v>
      </c>
      <c r="D47" s="1" t="s">
        <v>185</v>
      </c>
      <c r="E47" s="1" t="s">
        <v>16</v>
      </c>
      <c r="F47" s="1" t="s">
        <v>55</v>
      </c>
      <c r="G47" s="1" t="s">
        <v>26</v>
      </c>
      <c r="H47" s="5" t="s">
        <v>9</v>
      </c>
      <c r="I47" s="1" t="s">
        <v>113</v>
      </c>
      <c r="J47" s="27" t="s">
        <v>118</v>
      </c>
      <c r="K47" s="1" t="s">
        <v>119</v>
      </c>
      <c r="L47" s="3" t="s">
        <v>109</v>
      </c>
      <c r="M47" s="8">
        <v>0</v>
      </c>
      <c r="N47" s="8">
        <v>0</v>
      </c>
      <c r="O47" s="1" t="s">
        <v>112</v>
      </c>
      <c r="P47" s="28">
        <v>47.582999999999998</v>
      </c>
      <c r="Q47" s="1">
        <v>133.517</v>
      </c>
      <c r="R47" s="3" t="s">
        <v>109</v>
      </c>
      <c r="S47" s="3">
        <v>2.2999999999999998</v>
      </c>
      <c r="T47" s="3">
        <v>476.1</v>
      </c>
      <c r="U47" s="1" t="s">
        <v>16</v>
      </c>
      <c r="V47" s="1" t="s">
        <v>109</v>
      </c>
      <c r="W47" s="1" t="s">
        <v>109</v>
      </c>
      <c r="X47" s="1" t="s">
        <v>55</v>
      </c>
      <c r="Y47" s="1" t="s">
        <v>26</v>
      </c>
      <c r="Z47" s="5" t="s">
        <v>9</v>
      </c>
      <c r="AA47" s="1" t="s">
        <v>113</v>
      </c>
      <c r="AB47" s="27" t="s">
        <v>118</v>
      </c>
      <c r="AC47" s="1" t="s">
        <v>119</v>
      </c>
      <c r="AD47" s="1" t="s">
        <v>120</v>
      </c>
      <c r="AE47" s="1" t="s">
        <v>12</v>
      </c>
      <c r="AF47" s="1" t="s">
        <v>109</v>
      </c>
      <c r="AG47" s="5" t="s">
        <v>35</v>
      </c>
      <c r="AH47" s="5" t="s">
        <v>13</v>
      </c>
      <c r="AI47" s="4" t="s">
        <v>21</v>
      </c>
      <c r="AJ47" s="34">
        <f>0.016*10^4*44/28/10^3</f>
        <v>0.25142857142857139</v>
      </c>
      <c r="AK47" s="1" t="s">
        <v>109</v>
      </c>
      <c r="AL47" s="1">
        <v>3</v>
      </c>
      <c r="AM47" s="34" t="s">
        <v>109</v>
      </c>
      <c r="AN47" s="1" t="s">
        <v>109</v>
      </c>
      <c r="AO47" s="1" t="s">
        <v>109</v>
      </c>
      <c r="AP47" s="12" t="s">
        <v>226</v>
      </c>
      <c r="AQ47" s="34">
        <f t="shared" si="11"/>
        <v>1.2728571428571427</v>
      </c>
      <c r="AR47" s="5" t="s">
        <v>5</v>
      </c>
      <c r="AS47" s="25" t="s">
        <v>109</v>
      </c>
      <c r="AT47" s="5" t="s">
        <v>5</v>
      </c>
      <c r="AU47" s="5" t="s">
        <v>5</v>
      </c>
      <c r="AV47" s="40" t="s">
        <v>5</v>
      </c>
      <c r="AW47" s="12" t="s">
        <v>194</v>
      </c>
      <c r="AX47" s="25">
        <f>-0.065*10^4*44/28/10^3</f>
        <v>-1.0214285714285714</v>
      </c>
      <c r="AY47" s="1" t="s">
        <v>109</v>
      </c>
      <c r="AZ47" s="26">
        <v>3</v>
      </c>
      <c r="BA47" s="25" t="s">
        <v>109</v>
      </c>
      <c r="BB47" s="25" t="s">
        <v>109</v>
      </c>
      <c r="BC47" s="25" t="s">
        <v>109</v>
      </c>
      <c r="BD47" s="25"/>
      <c r="BE47" s="44">
        <f t="shared" si="54"/>
        <v>5.0625</v>
      </c>
      <c r="BG47" s="1">
        <v>3</v>
      </c>
      <c r="BJ47" s="26"/>
      <c r="BK47" s="26"/>
      <c r="BL47" s="26"/>
      <c r="BM47" s="26"/>
      <c r="BN47" s="26"/>
      <c r="BO47" s="26"/>
      <c r="BP47" s="26"/>
      <c r="BQ47" s="26"/>
      <c r="BR47" s="1" t="s">
        <v>148</v>
      </c>
    </row>
    <row r="48" spans="1:70" x14ac:dyDescent="0.3">
      <c r="A48" s="4">
        <v>47</v>
      </c>
      <c r="B48" s="1" t="s">
        <v>117</v>
      </c>
      <c r="C48" s="1" t="s">
        <v>185</v>
      </c>
      <c r="D48" s="1" t="s">
        <v>185</v>
      </c>
      <c r="E48" s="1" t="s">
        <v>16</v>
      </c>
      <c r="F48" s="1" t="s">
        <v>55</v>
      </c>
      <c r="G48" s="1" t="s">
        <v>26</v>
      </c>
      <c r="H48" s="5" t="s">
        <v>9</v>
      </c>
      <c r="I48" s="1" t="s">
        <v>113</v>
      </c>
      <c r="J48" s="27" t="s">
        <v>118</v>
      </c>
      <c r="K48" s="1" t="s">
        <v>119</v>
      </c>
      <c r="L48" s="3" t="s">
        <v>109</v>
      </c>
      <c r="M48" s="8">
        <v>0</v>
      </c>
      <c r="N48" s="8">
        <v>0</v>
      </c>
      <c r="O48" s="1" t="s">
        <v>112</v>
      </c>
      <c r="P48" s="28">
        <v>47.582999999999998</v>
      </c>
      <c r="Q48" s="1">
        <v>133.517</v>
      </c>
      <c r="R48" s="3" t="s">
        <v>109</v>
      </c>
      <c r="S48" s="3">
        <v>2.23</v>
      </c>
      <c r="T48" s="3">
        <v>484.2</v>
      </c>
      <c r="U48" s="1" t="s">
        <v>16</v>
      </c>
      <c r="V48" s="1" t="s">
        <v>109</v>
      </c>
      <c r="W48" s="1" t="s">
        <v>109</v>
      </c>
      <c r="X48" s="1" t="s">
        <v>55</v>
      </c>
      <c r="Y48" s="1" t="s">
        <v>26</v>
      </c>
      <c r="Z48" s="5" t="s">
        <v>9</v>
      </c>
      <c r="AA48" s="1" t="s">
        <v>113</v>
      </c>
      <c r="AB48" s="27" t="s">
        <v>118</v>
      </c>
      <c r="AC48" s="1" t="s">
        <v>119</v>
      </c>
      <c r="AD48" s="1" t="s">
        <v>140</v>
      </c>
      <c r="AE48" s="1" t="s">
        <v>12</v>
      </c>
      <c r="AF48" s="1" t="s">
        <v>109</v>
      </c>
      <c r="AG48" s="5" t="s">
        <v>35</v>
      </c>
      <c r="AH48" s="5" t="s">
        <v>13</v>
      </c>
      <c r="AI48" s="4" t="s">
        <v>21</v>
      </c>
      <c r="AJ48" s="34">
        <f>0.166*10^4*44/28/10^3</f>
        <v>2.6085714285714285</v>
      </c>
      <c r="AK48" s="1" t="s">
        <v>109</v>
      </c>
      <c r="AL48" s="1">
        <v>3</v>
      </c>
      <c r="AM48" s="34" t="s">
        <v>109</v>
      </c>
      <c r="AN48" s="1" t="s">
        <v>109</v>
      </c>
      <c r="AO48" s="1" t="s">
        <v>109</v>
      </c>
      <c r="AP48" s="12" t="s">
        <v>226</v>
      </c>
      <c r="AQ48" s="34">
        <f t="shared" si="11"/>
        <v>2.6714285714285713</v>
      </c>
      <c r="AR48" s="5" t="s">
        <v>5</v>
      </c>
      <c r="AS48" s="25" t="s">
        <v>109</v>
      </c>
      <c r="AT48" s="5" t="s">
        <v>5</v>
      </c>
      <c r="AU48" s="5" t="s">
        <v>5</v>
      </c>
      <c r="AV48" s="40" t="s">
        <v>5</v>
      </c>
      <c r="AW48" s="12" t="s">
        <v>194</v>
      </c>
      <c r="AX48" s="25">
        <f>-0.004*10^4*44/28/10^3</f>
        <v>-6.2857142857142848E-2</v>
      </c>
      <c r="AY48" s="1" t="s">
        <v>109</v>
      </c>
      <c r="AZ48" s="26">
        <v>3</v>
      </c>
      <c r="BA48" s="25" t="s">
        <v>109</v>
      </c>
      <c r="BB48" s="25" t="s">
        <v>109</v>
      </c>
      <c r="BC48" s="25" t="s">
        <v>109</v>
      </c>
      <c r="BD48" s="25"/>
      <c r="BE48" s="44">
        <f t="shared" si="54"/>
        <v>1.0240963855421685</v>
      </c>
      <c r="BG48" s="1">
        <v>3</v>
      </c>
      <c r="BJ48" s="26"/>
      <c r="BK48" s="26"/>
      <c r="BL48" s="26"/>
      <c r="BM48" s="26"/>
      <c r="BN48" s="26"/>
      <c r="BO48" s="26"/>
      <c r="BP48" s="26"/>
      <c r="BQ48" s="26"/>
      <c r="BR48" s="1" t="s">
        <v>148</v>
      </c>
    </row>
    <row r="49" spans="1:70" x14ac:dyDescent="0.3">
      <c r="A49" s="4">
        <v>48</v>
      </c>
      <c r="B49" s="1" t="s">
        <v>117</v>
      </c>
      <c r="C49" s="1" t="s">
        <v>185</v>
      </c>
      <c r="D49" s="1" t="s">
        <v>185</v>
      </c>
      <c r="E49" s="1" t="s">
        <v>16</v>
      </c>
      <c r="F49" s="1" t="s">
        <v>55</v>
      </c>
      <c r="G49" s="1" t="s">
        <v>26</v>
      </c>
      <c r="H49" s="5" t="s">
        <v>9</v>
      </c>
      <c r="I49" s="1" t="s">
        <v>113</v>
      </c>
      <c r="J49" s="27" t="s">
        <v>118</v>
      </c>
      <c r="K49" s="1" t="s">
        <v>119</v>
      </c>
      <c r="L49" s="3" t="s">
        <v>109</v>
      </c>
      <c r="M49" s="8">
        <v>0</v>
      </c>
      <c r="N49" s="8">
        <v>0</v>
      </c>
      <c r="O49" s="1" t="s">
        <v>112</v>
      </c>
      <c r="P49" s="28">
        <v>47.582999999999998</v>
      </c>
      <c r="Q49" s="1">
        <v>133.517</v>
      </c>
      <c r="R49" s="3" t="s">
        <v>109</v>
      </c>
      <c r="S49" s="3">
        <v>2.17</v>
      </c>
      <c r="T49" s="3">
        <v>444.7</v>
      </c>
      <c r="U49" s="1" t="s">
        <v>16</v>
      </c>
      <c r="V49" s="1" t="s">
        <v>109</v>
      </c>
      <c r="W49" s="1" t="s">
        <v>109</v>
      </c>
      <c r="X49" s="1" t="s">
        <v>55</v>
      </c>
      <c r="Y49" s="1" t="s">
        <v>26</v>
      </c>
      <c r="Z49" s="5" t="s">
        <v>9</v>
      </c>
      <c r="AA49" s="1" t="s">
        <v>113</v>
      </c>
      <c r="AB49" s="27" t="s">
        <v>118</v>
      </c>
      <c r="AC49" s="1" t="s">
        <v>119</v>
      </c>
      <c r="AD49" s="1" t="s">
        <v>122</v>
      </c>
      <c r="AE49" s="1" t="s">
        <v>12</v>
      </c>
      <c r="AF49" s="1" t="s">
        <v>109</v>
      </c>
      <c r="AG49" s="5" t="s">
        <v>35</v>
      </c>
      <c r="AH49" s="5" t="s">
        <v>13</v>
      </c>
      <c r="AI49" s="4" t="s">
        <v>21</v>
      </c>
      <c r="AJ49" s="34">
        <f>0.191*10^4*44/28/10^3</f>
        <v>3.0014285714285718</v>
      </c>
      <c r="AK49" s="1" t="s">
        <v>109</v>
      </c>
      <c r="AL49" s="1">
        <v>3</v>
      </c>
      <c r="AM49" s="34" t="s">
        <v>109</v>
      </c>
      <c r="AN49" s="1" t="s">
        <v>109</v>
      </c>
      <c r="AO49" s="1" t="s">
        <v>109</v>
      </c>
      <c r="AP49" s="12" t="s">
        <v>226</v>
      </c>
      <c r="AQ49" s="34">
        <f t="shared" si="11"/>
        <v>2.4828571428571431</v>
      </c>
      <c r="AR49" s="5" t="s">
        <v>5</v>
      </c>
      <c r="AS49" s="1">
        <v>3</v>
      </c>
      <c r="AT49" s="5" t="s">
        <v>5</v>
      </c>
      <c r="AU49" s="5" t="s">
        <v>5</v>
      </c>
      <c r="AV49" s="40" t="s">
        <v>5</v>
      </c>
      <c r="AW49" s="12" t="s">
        <v>194</v>
      </c>
      <c r="AX49" s="25">
        <f>0.033*10^4*44/28/10^3</f>
        <v>0.51857142857142857</v>
      </c>
      <c r="AY49" s="1" t="s">
        <v>109</v>
      </c>
      <c r="AZ49" s="26">
        <v>3</v>
      </c>
      <c r="BA49" s="25" t="s">
        <v>109</v>
      </c>
      <c r="BB49" s="25" t="s">
        <v>109</v>
      </c>
      <c r="BC49" s="25" t="s">
        <v>109</v>
      </c>
      <c r="BD49" s="25"/>
      <c r="BE49" s="44">
        <f t="shared" si="54"/>
        <v>0.82722513089005234</v>
      </c>
      <c r="BG49" s="1">
        <v>3</v>
      </c>
      <c r="BJ49" s="26"/>
      <c r="BK49" s="26"/>
      <c r="BL49" s="26"/>
      <c r="BM49" s="26"/>
      <c r="BN49" s="26"/>
      <c r="BO49" s="26"/>
      <c r="BP49" s="26"/>
      <c r="BQ49" s="26"/>
      <c r="BR49" s="1" t="s">
        <v>148</v>
      </c>
    </row>
    <row r="50" spans="1:70" x14ac:dyDescent="0.3">
      <c r="A50" s="4">
        <v>49</v>
      </c>
      <c r="B50" s="1" t="s">
        <v>117</v>
      </c>
      <c r="C50" s="1" t="s">
        <v>185</v>
      </c>
      <c r="D50" s="1" t="s">
        <v>185</v>
      </c>
      <c r="E50" s="1" t="s">
        <v>16</v>
      </c>
      <c r="F50" s="1" t="s">
        <v>55</v>
      </c>
      <c r="G50" s="1" t="s">
        <v>26</v>
      </c>
      <c r="H50" s="5" t="s">
        <v>9</v>
      </c>
      <c r="I50" s="1" t="s">
        <v>10</v>
      </c>
      <c r="J50" s="27" t="s">
        <v>121</v>
      </c>
      <c r="K50" s="1" t="s">
        <v>116</v>
      </c>
      <c r="L50" s="3" t="s">
        <v>109</v>
      </c>
      <c r="M50" s="8">
        <v>0</v>
      </c>
      <c r="N50" s="8">
        <v>0</v>
      </c>
      <c r="O50" s="1" t="s">
        <v>112</v>
      </c>
      <c r="P50" s="28">
        <v>47.582999999999998</v>
      </c>
      <c r="Q50" s="1">
        <v>133.517</v>
      </c>
      <c r="R50" s="3" t="s">
        <v>109</v>
      </c>
      <c r="S50" s="3">
        <v>2.2999999999999998</v>
      </c>
      <c r="T50" s="3">
        <v>476.1</v>
      </c>
      <c r="U50" s="1" t="s">
        <v>16</v>
      </c>
      <c r="V50" s="1" t="s">
        <v>109</v>
      </c>
      <c r="W50" s="1" t="s">
        <v>109</v>
      </c>
      <c r="X50" s="1" t="s">
        <v>55</v>
      </c>
      <c r="Y50" s="1" t="s">
        <v>26</v>
      </c>
      <c r="Z50" s="5" t="s">
        <v>9</v>
      </c>
      <c r="AA50" s="1" t="s">
        <v>10</v>
      </c>
      <c r="AB50" s="27" t="s">
        <v>121</v>
      </c>
      <c r="AC50" s="1" t="s">
        <v>116</v>
      </c>
      <c r="AD50" s="1" t="s">
        <v>120</v>
      </c>
      <c r="AE50" s="1" t="s">
        <v>12</v>
      </c>
      <c r="AF50" s="1" t="s">
        <v>109</v>
      </c>
      <c r="AG50" s="5" t="s">
        <v>35</v>
      </c>
      <c r="AH50" s="5" t="s">
        <v>13</v>
      </c>
      <c r="AI50" s="4" t="s">
        <v>21</v>
      </c>
      <c r="AJ50" s="34">
        <f>-0.131*10^4*44/28/10^3</f>
        <v>-2.0585714285714283</v>
      </c>
      <c r="AK50" s="1" t="s">
        <v>109</v>
      </c>
      <c r="AL50" s="1">
        <v>3</v>
      </c>
      <c r="AM50" s="34" t="s">
        <v>109</v>
      </c>
      <c r="AN50" s="1" t="s">
        <v>109</v>
      </c>
      <c r="AO50" s="1" t="s">
        <v>109</v>
      </c>
      <c r="AP50" s="12" t="s">
        <v>226</v>
      </c>
      <c r="AQ50" s="34">
        <f t="shared" si="11"/>
        <v>1.838571428571429</v>
      </c>
      <c r="AR50" s="5" t="s">
        <v>5</v>
      </c>
      <c r="AS50" s="1">
        <v>3</v>
      </c>
      <c r="AT50" s="5" t="s">
        <v>5</v>
      </c>
      <c r="AU50" s="5" t="s">
        <v>5</v>
      </c>
      <c r="AV50" s="40" t="s">
        <v>5</v>
      </c>
      <c r="AW50" s="12" t="s">
        <v>194</v>
      </c>
      <c r="AX50" s="25">
        <f>-0.248*10^4*44/28/10^3</f>
        <v>-3.8971428571428572</v>
      </c>
      <c r="AY50" s="1" t="s">
        <v>109</v>
      </c>
      <c r="AZ50" s="26">
        <v>3</v>
      </c>
      <c r="BA50" s="25" t="s">
        <v>109</v>
      </c>
      <c r="BB50" s="25" t="s">
        <v>109</v>
      </c>
      <c r="BC50" s="25" t="s">
        <v>109</v>
      </c>
      <c r="BD50" s="25"/>
      <c r="BE50" s="44">
        <f t="shared" si="54"/>
        <v>-0.89312977099236668</v>
      </c>
      <c r="BG50" s="1">
        <v>3</v>
      </c>
      <c r="BJ50" s="26"/>
      <c r="BK50" s="26"/>
      <c r="BL50" s="44">
        <f t="shared" ref="BL50:BL52" si="56">AX50/AJ50</f>
        <v>1.8931297709923667</v>
      </c>
      <c r="BM50" s="44"/>
      <c r="BO50" s="44"/>
      <c r="BP50" s="26"/>
      <c r="BQ50" s="26"/>
      <c r="BR50" s="1" t="s">
        <v>148</v>
      </c>
    </row>
    <row r="51" spans="1:70" x14ac:dyDescent="0.3">
      <c r="A51" s="4">
        <v>50</v>
      </c>
      <c r="B51" s="1" t="s">
        <v>117</v>
      </c>
      <c r="C51" s="1" t="s">
        <v>185</v>
      </c>
      <c r="D51" s="1" t="s">
        <v>185</v>
      </c>
      <c r="E51" s="1" t="s">
        <v>16</v>
      </c>
      <c r="F51" s="1" t="s">
        <v>55</v>
      </c>
      <c r="G51" s="1" t="s">
        <v>26</v>
      </c>
      <c r="H51" s="5" t="s">
        <v>9</v>
      </c>
      <c r="I51" s="1" t="s">
        <v>10</v>
      </c>
      <c r="J51" s="27" t="s">
        <v>121</v>
      </c>
      <c r="K51" s="1" t="s">
        <v>116</v>
      </c>
      <c r="L51" s="3" t="s">
        <v>109</v>
      </c>
      <c r="M51" s="8">
        <v>0</v>
      </c>
      <c r="N51" s="8">
        <v>0</v>
      </c>
      <c r="O51" s="1" t="s">
        <v>112</v>
      </c>
      <c r="P51" s="28">
        <v>47.582999999999998</v>
      </c>
      <c r="Q51" s="1">
        <v>133.517</v>
      </c>
      <c r="R51" s="3" t="s">
        <v>109</v>
      </c>
      <c r="S51" s="3">
        <v>2.23</v>
      </c>
      <c r="T51" s="3">
        <v>484.2</v>
      </c>
      <c r="U51" s="1" t="s">
        <v>16</v>
      </c>
      <c r="V51" s="1" t="s">
        <v>109</v>
      </c>
      <c r="W51" s="1" t="s">
        <v>109</v>
      </c>
      <c r="X51" s="1" t="s">
        <v>55</v>
      </c>
      <c r="Y51" s="1" t="s">
        <v>26</v>
      </c>
      <c r="Z51" s="5" t="s">
        <v>9</v>
      </c>
      <c r="AA51" s="1" t="s">
        <v>10</v>
      </c>
      <c r="AB51" s="27" t="s">
        <v>121</v>
      </c>
      <c r="AC51" s="1" t="s">
        <v>116</v>
      </c>
      <c r="AD51" s="1" t="s">
        <v>140</v>
      </c>
      <c r="AE51" s="1" t="s">
        <v>12</v>
      </c>
      <c r="AF51" s="1" t="s">
        <v>109</v>
      </c>
      <c r="AG51" s="5" t="s">
        <v>35</v>
      </c>
      <c r="AH51" s="5" t="s">
        <v>13</v>
      </c>
      <c r="AI51" s="4" t="s">
        <v>21</v>
      </c>
      <c r="AJ51" s="34">
        <f>0.2601*10^4*44/28/10^3</f>
        <v>4.0872857142857146</v>
      </c>
      <c r="AK51" s="1" t="s">
        <v>109</v>
      </c>
      <c r="AL51" s="1">
        <v>3</v>
      </c>
      <c r="AM51" s="34" t="s">
        <v>109</v>
      </c>
      <c r="AN51" s="1" t="s">
        <v>109</v>
      </c>
      <c r="AO51" s="1" t="s">
        <v>109</v>
      </c>
      <c r="AP51" s="12" t="s">
        <v>226</v>
      </c>
      <c r="AQ51" s="34">
        <f t="shared" si="11"/>
        <v>4.1014285714285714</v>
      </c>
      <c r="AR51" s="5" t="s">
        <v>5</v>
      </c>
      <c r="AS51" s="25" t="s">
        <v>109</v>
      </c>
      <c r="AT51" s="5" t="s">
        <v>5</v>
      </c>
      <c r="AU51" s="5" t="s">
        <v>5</v>
      </c>
      <c r="AV51" s="40" t="s">
        <v>5</v>
      </c>
      <c r="AW51" s="12" t="s">
        <v>194</v>
      </c>
      <c r="AX51" s="25">
        <f>-0.0009*10^4*44/28/10^3</f>
        <v>-1.4142857142857143E-2</v>
      </c>
      <c r="AY51" s="1" t="s">
        <v>109</v>
      </c>
      <c r="AZ51" s="26">
        <v>3</v>
      </c>
      <c r="BA51" s="25" t="s">
        <v>109</v>
      </c>
      <c r="BB51" s="25" t="s">
        <v>109</v>
      </c>
      <c r="BC51" s="25" t="s">
        <v>109</v>
      </c>
      <c r="BD51" s="25"/>
      <c r="BE51" s="44">
        <f t="shared" si="54"/>
        <v>1.0034602076124566</v>
      </c>
      <c r="BG51" s="1">
        <v>3</v>
      </c>
      <c r="BJ51" s="26"/>
      <c r="BK51" s="26"/>
      <c r="BL51" s="44">
        <f t="shared" si="56"/>
        <v>-3.4602076124567471E-3</v>
      </c>
      <c r="BM51" s="44"/>
      <c r="BO51" s="44"/>
      <c r="BP51" s="26"/>
      <c r="BQ51" s="26"/>
      <c r="BR51" s="1" t="s">
        <v>148</v>
      </c>
    </row>
    <row r="52" spans="1:70" x14ac:dyDescent="0.3">
      <c r="A52" s="4">
        <v>51</v>
      </c>
      <c r="B52" s="1" t="s">
        <v>117</v>
      </c>
      <c r="C52" s="1" t="s">
        <v>185</v>
      </c>
      <c r="D52" s="1" t="s">
        <v>185</v>
      </c>
      <c r="E52" s="1" t="s">
        <v>16</v>
      </c>
      <c r="F52" s="1" t="s">
        <v>55</v>
      </c>
      <c r="G52" s="1" t="s">
        <v>26</v>
      </c>
      <c r="H52" s="5" t="s">
        <v>9</v>
      </c>
      <c r="I52" s="1" t="s">
        <v>10</v>
      </c>
      <c r="J52" s="27" t="s">
        <v>121</v>
      </c>
      <c r="K52" s="1" t="s">
        <v>116</v>
      </c>
      <c r="L52" s="3" t="s">
        <v>109</v>
      </c>
      <c r="M52" s="8">
        <v>0</v>
      </c>
      <c r="N52" s="8">
        <v>0</v>
      </c>
      <c r="O52" s="1" t="s">
        <v>112</v>
      </c>
      <c r="P52" s="28">
        <v>47.582999999999998</v>
      </c>
      <c r="Q52" s="1">
        <v>133.517</v>
      </c>
      <c r="R52" s="3" t="s">
        <v>109</v>
      </c>
      <c r="S52" s="3">
        <v>2.17</v>
      </c>
      <c r="T52" s="3">
        <v>444.7</v>
      </c>
      <c r="U52" s="1" t="s">
        <v>16</v>
      </c>
      <c r="V52" s="1" t="s">
        <v>109</v>
      </c>
      <c r="W52" s="1" t="s">
        <v>109</v>
      </c>
      <c r="X52" s="1" t="s">
        <v>55</v>
      </c>
      <c r="Y52" s="1" t="s">
        <v>26</v>
      </c>
      <c r="Z52" s="5" t="s">
        <v>9</v>
      </c>
      <c r="AA52" s="1" t="s">
        <v>10</v>
      </c>
      <c r="AB52" s="27" t="s">
        <v>121</v>
      </c>
      <c r="AC52" s="1" t="s">
        <v>116</v>
      </c>
      <c r="AD52" s="1" t="s">
        <v>122</v>
      </c>
      <c r="AE52" s="1" t="s">
        <v>12</v>
      </c>
      <c r="AF52" s="1" t="s">
        <v>109</v>
      </c>
      <c r="AG52" s="5" t="s">
        <v>35</v>
      </c>
      <c r="AH52" s="5" t="s">
        <v>13</v>
      </c>
      <c r="AI52" s="4" t="s">
        <v>21</v>
      </c>
      <c r="AJ52" s="34">
        <f>0.211*10^4*44/28/10^3</f>
        <v>3.3157142857142858</v>
      </c>
      <c r="AK52" s="1" t="s">
        <v>109</v>
      </c>
      <c r="AL52" s="1">
        <v>3</v>
      </c>
      <c r="AM52" s="34" t="s">
        <v>109</v>
      </c>
      <c r="AN52" s="1" t="s">
        <v>109</v>
      </c>
      <c r="AO52" s="1" t="s">
        <v>109</v>
      </c>
      <c r="AP52" s="12" t="s">
        <v>226</v>
      </c>
      <c r="AQ52" s="34">
        <f t="shared" si="11"/>
        <v>2.75</v>
      </c>
      <c r="AR52" s="5" t="s">
        <v>5</v>
      </c>
      <c r="AS52" s="25" t="s">
        <v>109</v>
      </c>
      <c r="AT52" s="5" t="s">
        <v>5</v>
      </c>
      <c r="AU52" s="5" t="s">
        <v>5</v>
      </c>
      <c r="AV52" s="40" t="s">
        <v>5</v>
      </c>
      <c r="AW52" s="12" t="s">
        <v>194</v>
      </c>
      <c r="AX52" s="25">
        <f>0.036*10^4*44/28/10^3</f>
        <v>0.56571428571428561</v>
      </c>
      <c r="AY52" s="1" t="s">
        <v>109</v>
      </c>
      <c r="AZ52" s="26">
        <v>3</v>
      </c>
      <c r="BA52" s="25" t="s">
        <v>109</v>
      </c>
      <c r="BB52" s="25" t="s">
        <v>109</v>
      </c>
      <c r="BC52" s="25" t="s">
        <v>109</v>
      </c>
      <c r="BD52" s="25"/>
      <c r="BE52" s="44">
        <f t="shared" si="54"/>
        <v>0.82938388625592419</v>
      </c>
      <c r="BG52" s="1">
        <v>3</v>
      </c>
      <c r="BJ52" s="26"/>
      <c r="BK52" s="26"/>
      <c r="BL52" s="44">
        <f t="shared" si="56"/>
        <v>0.17061611374407579</v>
      </c>
      <c r="BM52" s="44"/>
      <c r="BO52" s="44"/>
      <c r="BP52" s="26"/>
      <c r="BQ52" s="26"/>
      <c r="BR52" s="1" t="s">
        <v>148</v>
      </c>
    </row>
    <row r="53" spans="1:70" x14ac:dyDescent="0.3">
      <c r="A53" s="4">
        <v>52</v>
      </c>
      <c r="B53" s="1" t="s">
        <v>117</v>
      </c>
      <c r="C53" s="1" t="s">
        <v>173</v>
      </c>
      <c r="D53" s="1" t="s">
        <v>186</v>
      </c>
      <c r="E53" s="1" t="s">
        <v>16</v>
      </c>
      <c r="F53" s="1" t="s">
        <v>52</v>
      </c>
      <c r="G53" s="1" t="s">
        <v>26</v>
      </c>
      <c r="H53" s="5" t="s">
        <v>9</v>
      </c>
      <c r="I53" s="1" t="s">
        <v>10</v>
      </c>
      <c r="J53" s="1" t="s">
        <v>109</v>
      </c>
      <c r="K53" s="1" t="s">
        <v>116</v>
      </c>
      <c r="L53" s="3" t="s">
        <v>109</v>
      </c>
      <c r="M53" s="8">
        <v>0</v>
      </c>
      <c r="N53" s="8">
        <v>0</v>
      </c>
      <c r="O53" s="1" t="s">
        <v>112</v>
      </c>
      <c r="P53" s="28">
        <v>47.582999999999998</v>
      </c>
      <c r="Q53" s="1">
        <v>133.517</v>
      </c>
      <c r="R53" s="3" t="s">
        <v>109</v>
      </c>
      <c r="S53" s="3">
        <v>2.2999999999999998</v>
      </c>
      <c r="T53" s="3">
        <v>476.1</v>
      </c>
      <c r="U53" s="1" t="s">
        <v>16</v>
      </c>
      <c r="V53" s="1" t="s">
        <v>109</v>
      </c>
      <c r="W53" s="1" t="s">
        <v>109</v>
      </c>
      <c r="X53" s="1" t="s">
        <v>52</v>
      </c>
      <c r="Y53" s="1" t="s">
        <v>26</v>
      </c>
      <c r="Z53" s="5" t="s">
        <v>9</v>
      </c>
      <c r="AA53" s="1" t="s">
        <v>10</v>
      </c>
      <c r="AB53" s="1" t="s">
        <v>109</v>
      </c>
      <c r="AC53" s="1" t="s">
        <v>116</v>
      </c>
      <c r="AD53" s="1" t="s">
        <v>120</v>
      </c>
      <c r="AE53" s="1" t="s">
        <v>12</v>
      </c>
      <c r="AF53" s="1" t="s">
        <v>109</v>
      </c>
      <c r="AG53" s="5" t="s">
        <v>35</v>
      </c>
      <c r="AH53" s="5" t="s">
        <v>13</v>
      </c>
      <c r="AI53" s="4" t="s">
        <v>21</v>
      </c>
      <c r="AJ53" s="34" t="s">
        <v>109</v>
      </c>
      <c r="AK53" s="25" t="s">
        <v>109</v>
      </c>
      <c r="AL53" s="25" t="s">
        <v>109</v>
      </c>
      <c r="AM53" s="34">
        <f>0.146*10^4*44/28/10^3</f>
        <v>2.294285714285714</v>
      </c>
      <c r="AN53" s="1" t="s">
        <v>109</v>
      </c>
      <c r="AO53" s="1">
        <v>3</v>
      </c>
      <c r="AP53" s="12" t="s">
        <v>226</v>
      </c>
      <c r="AQ53" s="5" t="s">
        <v>5</v>
      </c>
      <c r="AR53" s="5" t="s">
        <v>5</v>
      </c>
      <c r="AS53" s="5" t="s">
        <v>5</v>
      </c>
      <c r="AT53" s="34">
        <f t="shared" si="3"/>
        <v>3.0642857142857141</v>
      </c>
      <c r="AU53" s="5" t="s">
        <v>5</v>
      </c>
      <c r="AV53" s="40">
        <v>3</v>
      </c>
      <c r="AW53" s="12" t="s">
        <v>194</v>
      </c>
      <c r="AX53" s="26" t="s">
        <v>109</v>
      </c>
      <c r="AY53" s="26" t="s">
        <v>109</v>
      </c>
      <c r="AZ53" s="26" t="s">
        <v>109</v>
      </c>
      <c r="BA53" s="25">
        <f>-0.049*10^4*44/28/10^3</f>
        <v>-0.77</v>
      </c>
      <c r="BB53" s="1" t="s">
        <v>109</v>
      </c>
      <c r="BC53" s="1">
        <v>3</v>
      </c>
      <c r="BG53" s="26"/>
      <c r="BH53" s="44">
        <f t="shared" ref="BH53:BH55" si="57">AT53/AM53</f>
        <v>1.3356164383561644</v>
      </c>
      <c r="BJ53" s="1">
        <f>BC53</f>
        <v>3</v>
      </c>
      <c r="BR53" s="1" t="s">
        <v>148</v>
      </c>
    </row>
    <row r="54" spans="1:70" x14ac:dyDescent="0.3">
      <c r="A54" s="4">
        <v>53</v>
      </c>
      <c r="B54" s="1" t="s">
        <v>117</v>
      </c>
      <c r="C54" s="1" t="s">
        <v>173</v>
      </c>
      <c r="D54" s="1" t="s">
        <v>186</v>
      </c>
      <c r="E54" s="1" t="s">
        <v>16</v>
      </c>
      <c r="F54" s="1" t="s">
        <v>52</v>
      </c>
      <c r="G54" s="1" t="s">
        <v>26</v>
      </c>
      <c r="H54" s="5" t="s">
        <v>9</v>
      </c>
      <c r="I54" s="1" t="s">
        <v>10</v>
      </c>
      <c r="J54" s="1" t="s">
        <v>109</v>
      </c>
      <c r="K54" s="1" t="s">
        <v>116</v>
      </c>
      <c r="L54" s="3" t="s">
        <v>109</v>
      </c>
      <c r="M54" s="8">
        <v>0</v>
      </c>
      <c r="N54" s="8">
        <v>0</v>
      </c>
      <c r="O54" s="1" t="s">
        <v>112</v>
      </c>
      <c r="P54" s="28">
        <v>47.582999999999998</v>
      </c>
      <c r="Q54" s="1">
        <v>133.517</v>
      </c>
      <c r="R54" s="3" t="s">
        <v>109</v>
      </c>
      <c r="S54" s="3">
        <v>2.23</v>
      </c>
      <c r="T54" s="3">
        <v>484.2</v>
      </c>
      <c r="U54" s="1" t="s">
        <v>16</v>
      </c>
      <c r="V54" s="1" t="s">
        <v>109</v>
      </c>
      <c r="W54" s="1" t="s">
        <v>109</v>
      </c>
      <c r="X54" s="1" t="s">
        <v>52</v>
      </c>
      <c r="Y54" s="1" t="s">
        <v>26</v>
      </c>
      <c r="Z54" s="5" t="s">
        <v>9</v>
      </c>
      <c r="AA54" s="1" t="s">
        <v>10</v>
      </c>
      <c r="AB54" s="1" t="s">
        <v>109</v>
      </c>
      <c r="AC54" s="1" t="s">
        <v>116</v>
      </c>
      <c r="AD54" s="1" t="s">
        <v>140</v>
      </c>
      <c r="AE54" s="1" t="s">
        <v>12</v>
      </c>
      <c r="AF54" s="1" t="s">
        <v>109</v>
      </c>
      <c r="AG54" s="5" t="s">
        <v>35</v>
      </c>
      <c r="AH54" s="5" t="s">
        <v>13</v>
      </c>
      <c r="AI54" s="4" t="s">
        <v>21</v>
      </c>
      <c r="AJ54" s="34" t="s">
        <v>109</v>
      </c>
      <c r="AK54" s="25" t="s">
        <v>109</v>
      </c>
      <c r="AL54" s="25" t="s">
        <v>109</v>
      </c>
      <c r="AM54" s="34">
        <f>0.498*10^4*44/28/10^3</f>
        <v>7.8257142857142856</v>
      </c>
      <c r="AN54" s="1" t="s">
        <v>109</v>
      </c>
      <c r="AO54" s="1">
        <v>3</v>
      </c>
      <c r="AP54" s="12" t="s">
        <v>226</v>
      </c>
      <c r="AQ54" s="5" t="s">
        <v>5</v>
      </c>
      <c r="AR54" s="5" t="s">
        <v>5</v>
      </c>
      <c r="AS54" s="5" t="s">
        <v>5</v>
      </c>
      <c r="AT54" s="34">
        <f t="shared" si="3"/>
        <v>4.1171428571428574</v>
      </c>
      <c r="AU54" s="5" t="s">
        <v>5</v>
      </c>
      <c r="AV54" s="40">
        <v>3</v>
      </c>
      <c r="AW54" s="12" t="s">
        <v>194</v>
      </c>
      <c r="AX54" s="26" t="s">
        <v>109</v>
      </c>
      <c r="AY54" s="26" t="s">
        <v>109</v>
      </c>
      <c r="AZ54" s="26" t="s">
        <v>109</v>
      </c>
      <c r="BA54" s="25">
        <f>0.236*10^4*44/28/10^3</f>
        <v>3.7085714285714286</v>
      </c>
      <c r="BB54" s="1" t="s">
        <v>109</v>
      </c>
      <c r="BC54" s="1">
        <v>3</v>
      </c>
      <c r="BG54" s="26"/>
      <c r="BH54" s="44">
        <f t="shared" si="57"/>
        <v>0.52610441767068272</v>
      </c>
      <c r="BJ54" s="1">
        <f t="shared" ref="BJ54:BJ55" si="58">BC54</f>
        <v>3</v>
      </c>
      <c r="BR54" s="1" t="s">
        <v>148</v>
      </c>
    </row>
    <row r="55" spans="1:70" x14ac:dyDescent="0.3">
      <c r="A55" s="4">
        <v>54</v>
      </c>
      <c r="B55" s="1" t="s">
        <v>117</v>
      </c>
      <c r="C55" s="1" t="s">
        <v>173</v>
      </c>
      <c r="D55" s="1" t="s">
        <v>186</v>
      </c>
      <c r="E55" s="1" t="s">
        <v>16</v>
      </c>
      <c r="F55" s="1" t="s">
        <v>52</v>
      </c>
      <c r="G55" s="1" t="s">
        <v>26</v>
      </c>
      <c r="H55" s="5" t="s">
        <v>9</v>
      </c>
      <c r="I55" s="1" t="s">
        <v>10</v>
      </c>
      <c r="J55" s="1" t="s">
        <v>109</v>
      </c>
      <c r="K55" s="1" t="s">
        <v>116</v>
      </c>
      <c r="L55" s="3" t="s">
        <v>109</v>
      </c>
      <c r="M55" s="8">
        <v>0</v>
      </c>
      <c r="N55" s="8">
        <v>0</v>
      </c>
      <c r="O55" s="1" t="s">
        <v>112</v>
      </c>
      <c r="P55" s="28">
        <v>47.582999999999998</v>
      </c>
      <c r="Q55" s="1">
        <v>133.517</v>
      </c>
      <c r="R55" s="3" t="s">
        <v>109</v>
      </c>
      <c r="S55" s="3">
        <v>2.17</v>
      </c>
      <c r="T55" s="3">
        <v>444.7</v>
      </c>
      <c r="U55" s="1" t="s">
        <v>16</v>
      </c>
      <c r="V55" s="1" t="s">
        <v>109</v>
      </c>
      <c r="W55" s="1" t="s">
        <v>109</v>
      </c>
      <c r="X55" s="1" t="s">
        <v>52</v>
      </c>
      <c r="Y55" s="1" t="s">
        <v>26</v>
      </c>
      <c r="Z55" s="5" t="s">
        <v>9</v>
      </c>
      <c r="AA55" s="1" t="s">
        <v>10</v>
      </c>
      <c r="AB55" s="1" t="s">
        <v>109</v>
      </c>
      <c r="AC55" s="1" t="s">
        <v>116</v>
      </c>
      <c r="AD55" s="1" t="s">
        <v>122</v>
      </c>
      <c r="AE55" s="1" t="s">
        <v>12</v>
      </c>
      <c r="AF55" s="1" t="s">
        <v>109</v>
      </c>
      <c r="AG55" s="5" t="s">
        <v>35</v>
      </c>
      <c r="AH55" s="5" t="s">
        <v>13</v>
      </c>
      <c r="AI55" s="4" t="s">
        <v>21</v>
      </c>
      <c r="AJ55" s="34" t="s">
        <v>109</v>
      </c>
      <c r="AK55" s="25" t="s">
        <v>109</v>
      </c>
      <c r="AL55" s="25" t="s">
        <v>109</v>
      </c>
      <c r="AM55" s="34">
        <f>0.197*10^4*44/28/10^3</f>
        <v>3.0957142857142856</v>
      </c>
      <c r="AN55" s="1" t="s">
        <v>109</v>
      </c>
      <c r="AO55" s="1">
        <v>3</v>
      </c>
      <c r="AP55" s="12" t="s">
        <v>226</v>
      </c>
      <c r="AQ55" s="5" t="s">
        <v>5</v>
      </c>
      <c r="AR55" s="5" t="s">
        <v>5</v>
      </c>
      <c r="AS55" s="5" t="s">
        <v>5</v>
      </c>
      <c r="AT55" s="34">
        <f t="shared" si="3"/>
        <v>2.4985714285714287</v>
      </c>
      <c r="AU55" s="5" t="s">
        <v>5</v>
      </c>
      <c r="AV55" s="40">
        <v>3</v>
      </c>
      <c r="AW55" s="12" t="s">
        <v>194</v>
      </c>
      <c r="AX55" s="26" t="s">
        <v>109</v>
      </c>
      <c r="AY55" s="26" t="s">
        <v>109</v>
      </c>
      <c r="AZ55" s="26" t="s">
        <v>109</v>
      </c>
      <c r="BA55" s="25">
        <f>0.038*10^4*44/28/10^3</f>
        <v>0.59714285714285709</v>
      </c>
      <c r="BB55" s="1" t="s">
        <v>109</v>
      </c>
      <c r="BC55" s="1">
        <v>3</v>
      </c>
      <c r="BG55" s="26"/>
      <c r="BH55" s="44">
        <f t="shared" si="57"/>
        <v>0.80710659898477166</v>
      </c>
      <c r="BJ55" s="1">
        <f t="shared" si="58"/>
        <v>3</v>
      </c>
      <c r="BR55" s="1" t="s">
        <v>148</v>
      </c>
    </row>
    <row r="56" spans="1:70" x14ac:dyDescent="0.3">
      <c r="A56" s="4">
        <v>55</v>
      </c>
      <c r="B56" s="1" t="s">
        <v>123</v>
      </c>
      <c r="C56" s="5" t="s">
        <v>4</v>
      </c>
      <c r="D56" s="5" t="s">
        <v>249</v>
      </c>
      <c r="E56" s="8" t="s">
        <v>16</v>
      </c>
      <c r="F56" s="1" t="s">
        <v>55</v>
      </c>
      <c r="G56" s="1" t="s">
        <v>26</v>
      </c>
      <c r="H56" s="5" t="s">
        <v>9</v>
      </c>
      <c r="I56" s="1" t="s">
        <v>10</v>
      </c>
      <c r="J56" s="27" t="s">
        <v>121</v>
      </c>
      <c r="K56" s="1" t="s">
        <v>116</v>
      </c>
      <c r="L56" s="3" t="s">
        <v>109</v>
      </c>
      <c r="M56" s="8">
        <v>40</v>
      </c>
      <c r="N56" s="8">
        <v>0</v>
      </c>
      <c r="O56" s="5" t="s">
        <v>54</v>
      </c>
      <c r="P56" s="28">
        <v>47.582999999999998</v>
      </c>
      <c r="Q56" s="1">
        <v>133.517</v>
      </c>
      <c r="R56" s="3">
        <v>56</v>
      </c>
      <c r="S56" s="8">
        <v>2.2999999999999998</v>
      </c>
      <c r="T56" s="8">
        <v>431.6</v>
      </c>
      <c r="U56" s="8" t="s">
        <v>16</v>
      </c>
      <c r="V56" s="4">
        <v>60</v>
      </c>
      <c r="W56" s="1" t="s">
        <v>109</v>
      </c>
      <c r="X56" s="1" t="s">
        <v>55</v>
      </c>
      <c r="Y56" s="1" t="s">
        <v>26</v>
      </c>
      <c r="Z56" s="5" t="s">
        <v>9</v>
      </c>
      <c r="AA56" s="1" t="s">
        <v>10</v>
      </c>
      <c r="AB56" s="27" t="s">
        <v>121</v>
      </c>
      <c r="AC56" s="1" t="s">
        <v>116</v>
      </c>
      <c r="AD56" s="10" t="s">
        <v>124</v>
      </c>
      <c r="AE56" s="5" t="s">
        <v>12</v>
      </c>
      <c r="AF56" s="7" t="s">
        <v>5</v>
      </c>
      <c r="AG56" s="5" t="s">
        <v>43</v>
      </c>
      <c r="AH56" s="5" t="s">
        <v>13</v>
      </c>
      <c r="AI56" s="4" t="s">
        <v>21</v>
      </c>
      <c r="AJ56" s="37">
        <v>4.07</v>
      </c>
      <c r="AK56" s="5">
        <v>1.72</v>
      </c>
      <c r="AL56" s="7">
        <v>3</v>
      </c>
      <c r="AM56" s="37">
        <v>4.9000000000000004</v>
      </c>
      <c r="AN56" s="5">
        <v>1.52</v>
      </c>
      <c r="AO56" s="7">
        <v>3</v>
      </c>
      <c r="AP56" s="12" t="s">
        <v>226</v>
      </c>
      <c r="AQ56" s="34">
        <f t="shared" si="11"/>
        <v>4.6095000000000006</v>
      </c>
      <c r="AR56" s="5" t="s">
        <v>5</v>
      </c>
      <c r="AS56" s="7">
        <v>6</v>
      </c>
      <c r="AT56" s="5" t="s">
        <v>5</v>
      </c>
      <c r="AU56" s="5" t="s">
        <v>5</v>
      </c>
      <c r="AV56" s="5" t="s">
        <v>5</v>
      </c>
      <c r="AW56" s="12" t="s">
        <v>194</v>
      </c>
      <c r="AX56" s="25">
        <f>-53.95*10^4/10^6</f>
        <v>-0.53949999999999998</v>
      </c>
      <c r="AY56" s="25" t="s">
        <v>109</v>
      </c>
      <c r="AZ56" s="26">
        <v>3</v>
      </c>
      <c r="BA56" s="25" t="s">
        <v>109</v>
      </c>
      <c r="BB56" s="25" t="s">
        <v>109</v>
      </c>
      <c r="BC56" s="25" t="s">
        <v>109</v>
      </c>
      <c r="BD56" s="25"/>
      <c r="BE56" s="44">
        <f t="shared" ref="BE56:BE59" si="59">AQ56/AJ56</f>
        <v>1.1325552825552827</v>
      </c>
      <c r="BG56" s="1">
        <v>3</v>
      </c>
      <c r="BJ56" s="1">
        <v>3</v>
      </c>
      <c r="BR56" s="32" t="s">
        <v>149</v>
      </c>
    </row>
    <row r="57" spans="1:70" x14ac:dyDescent="0.3">
      <c r="A57" s="4">
        <v>56</v>
      </c>
      <c r="B57" s="1" t="s">
        <v>123</v>
      </c>
      <c r="C57" s="5" t="s">
        <v>4</v>
      </c>
      <c r="D57" s="5" t="s">
        <v>249</v>
      </c>
      <c r="E57" s="8" t="s">
        <v>16</v>
      </c>
      <c r="F57" s="1" t="s">
        <v>55</v>
      </c>
      <c r="G57" s="1" t="s">
        <v>26</v>
      </c>
      <c r="H57" s="5" t="s">
        <v>9</v>
      </c>
      <c r="I57" s="1" t="s">
        <v>10</v>
      </c>
      <c r="J57" s="27" t="s">
        <v>121</v>
      </c>
      <c r="K57" s="1" t="s">
        <v>116</v>
      </c>
      <c r="L57" s="3" t="s">
        <v>109</v>
      </c>
      <c r="M57" s="8">
        <v>72</v>
      </c>
      <c r="N57" s="8">
        <v>0</v>
      </c>
      <c r="O57" s="5" t="s">
        <v>54</v>
      </c>
      <c r="P57" s="28">
        <v>47.582999999999998</v>
      </c>
      <c r="Q57" s="1">
        <v>133.517</v>
      </c>
      <c r="R57" s="3">
        <v>56</v>
      </c>
      <c r="S57" s="8">
        <v>2.2999999999999998</v>
      </c>
      <c r="T57" s="8">
        <v>431.6</v>
      </c>
      <c r="U57" s="8" t="s">
        <v>16</v>
      </c>
      <c r="V57" s="4">
        <v>60</v>
      </c>
      <c r="W57" s="1" t="s">
        <v>109</v>
      </c>
      <c r="X57" s="1" t="s">
        <v>55</v>
      </c>
      <c r="Y57" s="1" t="s">
        <v>26</v>
      </c>
      <c r="Z57" s="5" t="s">
        <v>9</v>
      </c>
      <c r="AA57" s="1" t="s">
        <v>10</v>
      </c>
      <c r="AB57" s="27" t="s">
        <v>121</v>
      </c>
      <c r="AC57" s="1" t="s">
        <v>116</v>
      </c>
      <c r="AD57" s="10" t="s">
        <v>124</v>
      </c>
      <c r="AE57" s="5" t="s">
        <v>12</v>
      </c>
      <c r="AF57" s="7" t="s">
        <v>5</v>
      </c>
      <c r="AG57" s="5" t="s">
        <v>43</v>
      </c>
      <c r="AH57" s="5" t="s">
        <v>13</v>
      </c>
      <c r="AI57" s="4" t="s">
        <v>21</v>
      </c>
      <c r="AJ57" s="37">
        <v>4.07</v>
      </c>
      <c r="AK57" s="5">
        <v>1.72</v>
      </c>
      <c r="AL57" s="7">
        <v>3</v>
      </c>
      <c r="AM57" s="37">
        <v>2.09</v>
      </c>
      <c r="AN57" s="5">
        <v>0.79</v>
      </c>
      <c r="AO57" s="7">
        <v>3</v>
      </c>
      <c r="AP57" s="12" t="s">
        <v>226</v>
      </c>
      <c r="AQ57" s="34">
        <f t="shared" si="11"/>
        <v>4.6095000000000006</v>
      </c>
      <c r="AR57" s="5" t="s">
        <v>5</v>
      </c>
      <c r="AS57" s="5" t="s">
        <v>5</v>
      </c>
      <c r="AT57" s="5" t="s">
        <v>5</v>
      </c>
      <c r="AU57" s="5" t="s">
        <v>5</v>
      </c>
      <c r="AV57" s="5" t="s">
        <v>5</v>
      </c>
      <c r="AW57" s="12" t="s">
        <v>194</v>
      </c>
      <c r="AX57" s="25">
        <f>-53.95*10^4/10^6</f>
        <v>-0.53949999999999998</v>
      </c>
      <c r="AY57" s="25" t="s">
        <v>109</v>
      </c>
      <c r="AZ57" s="26">
        <v>3</v>
      </c>
      <c r="BA57" s="25" t="s">
        <v>109</v>
      </c>
      <c r="BB57" s="25" t="s">
        <v>109</v>
      </c>
      <c r="BC57" s="25" t="s">
        <v>109</v>
      </c>
      <c r="BD57" s="25"/>
      <c r="BE57" s="44">
        <f t="shared" si="59"/>
        <v>1.1325552825552827</v>
      </c>
      <c r="BG57" s="1">
        <v>3</v>
      </c>
      <c r="BJ57" s="1">
        <v>3</v>
      </c>
      <c r="BR57" s="32" t="s">
        <v>149</v>
      </c>
    </row>
    <row r="58" spans="1:70" x14ac:dyDescent="0.3">
      <c r="A58" s="4">
        <v>57</v>
      </c>
      <c r="B58" s="1" t="s">
        <v>125</v>
      </c>
      <c r="C58" s="1" t="s">
        <v>185</v>
      </c>
      <c r="D58" s="1" t="s">
        <v>185</v>
      </c>
      <c r="E58" s="1" t="s">
        <v>16</v>
      </c>
      <c r="F58" s="1" t="s">
        <v>55</v>
      </c>
      <c r="G58" s="1" t="s">
        <v>26</v>
      </c>
      <c r="H58" s="5" t="s">
        <v>9</v>
      </c>
      <c r="I58" s="1" t="s">
        <v>10</v>
      </c>
      <c r="J58" s="27" t="s">
        <v>126</v>
      </c>
      <c r="K58" s="1" t="s">
        <v>18</v>
      </c>
      <c r="L58" s="1" t="s">
        <v>109</v>
      </c>
      <c r="M58" s="3">
        <v>0</v>
      </c>
      <c r="N58" s="3">
        <v>0</v>
      </c>
      <c r="O58" s="1" t="s">
        <v>54</v>
      </c>
      <c r="P58" s="28">
        <v>48.149000000000001</v>
      </c>
      <c r="Q58" s="1">
        <v>134.60599999999999</v>
      </c>
      <c r="R58" s="3" t="s">
        <v>109</v>
      </c>
      <c r="S58" s="3">
        <v>2.6</v>
      </c>
      <c r="T58" s="3">
        <v>550</v>
      </c>
      <c r="U58" s="1" t="s">
        <v>16</v>
      </c>
      <c r="V58" s="1" t="s">
        <v>109</v>
      </c>
      <c r="W58" s="1" t="s">
        <v>109</v>
      </c>
      <c r="X58" s="1" t="s">
        <v>55</v>
      </c>
      <c r="Y58" s="1" t="s">
        <v>26</v>
      </c>
      <c r="Z58" s="5" t="s">
        <v>9</v>
      </c>
      <c r="AA58" s="1" t="s">
        <v>10</v>
      </c>
      <c r="AB58" s="27" t="s">
        <v>126</v>
      </c>
      <c r="AC58" s="1" t="s">
        <v>18</v>
      </c>
      <c r="AD58" s="1" t="s">
        <v>128</v>
      </c>
      <c r="AE58" s="5" t="s">
        <v>12</v>
      </c>
      <c r="AF58" s="7" t="s">
        <v>5</v>
      </c>
      <c r="AG58" s="5" t="s">
        <v>43</v>
      </c>
      <c r="AH58" s="5" t="s">
        <v>13</v>
      </c>
      <c r="AI58" s="4" t="s">
        <v>21</v>
      </c>
      <c r="AJ58" s="34">
        <f>(-18.91*10^4*24*(("2015-12-31"-"2015-10-01")+("2016-4-30"-"2016-01-01"))/10^9)+(17.16*10^4*24*(("2016-9-30"-"2016-05-01"))/10^9)</f>
        <v>-0.33160559999999994</v>
      </c>
      <c r="AK58" s="25">
        <f>SQRT((-13.07*10^4*24*(("2015-12-31"-"2015-10-01")+("2016-4-30"-"2016-01-01"))/10^9)^2+(9.46*10^4*24*(("2016-09-30"-"2016-05-01"))/10^9)^2)</f>
        <v>0.7464312263294457</v>
      </c>
      <c r="AL58" s="1">
        <v>3</v>
      </c>
      <c r="AM58" s="34" t="s">
        <v>109</v>
      </c>
      <c r="AN58" s="25" t="s">
        <v>109</v>
      </c>
      <c r="AO58" s="25" t="s">
        <v>109</v>
      </c>
      <c r="AP58" s="12" t="s">
        <v>226</v>
      </c>
      <c r="AQ58" s="34">
        <f t="shared" si="11"/>
        <v>0.62599680000000002</v>
      </c>
      <c r="AR58" s="34">
        <f t="shared" si="18"/>
        <v>0.99760943716402373</v>
      </c>
      <c r="AS58" s="5" t="s">
        <v>5</v>
      </c>
      <c r="AT58" s="5" t="s">
        <v>5</v>
      </c>
      <c r="AU58" s="5" t="s">
        <v>5</v>
      </c>
      <c r="AV58" s="5" t="s">
        <v>5</v>
      </c>
      <c r="AW58" s="12" t="s">
        <v>194</v>
      </c>
      <c r="AX58" s="25">
        <f>-18.91*10^4*24*(("2015-12-31"-"2015-10-01")+("2016-4-30"-"2016-01-01"))/10^9</f>
        <v>-0.95760239999999996</v>
      </c>
      <c r="AY58" s="25">
        <f>-13.07*10^4*24*(("2015-12-31"-"2015-10-01")+("2016-4-30"-"2016-01-01"))/10^9</f>
        <v>-0.66186480000000003</v>
      </c>
      <c r="AZ58" s="26">
        <v>3</v>
      </c>
      <c r="BA58" s="25" t="s">
        <v>109</v>
      </c>
      <c r="BB58" s="25" t="s">
        <v>109</v>
      </c>
      <c r="BC58" s="25" t="s">
        <v>109</v>
      </c>
      <c r="BD58" s="25"/>
      <c r="BE58" s="44">
        <f t="shared" si="59"/>
        <v>-1.887775115981154</v>
      </c>
      <c r="BF58" s="44">
        <f t="shared" ref="BF58:BF59" si="60">SQRT((1/AJ58)^2*AR58^2+((-AQ58/AJ58^2)^2*AK58^2))</f>
        <v>5.2064592480141743</v>
      </c>
      <c r="BG58" s="1">
        <v>3</v>
      </c>
      <c r="BJ58" s="26"/>
      <c r="BK58" s="26"/>
      <c r="BL58" s="44">
        <f t="shared" ref="BL58:BL59" si="61">AX58/AJ58</f>
        <v>2.887775115981154</v>
      </c>
      <c r="BM58" s="44">
        <f t="shared" ref="BM58:BM59" si="62">SQRT((1/AJ58)^2*AY58^2+((-AX58/AJ58^2)^2*AK58^2))</f>
        <v>6.799799218583785</v>
      </c>
      <c r="BN58" s="1">
        <v>3</v>
      </c>
      <c r="BO58" s="44"/>
      <c r="BP58" s="26"/>
      <c r="BQ58" s="26"/>
      <c r="BR58" s="1" t="s">
        <v>150</v>
      </c>
    </row>
    <row r="59" spans="1:70" x14ac:dyDescent="0.3">
      <c r="A59" s="4">
        <v>58</v>
      </c>
      <c r="B59" s="1" t="s">
        <v>125</v>
      </c>
      <c r="C59" s="1" t="s">
        <v>185</v>
      </c>
      <c r="D59" s="1" t="s">
        <v>185</v>
      </c>
      <c r="E59" s="1" t="s">
        <v>16</v>
      </c>
      <c r="F59" s="1" t="s">
        <v>55</v>
      </c>
      <c r="G59" s="1" t="s">
        <v>26</v>
      </c>
      <c r="H59" s="5" t="s">
        <v>9</v>
      </c>
      <c r="I59" s="1" t="s">
        <v>10</v>
      </c>
      <c r="J59" s="27" t="s">
        <v>127</v>
      </c>
      <c r="K59" s="1" t="s">
        <v>18</v>
      </c>
      <c r="L59" s="1" t="s">
        <v>109</v>
      </c>
      <c r="M59" s="3">
        <v>0</v>
      </c>
      <c r="N59" s="3">
        <v>0</v>
      </c>
      <c r="O59" s="1" t="s">
        <v>54</v>
      </c>
      <c r="P59" s="28">
        <v>48.149000000000001</v>
      </c>
      <c r="Q59" s="1">
        <v>134.60599999999999</v>
      </c>
      <c r="R59" s="3" t="s">
        <v>109</v>
      </c>
      <c r="S59" s="3">
        <v>2.6</v>
      </c>
      <c r="T59" s="3">
        <v>550</v>
      </c>
      <c r="U59" s="1" t="s">
        <v>16</v>
      </c>
      <c r="V59" s="1" t="s">
        <v>109</v>
      </c>
      <c r="W59" s="1" t="s">
        <v>109</v>
      </c>
      <c r="X59" s="1" t="s">
        <v>55</v>
      </c>
      <c r="Y59" s="1" t="s">
        <v>26</v>
      </c>
      <c r="Z59" s="5" t="s">
        <v>9</v>
      </c>
      <c r="AA59" s="1" t="s">
        <v>10</v>
      </c>
      <c r="AB59" s="27" t="s">
        <v>127</v>
      </c>
      <c r="AC59" s="1" t="s">
        <v>18</v>
      </c>
      <c r="AD59" s="1" t="s">
        <v>128</v>
      </c>
      <c r="AE59" s="5" t="s">
        <v>12</v>
      </c>
      <c r="AF59" s="7" t="s">
        <v>5</v>
      </c>
      <c r="AG59" s="5" t="s">
        <v>43</v>
      </c>
      <c r="AH59" s="5" t="s">
        <v>13</v>
      </c>
      <c r="AI59" s="4" t="s">
        <v>21</v>
      </c>
      <c r="AJ59" s="34">
        <f>(-18.91*10^4*24*(("2015-12-31"-"2015-10-01")+("2016-4-30"-"2016-01-01"))/10^9)+(-8.05*10^4*24*(("2016-9-30"-"2016-05-01"))/10^9)</f>
        <v>-1.2512664</v>
      </c>
      <c r="AK59" s="25">
        <f>SQRT((-16.54*10^4*24*(("2015-12-31"-"2015-10-01")+("2016-4-30"-"2016-01-01"))/10^9)^2+(6.06*10^4*24*(("2016-09-30"-"2016-05-01"))/10^9)^2)</f>
        <v>0.86626846396529988</v>
      </c>
      <c r="AL59" s="1">
        <v>3</v>
      </c>
      <c r="AM59" s="34" t="s">
        <v>109</v>
      </c>
      <c r="AN59" s="25" t="s">
        <v>109</v>
      </c>
      <c r="AO59" s="25" t="s">
        <v>109</v>
      </c>
      <c r="AP59" s="12" t="s">
        <v>226</v>
      </c>
      <c r="AQ59" s="34">
        <f t="shared" si="11"/>
        <v>-1.0917504</v>
      </c>
      <c r="AR59" s="34">
        <f t="shared" si="18"/>
        <v>1.2049774640997069</v>
      </c>
      <c r="AS59" s="5" t="s">
        <v>5</v>
      </c>
      <c r="AT59" s="5" t="s">
        <v>5</v>
      </c>
      <c r="AU59" s="5" t="s">
        <v>5</v>
      </c>
      <c r="AV59" s="5" t="s">
        <v>5</v>
      </c>
      <c r="AW59" s="12" t="s">
        <v>194</v>
      </c>
      <c r="AX59" s="25">
        <f>-3.15*10^4*24*(("2015-12-31"-"2015-10-01")+("2016-4-30"-"2016-01-01"))/10^9</f>
        <v>-0.15951599999999999</v>
      </c>
      <c r="AY59" s="25">
        <f>-16.54*10^4*24*(("2015-12-31"-"2015-10-01")+("2016-4-30"-"2016-01-01"))/10^9</f>
        <v>-0.83758560000000004</v>
      </c>
      <c r="AZ59" s="26">
        <v>3</v>
      </c>
      <c r="BA59" s="25" t="s">
        <v>109</v>
      </c>
      <c r="BB59" s="25" t="s">
        <v>109</v>
      </c>
      <c r="BC59" s="25" t="s">
        <v>109</v>
      </c>
      <c r="BD59" s="25"/>
      <c r="BE59" s="44">
        <f t="shared" si="59"/>
        <v>0.87251635622917711</v>
      </c>
      <c r="BF59" s="44">
        <f t="shared" si="60"/>
        <v>1.1367776056771504</v>
      </c>
      <c r="BG59" s="1">
        <v>3</v>
      </c>
      <c r="BJ59" s="26"/>
      <c r="BK59" s="26"/>
      <c r="BL59" s="44">
        <f t="shared" si="61"/>
        <v>0.12748364377082289</v>
      </c>
      <c r="BM59" s="44">
        <f t="shared" si="62"/>
        <v>0.67518365616602272</v>
      </c>
      <c r="BN59" s="1">
        <v>3</v>
      </c>
      <c r="BO59" s="44"/>
      <c r="BP59" s="26"/>
      <c r="BQ59" s="26"/>
      <c r="BR59" s="1" t="s">
        <v>150</v>
      </c>
    </row>
    <row r="60" spans="1:70" x14ac:dyDescent="0.3">
      <c r="A60" s="4">
        <v>59</v>
      </c>
      <c r="B60" s="1" t="s">
        <v>129</v>
      </c>
      <c r="C60" s="1" t="s">
        <v>4</v>
      </c>
      <c r="D60" s="1" t="s">
        <v>23</v>
      </c>
      <c r="E60" s="1" t="s">
        <v>6</v>
      </c>
      <c r="F60" s="1" t="s">
        <v>130</v>
      </c>
      <c r="G60" s="5" t="s">
        <v>8</v>
      </c>
      <c r="H60" s="5" t="s">
        <v>9</v>
      </c>
      <c r="I60" s="5" t="s">
        <v>10</v>
      </c>
      <c r="J60" s="1" t="s">
        <v>221</v>
      </c>
      <c r="K60" s="1" t="s">
        <v>179</v>
      </c>
      <c r="L60" s="1">
        <v>2.2000000000000002</v>
      </c>
      <c r="M60" s="3">
        <v>0</v>
      </c>
      <c r="N60" s="3">
        <v>0</v>
      </c>
      <c r="O60" s="1" t="s">
        <v>24</v>
      </c>
      <c r="P60" s="28">
        <v>60.646999999999998</v>
      </c>
      <c r="Q60" s="1">
        <v>24.356000000000002</v>
      </c>
      <c r="R60" s="3" t="s">
        <v>109</v>
      </c>
      <c r="S60" s="3">
        <v>4.4000000000000004</v>
      </c>
      <c r="T60" s="3">
        <v>627</v>
      </c>
      <c r="U60" s="1" t="s">
        <v>6</v>
      </c>
      <c r="V60" s="1">
        <v>35</v>
      </c>
      <c r="W60" s="1" t="s">
        <v>109</v>
      </c>
      <c r="X60" s="1" t="s">
        <v>130</v>
      </c>
      <c r="Y60" s="5" t="s">
        <v>8</v>
      </c>
      <c r="Z60" s="5" t="s">
        <v>9</v>
      </c>
      <c r="AA60" s="5" t="s">
        <v>10</v>
      </c>
      <c r="AB60" s="1" t="s">
        <v>221</v>
      </c>
      <c r="AC60" s="1" t="s">
        <v>179</v>
      </c>
      <c r="AD60" s="1" t="s">
        <v>131</v>
      </c>
      <c r="AE60" s="5" t="s">
        <v>12</v>
      </c>
      <c r="AF60" s="7" t="s">
        <v>5</v>
      </c>
      <c r="AG60" s="5" t="s">
        <v>35</v>
      </c>
      <c r="AH60" s="5" t="s">
        <v>13</v>
      </c>
      <c r="AI60" s="4" t="s">
        <v>21</v>
      </c>
      <c r="AJ60" s="34" t="s">
        <v>109</v>
      </c>
      <c r="AK60" s="25" t="s">
        <v>109</v>
      </c>
      <c r="AL60" s="25" t="s">
        <v>109</v>
      </c>
      <c r="AM60" s="34">
        <f>100*10^4/10^6</f>
        <v>1</v>
      </c>
      <c r="AN60" s="25" t="s">
        <v>109</v>
      </c>
      <c r="AO60" s="1">
        <v>3</v>
      </c>
      <c r="AP60" s="12" t="s">
        <v>226</v>
      </c>
      <c r="AQ60" s="5" t="s">
        <v>5</v>
      </c>
      <c r="AR60" s="5" t="s">
        <v>5</v>
      </c>
      <c r="AS60" s="5" t="s">
        <v>5</v>
      </c>
      <c r="AT60" s="34">
        <f t="shared" si="3"/>
        <v>0.47</v>
      </c>
      <c r="AU60" s="5" t="s">
        <v>5</v>
      </c>
      <c r="AV60" s="1">
        <v>3</v>
      </c>
      <c r="AW60" s="12" t="s">
        <v>194</v>
      </c>
      <c r="AX60" s="25" t="s">
        <v>109</v>
      </c>
      <c r="AY60" s="25" t="s">
        <v>109</v>
      </c>
      <c r="AZ60" s="26" t="s">
        <v>109</v>
      </c>
      <c r="BA60" s="25">
        <f>53*10^4/10^6</f>
        <v>0.53</v>
      </c>
      <c r="BB60" s="25" t="s">
        <v>109</v>
      </c>
      <c r="BC60" s="1">
        <v>3</v>
      </c>
      <c r="BG60" s="26"/>
      <c r="BH60" s="44">
        <f t="shared" ref="BH60:BH61" si="63">AT60/AM60</f>
        <v>0.47</v>
      </c>
      <c r="BJ60" s="1">
        <f>BC60</f>
        <v>3</v>
      </c>
      <c r="BR60" s="1" t="s">
        <v>151</v>
      </c>
    </row>
    <row r="61" spans="1:70" x14ac:dyDescent="0.3">
      <c r="A61" s="4">
        <v>60</v>
      </c>
      <c r="B61" s="1" t="s">
        <v>132</v>
      </c>
      <c r="C61" s="1" t="s">
        <v>4</v>
      </c>
      <c r="D61" s="1" t="s">
        <v>254</v>
      </c>
      <c r="E61" s="1" t="s">
        <v>16</v>
      </c>
      <c r="F61" s="1" t="s">
        <v>130</v>
      </c>
      <c r="G61" s="5" t="s">
        <v>8</v>
      </c>
      <c r="H61" s="5" t="s">
        <v>9</v>
      </c>
      <c r="I61" s="5" t="s">
        <v>10</v>
      </c>
      <c r="J61" s="27" t="s">
        <v>222</v>
      </c>
      <c r="K61" s="5" t="s">
        <v>11</v>
      </c>
      <c r="L61" s="1">
        <v>2.5</v>
      </c>
      <c r="M61" s="3">
        <v>0</v>
      </c>
      <c r="N61" s="3">
        <v>0</v>
      </c>
      <c r="O61" s="1" t="s">
        <v>67</v>
      </c>
      <c r="P61" s="28">
        <v>58.537999999999997</v>
      </c>
      <c r="Q61" s="1">
        <v>25.861999999999998</v>
      </c>
      <c r="R61" s="3" t="s">
        <v>109</v>
      </c>
      <c r="S61" s="3">
        <v>7.2</v>
      </c>
      <c r="T61" s="3">
        <v>784</v>
      </c>
      <c r="U61" s="1" t="s">
        <v>16</v>
      </c>
      <c r="V61" s="1">
        <v>34</v>
      </c>
      <c r="W61" s="1" t="s">
        <v>109</v>
      </c>
      <c r="X61" s="1" t="s">
        <v>130</v>
      </c>
      <c r="Y61" s="5" t="s">
        <v>8</v>
      </c>
      <c r="Z61" s="5" t="s">
        <v>9</v>
      </c>
      <c r="AA61" s="5" t="s">
        <v>10</v>
      </c>
      <c r="AB61" s="27" t="s">
        <v>222</v>
      </c>
      <c r="AC61" s="1" t="s">
        <v>219</v>
      </c>
      <c r="AD61" s="1" t="s">
        <v>133</v>
      </c>
      <c r="AE61" s="5" t="s">
        <v>12</v>
      </c>
      <c r="AF61" s="7" t="s">
        <v>5</v>
      </c>
      <c r="AG61" s="5" t="s">
        <v>35</v>
      </c>
      <c r="AH61" s="5" t="s">
        <v>13</v>
      </c>
      <c r="AI61" s="4" t="s">
        <v>21</v>
      </c>
      <c r="AJ61" s="34" t="s">
        <v>109</v>
      </c>
      <c r="AK61" s="25" t="s">
        <v>109</v>
      </c>
      <c r="AL61" s="25" t="s">
        <v>109</v>
      </c>
      <c r="AM61" s="34">
        <f>0.332*1000/298</f>
        <v>1.1140939597315436</v>
      </c>
      <c r="AN61" s="25" t="s">
        <v>109</v>
      </c>
      <c r="AO61" s="1">
        <v>2</v>
      </c>
      <c r="AP61" s="12" t="s">
        <v>226</v>
      </c>
      <c r="AQ61" s="5" t="s">
        <v>5</v>
      </c>
      <c r="AR61" s="5" t="s">
        <v>5</v>
      </c>
      <c r="AS61" s="5" t="s">
        <v>5</v>
      </c>
      <c r="AT61" s="34">
        <f t="shared" si="3"/>
        <v>0.5604026845637583</v>
      </c>
      <c r="AU61" s="5" t="s">
        <v>5</v>
      </c>
      <c r="AV61" s="1">
        <v>2</v>
      </c>
      <c r="AW61" s="12" t="s">
        <v>194</v>
      </c>
      <c r="AX61" s="25" t="s">
        <v>109</v>
      </c>
      <c r="AY61" s="25" t="s">
        <v>109</v>
      </c>
      <c r="AZ61" s="26" t="s">
        <v>109</v>
      </c>
      <c r="BA61" s="25">
        <f>(0.332-0.167)*1000/298</f>
        <v>0.55369127516778527</v>
      </c>
      <c r="BB61" s="25" t="s">
        <v>109</v>
      </c>
      <c r="BC61" s="1">
        <v>2</v>
      </c>
      <c r="BG61" s="26"/>
      <c r="BH61" s="44">
        <f t="shared" si="63"/>
        <v>0.50301204819277101</v>
      </c>
      <c r="BJ61" s="1">
        <f>BC61</f>
        <v>2</v>
      </c>
      <c r="BR61" s="1" t="s">
        <v>152</v>
      </c>
    </row>
    <row r="62" spans="1:70" x14ac:dyDescent="0.3">
      <c r="A62" s="4">
        <v>61</v>
      </c>
      <c r="B62" s="14" t="s">
        <v>136</v>
      </c>
      <c r="C62" s="5" t="s">
        <v>185</v>
      </c>
      <c r="D62" s="5" t="s">
        <v>185</v>
      </c>
      <c r="E62" s="8" t="s">
        <v>16</v>
      </c>
      <c r="F62" s="1" t="s">
        <v>130</v>
      </c>
      <c r="G62" s="5" t="s">
        <v>8</v>
      </c>
      <c r="H62" s="5" t="s">
        <v>27</v>
      </c>
      <c r="I62" s="5" t="s">
        <v>10</v>
      </c>
      <c r="J62" s="27" t="s">
        <v>223</v>
      </c>
      <c r="K62" s="1" t="s">
        <v>179</v>
      </c>
      <c r="L62" s="5" t="s">
        <v>109</v>
      </c>
      <c r="M62" s="3">
        <v>0</v>
      </c>
      <c r="N62" s="3">
        <v>0</v>
      </c>
      <c r="O62" s="5" t="s">
        <v>63</v>
      </c>
      <c r="P62" s="6">
        <v>55.792999999999999</v>
      </c>
      <c r="Q62" s="6">
        <v>-3.2429999999999999</v>
      </c>
      <c r="R62" s="3" t="s">
        <v>109</v>
      </c>
      <c r="S62" s="3" t="s">
        <v>109</v>
      </c>
      <c r="T62" s="8">
        <v>1016</v>
      </c>
      <c r="U62" s="8" t="s">
        <v>16</v>
      </c>
      <c r="V62" s="4" t="s">
        <v>109</v>
      </c>
      <c r="W62" s="1" t="s">
        <v>109</v>
      </c>
      <c r="X62" s="1" t="s">
        <v>130</v>
      </c>
      <c r="Y62" s="5" t="s">
        <v>8</v>
      </c>
      <c r="Z62" s="5" t="s">
        <v>27</v>
      </c>
      <c r="AA62" s="5" t="s">
        <v>10</v>
      </c>
      <c r="AB62" s="27" t="s">
        <v>223</v>
      </c>
      <c r="AC62" s="1" t="s">
        <v>179</v>
      </c>
      <c r="AD62" s="10" t="s">
        <v>137</v>
      </c>
      <c r="AE62" s="5" t="s">
        <v>12</v>
      </c>
      <c r="AF62" s="7" t="s">
        <v>5</v>
      </c>
      <c r="AG62" s="5" t="s">
        <v>35</v>
      </c>
      <c r="AH62" s="5" t="s">
        <v>13</v>
      </c>
      <c r="AI62" s="4" t="s">
        <v>21</v>
      </c>
      <c r="AJ62" s="37">
        <v>4.6327433628318551E-2</v>
      </c>
      <c r="AK62" s="5">
        <v>0.10074901569349345</v>
      </c>
      <c r="AL62" s="7">
        <v>6</v>
      </c>
      <c r="AM62" s="37" t="s">
        <v>109</v>
      </c>
      <c r="AN62" s="5" t="s">
        <v>109</v>
      </c>
      <c r="AO62" s="5" t="s">
        <v>109</v>
      </c>
      <c r="AP62" s="12" t="s">
        <v>226</v>
      </c>
      <c r="AQ62" s="34">
        <f t="shared" si="11"/>
        <v>3.8230088495575187E-2</v>
      </c>
      <c r="AR62" s="34">
        <f t="shared" si="18"/>
        <v>0.10166658856594295</v>
      </c>
      <c r="AS62" s="5" t="s">
        <v>5</v>
      </c>
      <c r="AT62" s="5" t="s">
        <v>5</v>
      </c>
      <c r="AU62" s="5" t="s">
        <v>5</v>
      </c>
      <c r="AV62" s="5" t="s">
        <v>5</v>
      </c>
      <c r="AW62" s="12" t="s">
        <v>194</v>
      </c>
      <c r="AX62" s="25">
        <v>8.0973451327433603E-3</v>
      </c>
      <c r="AY62" s="25">
        <v>1.3628318584070882E-2</v>
      </c>
      <c r="AZ62" s="26">
        <v>6</v>
      </c>
      <c r="BA62" s="25" t="s">
        <v>109</v>
      </c>
      <c r="BB62" s="25" t="s">
        <v>109</v>
      </c>
      <c r="BC62" s="25" t="s">
        <v>109</v>
      </c>
      <c r="BD62" s="25"/>
      <c r="BE62" s="44">
        <f t="shared" ref="BE62:BE65" si="64">AQ62/AJ62</f>
        <v>0.82521489971346695</v>
      </c>
      <c r="BF62" s="44">
        <f t="shared" ref="BF62:BF65" si="65">SQRT((1/AJ62)^2*AR62^2+((-AQ62/AJ62^2)^2*AK62^2))</f>
        <v>2.8348803639828333</v>
      </c>
      <c r="BG62" s="1">
        <v>3</v>
      </c>
      <c r="BJ62" s="26"/>
      <c r="BK62" s="26"/>
      <c r="BL62" s="26"/>
      <c r="BM62" s="26"/>
      <c r="BN62" s="26"/>
      <c r="BO62" s="26"/>
      <c r="BP62" s="26"/>
      <c r="BQ62" s="26"/>
      <c r="BR62" s="1" t="s">
        <v>153</v>
      </c>
    </row>
    <row r="63" spans="1:70" x14ac:dyDescent="0.3">
      <c r="A63" s="4">
        <v>62</v>
      </c>
      <c r="B63" s="14" t="s">
        <v>136</v>
      </c>
      <c r="C63" s="5" t="s">
        <v>185</v>
      </c>
      <c r="D63" s="5" t="s">
        <v>185</v>
      </c>
      <c r="E63" s="8" t="s">
        <v>16</v>
      </c>
      <c r="F63" s="1" t="s">
        <v>130</v>
      </c>
      <c r="G63" s="5" t="s">
        <v>8</v>
      </c>
      <c r="H63" s="5" t="s">
        <v>27</v>
      </c>
      <c r="I63" s="5" t="s">
        <v>10</v>
      </c>
      <c r="J63" s="27" t="s">
        <v>223</v>
      </c>
      <c r="K63" s="1" t="s">
        <v>179</v>
      </c>
      <c r="L63" s="5" t="s">
        <v>109</v>
      </c>
      <c r="M63" s="3">
        <v>0</v>
      </c>
      <c r="N63" s="3">
        <v>0</v>
      </c>
      <c r="O63" s="5" t="s">
        <v>63</v>
      </c>
      <c r="P63" s="6">
        <v>55.792999999999999</v>
      </c>
      <c r="Q63" s="6">
        <v>-3.2429999999999999</v>
      </c>
      <c r="R63" s="3" t="s">
        <v>109</v>
      </c>
      <c r="S63" s="3" t="s">
        <v>109</v>
      </c>
      <c r="T63" s="8">
        <v>1016</v>
      </c>
      <c r="U63" s="8" t="s">
        <v>16</v>
      </c>
      <c r="V63" s="4" t="s">
        <v>109</v>
      </c>
      <c r="W63" s="1" t="s">
        <v>109</v>
      </c>
      <c r="X63" s="1" t="s">
        <v>130</v>
      </c>
      <c r="Y63" s="5" t="s">
        <v>8</v>
      </c>
      <c r="Z63" s="5" t="s">
        <v>27</v>
      </c>
      <c r="AA63" s="5" t="s">
        <v>10</v>
      </c>
      <c r="AB63" s="27" t="s">
        <v>223</v>
      </c>
      <c r="AC63" s="1" t="s">
        <v>179</v>
      </c>
      <c r="AD63" s="10" t="s">
        <v>138</v>
      </c>
      <c r="AE63" s="5" t="s">
        <v>12</v>
      </c>
      <c r="AF63" s="7" t="s">
        <v>5</v>
      </c>
      <c r="AG63" s="5" t="s">
        <v>35</v>
      </c>
      <c r="AH63" s="5" t="s">
        <v>13</v>
      </c>
      <c r="AI63" s="4" t="s">
        <v>21</v>
      </c>
      <c r="AJ63" s="37">
        <v>2.503428206968026E-2</v>
      </c>
      <c r="AK63" s="5">
        <v>1.8569035094607538E-2</v>
      </c>
      <c r="AL63" s="7">
        <v>6</v>
      </c>
      <c r="AM63" s="37" t="s">
        <v>109</v>
      </c>
      <c r="AN63" s="5" t="s">
        <v>109</v>
      </c>
      <c r="AO63" s="5" t="s">
        <v>109</v>
      </c>
      <c r="AP63" s="12" t="s">
        <v>226</v>
      </c>
      <c r="AQ63" s="34">
        <f t="shared" si="11"/>
        <v>1.6936936936936899E-2</v>
      </c>
      <c r="AR63" s="34">
        <f t="shared" si="18"/>
        <v>2.3033456791669335E-2</v>
      </c>
      <c r="AS63" s="5" t="s">
        <v>5</v>
      </c>
      <c r="AT63" s="5" t="s">
        <v>5</v>
      </c>
      <c r="AU63" s="5" t="s">
        <v>5</v>
      </c>
      <c r="AV63" s="5" t="s">
        <v>5</v>
      </c>
      <c r="AW63" s="12" t="s">
        <v>194</v>
      </c>
      <c r="AX63" s="25">
        <v>8.0973451327433603E-3</v>
      </c>
      <c r="AY63" s="25">
        <v>1.3628318584070882E-2</v>
      </c>
      <c r="AZ63" s="26">
        <v>6</v>
      </c>
      <c r="BA63" s="25" t="s">
        <v>109</v>
      </c>
      <c r="BB63" s="25" t="s">
        <v>109</v>
      </c>
      <c r="BC63" s="25" t="s">
        <v>109</v>
      </c>
      <c r="BD63" s="25"/>
      <c r="BE63" s="44">
        <f t="shared" si="64"/>
        <v>0.67654973646916405</v>
      </c>
      <c r="BF63" s="44">
        <f t="shared" si="65"/>
        <v>1.0480320357317943</v>
      </c>
      <c r="BG63" s="1">
        <v>4</v>
      </c>
      <c r="BJ63" s="26"/>
      <c r="BK63" s="26"/>
      <c r="BL63" s="26"/>
      <c r="BM63" s="26"/>
      <c r="BN63" s="26"/>
      <c r="BO63" s="26"/>
      <c r="BP63" s="26"/>
      <c r="BQ63" s="26"/>
      <c r="BR63" s="1" t="s">
        <v>153</v>
      </c>
    </row>
    <row r="64" spans="1:70" x14ac:dyDescent="0.3">
      <c r="A64" s="4">
        <v>63</v>
      </c>
      <c r="B64" s="14" t="s">
        <v>136</v>
      </c>
      <c r="C64" s="5" t="s">
        <v>185</v>
      </c>
      <c r="D64" s="5" t="s">
        <v>185</v>
      </c>
      <c r="E64" s="8" t="s">
        <v>16</v>
      </c>
      <c r="F64" s="1" t="s">
        <v>130</v>
      </c>
      <c r="G64" s="5" t="s">
        <v>8</v>
      </c>
      <c r="H64" s="5" t="s">
        <v>139</v>
      </c>
      <c r="I64" s="5" t="s">
        <v>10</v>
      </c>
      <c r="J64" s="27" t="s">
        <v>224</v>
      </c>
      <c r="K64" s="1" t="s">
        <v>179</v>
      </c>
      <c r="L64" s="5" t="s">
        <v>109</v>
      </c>
      <c r="M64" s="3">
        <v>0</v>
      </c>
      <c r="N64" s="3">
        <v>0</v>
      </c>
      <c r="O64" s="5" t="s">
        <v>63</v>
      </c>
      <c r="P64" s="6">
        <v>55.792999999999999</v>
      </c>
      <c r="Q64" s="6">
        <v>-3.2429999999999999</v>
      </c>
      <c r="R64" s="3" t="s">
        <v>109</v>
      </c>
      <c r="S64" s="3" t="s">
        <v>109</v>
      </c>
      <c r="T64" s="8">
        <v>1016</v>
      </c>
      <c r="U64" s="8" t="s">
        <v>16</v>
      </c>
      <c r="V64" s="4" t="s">
        <v>109</v>
      </c>
      <c r="W64" s="1" t="s">
        <v>109</v>
      </c>
      <c r="X64" s="1" t="s">
        <v>130</v>
      </c>
      <c r="Y64" s="5" t="s">
        <v>8</v>
      </c>
      <c r="Z64" s="5" t="s">
        <v>139</v>
      </c>
      <c r="AA64" s="5" t="s">
        <v>10</v>
      </c>
      <c r="AB64" s="27" t="s">
        <v>224</v>
      </c>
      <c r="AC64" s="1" t="s">
        <v>179</v>
      </c>
      <c r="AD64" s="10" t="s">
        <v>137</v>
      </c>
      <c r="AE64" s="5" t="s">
        <v>12</v>
      </c>
      <c r="AF64" s="7" t="s">
        <v>5</v>
      </c>
      <c r="AG64" s="5" t="s">
        <v>35</v>
      </c>
      <c r="AH64" s="5" t="s">
        <v>13</v>
      </c>
      <c r="AI64" s="4" t="s">
        <v>21</v>
      </c>
      <c r="AJ64" s="34">
        <v>-5.3628318584070703E-2</v>
      </c>
      <c r="AK64" s="25">
        <v>5.1426894783638974E-2</v>
      </c>
      <c r="AL64" s="7">
        <v>6</v>
      </c>
      <c r="AM64" s="37" t="s">
        <v>109</v>
      </c>
      <c r="AN64" s="5" t="s">
        <v>109</v>
      </c>
      <c r="AO64" s="5" t="s">
        <v>109</v>
      </c>
      <c r="AP64" s="12" t="s">
        <v>226</v>
      </c>
      <c r="AQ64" s="34">
        <f t="shared" si="11"/>
        <v>-4.0353982300884904E-2</v>
      </c>
      <c r="AR64" s="34">
        <f t="shared" si="18"/>
        <v>5.1876374911366978E-2</v>
      </c>
      <c r="AS64" s="5" t="s">
        <v>5</v>
      </c>
      <c r="AT64" s="5" t="s">
        <v>5</v>
      </c>
      <c r="AU64" s="5" t="s">
        <v>5</v>
      </c>
      <c r="AV64" s="5" t="s">
        <v>5</v>
      </c>
      <c r="AW64" s="12" t="s">
        <v>194</v>
      </c>
      <c r="AX64" s="25">
        <v>-1.3274336283185799E-2</v>
      </c>
      <c r="AY64" s="25">
        <v>6.814159292035318E-3</v>
      </c>
      <c r="AZ64" s="26">
        <v>6</v>
      </c>
      <c r="BA64" s="25" t="s">
        <v>109</v>
      </c>
      <c r="BB64" s="25" t="s">
        <v>109</v>
      </c>
      <c r="BC64" s="25" t="s">
        <v>109</v>
      </c>
      <c r="BD64" s="25"/>
      <c r="BE64" s="44">
        <f t="shared" si="64"/>
        <v>0.75247524752475281</v>
      </c>
      <c r="BF64" s="44">
        <f t="shared" si="65"/>
        <v>1.2068212939094825</v>
      </c>
      <c r="BG64" s="1">
        <v>5</v>
      </c>
      <c r="BJ64" s="26"/>
      <c r="BK64" s="26"/>
      <c r="BL64" s="26"/>
      <c r="BM64" s="26"/>
      <c r="BN64" s="26"/>
      <c r="BO64" s="26"/>
      <c r="BP64" s="26"/>
      <c r="BQ64" s="26"/>
      <c r="BR64" s="1" t="s">
        <v>153</v>
      </c>
    </row>
    <row r="65" spans="1:70" x14ac:dyDescent="0.3">
      <c r="A65" s="4">
        <v>64</v>
      </c>
      <c r="B65" s="14" t="s">
        <v>136</v>
      </c>
      <c r="C65" s="5" t="s">
        <v>185</v>
      </c>
      <c r="D65" s="5" t="s">
        <v>185</v>
      </c>
      <c r="E65" s="8" t="s">
        <v>16</v>
      </c>
      <c r="F65" s="1" t="s">
        <v>130</v>
      </c>
      <c r="G65" s="5" t="s">
        <v>8</v>
      </c>
      <c r="H65" s="5" t="s">
        <v>139</v>
      </c>
      <c r="I65" s="5" t="s">
        <v>10</v>
      </c>
      <c r="J65" s="27" t="s">
        <v>224</v>
      </c>
      <c r="K65" s="1" t="s">
        <v>179</v>
      </c>
      <c r="L65" s="5" t="s">
        <v>109</v>
      </c>
      <c r="M65" s="3">
        <v>0</v>
      </c>
      <c r="N65" s="3">
        <v>0</v>
      </c>
      <c r="O65" s="5" t="s">
        <v>63</v>
      </c>
      <c r="P65" s="6">
        <v>55.792999999999999</v>
      </c>
      <c r="Q65" s="6">
        <v>-3.2429999999999999</v>
      </c>
      <c r="R65" s="3" t="s">
        <v>109</v>
      </c>
      <c r="S65" s="3" t="s">
        <v>109</v>
      </c>
      <c r="T65" s="8">
        <v>1016</v>
      </c>
      <c r="U65" s="8" t="s">
        <v>16</v>
      </c>
      <c r="V65" s="4"/>
      <c r="W65" s="1" t="s">
        <v>109</v>
      </c>
      <c r="X65" s="1" t="s">
        <v>130</v>
      </c>
      <c r="Y65" s="5" t="s">
        <v>8</v>
      </c>
      <c r="Z65" s="5" t="s">
        <v>139</v>
      </c>
      <c r="AA65" s="5" t="s">
        <v>10</v>
      </c>
      <c r="AB65" s="27" t="s">
        <v>224</v>
      </c>
      <c r="AC65" s="1" t="s">
        <v>179</v>
      </c>
      <c r="AD65" s="10" t="s">
        <v>138</v>
      </c>
      <c r="AE65" s="5" t="s">
        <v>12</v>
      </c>
      <c r="AF65" s="7" t="s">
        <v>5</v>
      </c>
      <c r="AG65" s="5" t="s">
        <v>35</v>
      </c>
      <c r="AH65" s="5" t="s">
        <v>13</v>
      </c>
      <c r="AI65" s="4" t="s">
        <v>21</v>
      </c>
      <c r="AJ65" s="34">
        <v>-1.7428047516542984E-3</v>
      </c>
      <c r="AK65" s="25">
        <v>4.1997926563125287E-2</v>
      </c>
      <c r="AL65" s="7">
        <v>6</v>
      </c>
      <c r="AM65" s="37" t="s">
        <v>109</v>
      </c>
      <c r="AN65" s="5" t="s">
        <v>109</v>
      </c>
      <c r="AO65" s="5" t="s">
        <v>109</v>
      </c>
      <c r="AP65" s="12" t="s">
        <v>226</v>
      </c>
      <c r="AQ65" s="34">
        <f t="shared" si="11"/>
        <v>1.15315315315315E-2</v>
      </c>
      <c r="AR65" s="34">
        <f t="shared" si="18"/>
        <v>4.2547133892412728E-2</v>
      </c>
      <c r="AS65" s="5" t="s">
        <v>5</v>
      </c>
      <c r="AT65" s="5" t="s">
        <v>5</v>
      </c>
      <c r="AU65" s="5" t="s">
        <v>5</v>
      </c>
      <c r="AV65" s="5" t="s">
        <v>5</v>
      </c>
      <c r="AW65" s="12" t="s">
        <v>194</v>
      </c>
      <c r="AX65" s="25">
        <v>-1.3274336283185799E-2</v>
      </c>
      <c r="AY65" s="25">
        <v>6.814159292035318E-3</v>
      </c>
      <c r="AZ65" s="26">
        <v>6</v>
      </c>
      <c r="BA65" s="25" t="s">
        <v>109</v>
      </c>
      <c r="BB65" s="25" t="s">
        <v>109</v>
      </c>
      <c r="BC65" s="25" t="s">
        <v>109</v>
      </c>
      <c r="BD65" s="25"/>
      <c r="BE65" s="44">
        <f t="shared" si="64"/>
        <v>-6.6166514181153024</v>
      </c>
      <c r="BF65" s="44">
        <f t="shared" si="65"/>
        <v>161.30548868484226</v>
      </c>
      <c r="BG65" s="1">
        <v>6</v>
      </c>
      <c r="BJ65" s="26"/>
      <c r="BK65" s="26"/>
      <c r="BL65" s="26"/>
      <c r="BM65" s="26"/>
      <c r="BN65" s="26"/>
      <c r="BO65" s="26"/>
      <c r="BP65" s="26"/>
      <c r="BQ65" s="26"/>
      <c r="BR65" s="1" t="s">
        <v>153</v>
      </c>
    </row>
    <row r="66" spans="1:70" x14ac:dyDescent="0.3">
      <c r="AU66" s="5"/>
    </row>
  </sheetData>
  <autoFilter ref="C1:N65" xr:uid="{48E4FA47-EA18-4431-91AA-B419F2FBF0AD}"/>
  <phoneticPr fontId="1" type="noConversion"/>
  <pageMargins left="0.7" right="0.7" top="0.75" bottom="0.75" header="0.3" footer="0.3"/>
  <pageSetup paperSize="9" orientation="portrait" horizontalDpi="1200" verticalDpi="12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D73B7-02F1-497D-A0BE-34FED3170133}">
  <dimension ref="A1:BH4"/>
  <sheetViews>
    <sheetView workbookViewId="0">
      <pane xSplit="14" ySplit="1" topLeftCell="BA2" activePane="bottomRight" state="frozen"/>
      <selection pane="topRight" activeCell="O1" sqref="O1"/>
      <selection pane="bottomLeft" activeCell="A2" sqref="A2"/>
      <selection pane="bottomRight" activeCell="BC4" sqref="BC4"/>
    </sheetView>
  </sheetViews>
  <sheetFormatPr defaultColWidth="9.109375" defaultRowHeight="15.6" x14ac:dyDescent="0.25"/>
  <cols>
    <col min="1" max="1" width="3.6640625" style="1" customWidth="1"/>
    <col min="2" max="2" width="18.109375" style="33" customWidth="1"/>
    <col min="3" max="9" width="9.109375" style="33"/>
    <col min="10" max="10" width="10.6640625" style="33" customWidth="1"/>
    <col min="11" max="16" width="9.109375" style="33"/>
    <col min="17" max="17" width="9.33203125" style="33" bestFit="1" customWidth="1"/>
    <col min="18" max="23" width="9.109375" style="33"/>
    <col min="24" max="24" width="10.109375" style="33" customWidth="1"/>
    <col min="25" max="34" width="9.109375" style="33"/>
    <col min="35" max="35" width="10" style="33" customWidth="1"/>
    <col min="36" max="36" width="9.109375" style="33"/>
    <col min="37" max="37" width="11.5546875" style="33" customWidth="1"/>
    <col min="38" max="38" width="8.88671875" style="25"/>
    <col min="39" max="40" width="9.109375" style="33"/>
    <col min="41" max="41" width="10.6640625" style="33" customWidth="1"/>
    <col min="42" max="43" width="9.109375" style="33"/>
    <col min="44" max="44" width="13.109375" style="33" customWidth="1"/>
    <col min="45" max="46" width="8.88671875" style="30"/>
    <col min="47" max="47" width="8.88671875" style="29"/>
    <col min="48" max="48" width="10.88671875" style="30" customWidth="1"/>
    <col min="49" max="49" width="8.88671875" style="30"/>
    <col min="50" max="50" width="8.88671875" style="29"/>
    <col min="51" max="51" width="13.44140625" style="29" customWidth="1"/>
    <col min="52" max="52" width="10.88671875" style="31" customWidth="1"/>
    <col min="53" max="53" width="8.88671875" style="30"/>
    <col min="54" max="54" width="8.88671875" style="29"/>
    <col min="55" max="55" width="12.44140625" style="30" customWidth="1"/>
    <col min="56" max="56" width="8.88671875" style="30"/>
    <col min="57" max="57" width="8.88671875" style="29"/>
    <col min="58" max="58" width="15.6640625" style="33" customWidth="1"/>
    <col min="59" max="16384" width="9.109375" style="33"/>
  </cols>
  <sheetData>
    <row r="1" spans="1:60" s="21" customFormat="1" ht="141" customHeight="1" x14ac:dyDescent="0.25">
      <c r="A1" s="15" t="s">
        <v>81</v>
      </c>
      <c r="B1" s="16" t="s">
        <v>82</v>
      </c>
      <c r="C1" s="2" t="s">
        <v>83</v>
      </c>
      <c r="D1" s="2" t="s">
        <v>84</v>
      </c>
      <c r="E1" s="17" t="s">
        <v>0</v>
      </c>
      <c r="F1" s="2" t="s">
        <v>1</v>
      </c>
      <c r="G1" s="2" t="s">
        <v>3</v>
      </c>
      <c r="H1" s="2" t="s">
        <v>2</v>
      </c>
      <c r="I1" s="2" t="s">
        <v>96</v>
      </c>
      <c r="J1" s="20" t="s">
        <v>97</v>
      </c>
      <c r="K1" s="21" t="s">
        <v>98</v>
      </c>
      <c r="L1" s="17" t="s">
        <v>85</v>
      </c>
      <c r="M1" s="2" t="s">
        <v>86</v>
      </c>
      <c r="N1" s="2" t="s">
        <v>87</v>
      </c>
      <c r="O1" s="2" t="s">
        <v>88</v>
      </c>
      <c r="P1" s="18" t="s">
        <v>89</v>
      </c>
      <c r="Q1" s="18" t="s">
        <v>90</v>
      </c>
      <c r="R1" s="18" t="s">
        <v>89</v>
      </c>
      <c r="S1" s="18" t="s">
        <v>90</v>
      </c>
      <c r="T1" s="19" t="s">
        <v>91</v>
      </c>
      <c r="U1" s="17" t="s">
        <v>92</v>
      </c>
      <c r="V1" s="17" t="s">
        <v>93</v>
      </c>
      <c r="W1" s="17" t="s">
        <v>0</v>
      </c>
      <c r="X1" s="15" t="s">
        <v>94</v>
      </c>
      <c r="Y1" s="15" t="s">
        <v>95</v>
      </c>
      <c r="Z1" s="2" t="s">
        <v>1</v>
      </c>
      <c r="AA1" s="2" t="s">
        <v>3</v>
      </c>
      <c r="AB1" s="2" t="s">
        <v>2</v>
      </c>
      <c r="AC1" s="2" t="s">
        <v>96</v>
      </c>
      <c r="AD1" s="20" t="s">
        <v>97</v>
      </c>
      <c r="AE1" s="21" t="s">
        <v>98</v>
      </c>
      <c r="AF1" s="22" t="s">
        <v>99</v>
      </c>
      <c r="AG1" s="2" t="s">
        <v>100</v>
      </c>
      <c r="AH1" s="2" t="s">
        <v>101</v>
      </c>
      <c r="AI1" s="2" t="s">
        <v>102</v>
      </c>
      <c r="AJ1" s="2" t="s">
        <v>103</v>
      </c>
      <c r="AK1" s="23" t="s">
        <v>196</v>
      </c>
      <c r="AL1" s="2" t="s">
        <v>104</v>
      </c>
      <c r="AM1" s="2" t="s">
        <v>105</v>
      </c>
      <c r="AN1" s="24" t="s">
        <v>106</v>
      </c>
      <c r="AO1" s="2" t="s">
        <v>107</v>
      </c>
      <c r="AP1" s="2" t="s">
        <v>105</v>
      </c>
      <c r="AQ1" s="24" t="s">
        <v>106</v>
      </c>
      <c r="AR1" s="23" t="s">
        <v>203</v>
      </c>
      <c r="AS1" s="2" t="s">
        <v>195</v>
      </c>
      <c r="AT1" s="2" t="s">
        <v>105</v>
      </c>
      <c r="AU1" s="24" t="s">
        <v>106</v>
      </c>
      <c r="AV1" s="2" t="s">
        <v>205</v>
      </c>
      <c r="AW1" s="2" t="s">
        <v>105</v>
      </c>
      <c r="AX1" s="24" t="s">
        <v>106</v>
      </c>
      <c r="AY1" s="23" t="s">
        <v>228</v>
      </c>
      <c r="AZ1" s="19" t="s">
        <v>206</v>
      </c>
      <c r="BA1" s="2" t="s">
        <v>105</v>
      </c>
      <c r="BB1" s="24" t="s">
        <v>106</v>
      </c>
      <c r="BC1" s="2" t="s">
        <v>205</v>
      </c>
      <c r="BD1" s="2" t="s">
        <v>105</v>
      </c>
      <c r="BE1" s="24" t="s">
        <v>106</v>
      </c>
      <c r="BF1" s="21" t="s">
        <v>146</v>
      </c>
    </row>
    <row r="2" spans="1:60" x14ac:dyDescent="0.3">
      <c r="A2" s="1">
        <v>1</v>
      </c>
      <c r="B2" s="14" t="s">
        <v>141</v>
      </c>
      <c r="C2" s="5" t="s">
        <v>4</v>
      </c>
      <c r="D2" s="5" t="s">
        <v>248</v>
      </c>
      <c r="E2" s="8" t="s">
        <v>51</v>
      </c>
      <c r="F2" s="5" t="s">
        <v>52</v>
      </c>
      <c r="G2" s="5" t="s">
        <v>5</v>
      </c>
      <c r="H2" s="5" t="s">
        <v>9</v>
      </c>
      <c r="I2" s="5" t="s">
        <v>5</v>
      </c>
      <c r="J2" s="9" t="s">
        <v>41</v>
      </c>
      <c r="K2" s="5" t="s">
        <v>41</v>
      </c>
      <c r="L2" s="8" t="s">
        <v>142</v>
      </c>
      <c r="M2" s="8">
        <v>0</v>
      </c>
      <c r="N2" s="8">
        <v>0</v>
      </c>
      <c r="O2" s="5" t="s">
        <v>61</v>
      </c>
      <c r="P2" s="6">
        <v>-2.35</v>
      </c>
      <c r="Q2" s="6">
        <v>114.033</v>
      </c>
      <c r="R2" s="5" t="s">
        <v>199</v>
      </c>
      <c r="S2" s="5" t="s">
        <v>200</v>
      </c>
      <c r="T2" s="7" t="s">
        <v>5</v>
      </c>
      <c r="U2" s="8">
        <v>25.6</v>
      </c>
      <c r="V2" s="8">
        <v>1994</v>
      </c>
      <c r="W2" s="8" t="s">
        <v>51</v>
      </c>
      <c r="X2" s="4" t="s">
        <v>5</v>
      </c>
      <c r="Y2" s="4" t="s">
        <v>5</v>
      </c>
      <c r="Z2" s="5" t="s">
        <v>52</v>
      </c>
      <c r="AA2" s="5" t="s">
        <v>5</v>
      </c>
      <c r="AB2" s="5" t="s">
        <v>9</v>
      </c>
      <c r="AC2" s="5" t="s">
        <v>5</v>
      </c>
      <c r="AD2" s="9" t="s">
        <v>41</v>
      </c>
      <c r="AE2" s="5" t="s">
        <v>41</v>
      </c>
      <c r="AF2" s="10" t="s">
        <v>143</v>
      </c>
      <c r="AG2" s="5" t="s">
        <v>12</v>
      </c>
      <c r="AH2" s="5" t="s">
        <v>5</v>
      </c>
      <c r="AI2" s="5" t="s">
        <v>60</v>
      </c>
      <c r="AJ2" s="5" t="s">
        <v>13</v>
      </c>
      <c r="AK2" s="4" t="s">
        <v>21</v>
      </c>
      <c r="AL2" s="5">
        <f>4.4*44/28</f>
        <v>6.9142857142857155</v>
      </c>
      <c r="AM2" s="5">
        <f>1.2*44/28</f>
        <v>1.8857142857142857</v>
      </c>
      <c r="AN2" s="7">
        <v>4</v>
      </c>
      <c r="AO2" s="5">
        <f>23*44/28</f>
        <v>36.142857142857146</v>
      </c>
      <c r="AP2" s="5">
        <f>9.8*44/28</f>
        <v>15.400000000000002</v>
      </c>
      <c r="AQ2" s="7">
        <v>4</v>
      </c>
      <c r="AR2" s="4" t="s">
        <v>204</v>
      </c>
      <c r="AS2" s="25">
        <f>49*44/28*10^4*24*("2002-12-31"-"2002-11-1"+"2003-5-31"-"2003-1-1")/10^9</f>
        <v>3.8807999999999998</v>
      </c>
      <c r="AT2" s="25">
        <f>63/SQRT(13)*44/28*10^4*24*("2002-12-31"-"2002-11-1"+"2003-5-31"-"2003-1-1")/10^9</f>
        <v>1.3838660495427018</v>
      </c>
      <c r="AU2" s="1">
        <v>4</v>
      </c>
      <c r="AV2" s="25">
        <f>257*44/28*10^4*24*("2002-12-31"-"2002-11-1"+"2003-5-31"-"2003-1-1")/10^9</f>
        <v>20.354399999999995</v>
      </c>
      <c r="AW2" s="25">
        <f>335/SQRT(13)*44/28*10^4*24*("2002-12-31"-"2002-11-1"+"2003-5-31"-"2003-1-1")/10^9</f>
        <v>7.3586528031238894</v>
      </c>
      <c r="AX2" s="1">
        <v>4</v>
      </c>
      <c r="AY2" s="1"/>
      <c r="AZ2" s="25">
        <f>AS2/AL2</f>
        <v>0.56127272727272715</v>
      </c>
      <c r="BA2" s="25" t="s">
        <v>109</v>
      </c>
      <c r="BB2" s="26">
        <f>AN2</f>
        <v>4</v>
      </c>
      <c r="BC2" s="25">
        <f>AV2/AO2</f>
        <v>0.56316521739130421</v>
      </c>
      <c r="BD2" s="25" t="s">
        <v>109</v>
      </c>
      <c r="BE2" s="26">
        <f>AQ2</f>
        <v>4</v>
      </c>
      <c r="BF2" s="25" t="s">
        <v>166</v>
      </c>
      <c r="BG2" s="25"/>
      <c r="BH2" s="26"/>
    </row>
    <row r="3" spans="1:60" x14ac:dyDescent="0.3">
      <c r="A3" s="1">
        <v>2</v>
      </c>
      <c r="B3" s="14" t="s">
        <v>134</v>
      </c>
      <c r="C3" s="5" t="s">
        <v>4</v>
      </c>
      <c r="D3" s="5" t="s">
        <v>249</v>
      </c>
      <c r="E3" s="8" t="s">
        <v>51</v>
      </c>
      <c r="F3" s="5" t="s">
        <v>52</v>
      </c>
      <c r="G3" s="5" t="s">
        <v>5</v>
      </c>
      <c r="H3" s="5" t="s">
        <v>9</v>
      </c>
      <c r="I3" s="5" t="s">
        <v>5</v>
      </c>
      <c r="J3" s="9" t="s">
        <v>41</v>
      </c>
      <c r="K3" s="5" t="s">
        <v>41</v>
      </c>
      <c r="L3" s="8">
        <v>4.8</v>
      </c>
      <c r="M3" s="8">
        <v>0</v>
      </c>
      <c r="N3" s="8">
        <v>0</v>
      </c>
      <c r="O3" s="5" t="s">
        <v>135</v>
      </c>
      <c r="P3" s="6">
        <v>2.8170000000000002</v>
      </c>
      <c r="Q3" s="6">
        <v>111.85</v>
      </c>
      <c r="R3" s="5" t="s">
        <v>201</v>
      </c>
      <c r="S3" s="5" t="s">
        <v>202</v>
      </c>
      <c r="T3" s="7" t="s">
        <v>5</v>
      </c>
      <c r="U3" s="8">
        <v>27.4</v>
      </c>
      <c r="V3" s="8" t="s">
        <v>5</v>
      </c>
      <c r="W3" s="8" t="s">
        <v>51</v>
      </c>
      <c r="X3" s="4" t="s">
        <v>5</v>
      </c>
      <c r="Y3" s="4" t="s">
        <v>5</v>
      </c>
      <c r="Z3" s="5" t="s">
        <v>52</v>
      </c>
      <c r="AA3" s="5" t="s">
        <v>5</v>
      </c>
      <c r="AB3" s="5" t="s">
        <v>9</v>
      </c>
      <c r="AC3" s="5" t="s">
        <v>5</v>
      </c>
      <c r="AD3" s="9" t="s">
        <v>41</v>
      </c>
      <c r="AE3" s="5" t="s">
        <v>41</v>
      </c>
      <c r="AF3" s="10" t="s">
        <v>144</v>
      </c>
      <c r="AG3" s="5" t="s">
        <v>12</v>
      </c>
      <c r="AH3" s="5" t="s">
        <v>5</v>
      </c>
      <c r="AI3" s="5" t="s">
        <v>60</v>
      </c>
      <c r="AJ3" s="5" t="s">
        <v>13</v>
      </c>
      <c r="AK3" s="4" t="s">
        <v>21</v>
      </c>
      <c r="AL3" s="25">
        <f>0.7*44/28</f>
        <v>1.0999999999999999</v>
      </c>
      <c r="AM3" s="5" t="s">
        <v>109</v>
      </c>
      <c r="AN3" s="5" t="s">
        <v>109</v>
      </c>
      <c r="AO3" s="5" t="s">
        <v>109</v>
      </c>
      <c r="AP3" s="5" t="s">
        <v>109</v>
      </c>
      <c r="AQ3" s="5" t="s">
        <v>109</v>
      </c>
      <c r="AR3" s="4" t="s">
        <v>204</v>
      </c>
      <c r="AS3" s="5">
        <f>8.4*44/28*10^4*24*(((("2002-12-31"-"2002-12-1")+("2003-2-28"-"2003-1-1")))/10^9)</f>
        <v>0.27878399999999998</v>
      </c>
      <c r="AT3" s="30" t="s">
        <v>109</v>
      </c>
      <c r="AU3" s="30" t="s">
        <v>109</v>
      </c>
      <c r="AV3" s="30" t="s">
        <v>109</v>
      </c>
      <c r="AW3" s="30" t="s">
        <v>109</v>
      </c>
      <c r="AX3" s="30" t="s">
        <v>109</v>
      </c>
      <c r="AY3" s="30"/>
      <c r="AZ3" s="25">
        <f>AS3/AL3</f>
        <v>0.25344</v>
      </c>
      <c r="BA3" s="26" t="e">
        <f>SQRT((1/AL3)^2*AT3^2+((-AS3/AL3^2)^2*AM3^2))*100</f>
        <v>#VALUE!</v>
      </c>
      <c r="BB3" s="26" t="str">
        <f t="shared" ref="BB3" si="0">AU3</f>
        <v>/</v>
      </c>
      <c r="BC3" s="25" t="e">
        <f>AV3/AO3</f>
        <v>#VALUE!</v>
      </c>
      <c r="BD3" s="26" t="e">
        <f t="shared" ref="BD3" si="1">SQRT((1/AO3)^2*AW3^2+((-AV3/AO3^2)^2*AP3^2))*100</f>
        <v>#VALUE!</v>
      </c>
      <c r="BE3" s="1" t="str">
        <f t="shared" ref="BE3" si="2">AX3</f>
        <v>/</v>
      </c>
      <c r="BF3" s="25" t="s">
        <v>165</v>
      </c>
      <c r="BG3" s="25"/>
      <c r="BH3" s="26"/>
    </row>
    <row r="4" spans="1:60" x14ac:dyDescent="0.25">
      <c r="AZ4" s="30">
        <f>STDEVA(AZ2:AZ3)/SQRT(COUNT(AZ2:AZ3))*1.96</f>
        <v>0.30167607272727254</v>
      </c>
    </row>
  </sheetData>
  <autoFilter ref="C1:N3" xr:uid="{F3E393F2-BE62-403D-9ACD-0B9EC87C5D82}"/>
  <phoneticPr fontId="1" type="noConversion"/>
  <pageMargins left="0.7" right="0.7" top="0.75" bottom="0.75" header="0.3" footer="0.3"/>
  <pageSetup paperSize="9" orientation="portrait" horizontalDpi="1200" verticalDpi="120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F1633-E906-41AC-842E-FDE873716707}">
  <dimension ref="A1:M53"/>
  <sheetViews>
    <sheetView tabSelected="1" workbookViewId="0">
      <pane xSplit="1" ySplit="1" topLeftCell="B2" activePane="bottomRight" state="frozen"/>
      <selection pane="topRight" activeCell="B1" sqref="B1"/>
      <selection pane="bottomLeft" activeCell="A2" sqref="A2"/>
      <selection pane="bottomRight" activeCell="E13" sqref="E13"/>
    </sheetView>
  </sheetViews>
  <sheetFormatPr defaultColWidth="9.109375" defaultRowHeight="15.6" x14ac:dyDescent="0.25"/>
  <cols>
    <col min="1" max="1" width="9.44140625" style="1" bestFit="1" customWidth="1"/>
    <col min="2" max="2" width="11.109375" style="1" bestFit="1" customWidth="1"/>
    <col min="3" max="3" width="11" style="1" bestFit="1" customWidth="1"/>
    <col min="4" max="4" width="14.6640625" style="1" bestFit="1" customWidth="1"/>
    <col min="5" max="5" width="14" style="1" bestFit="1" customWidth="1"/>
    <col min="6" max="6" width="16.88671875" style="1" bestFit="1" customWidth="1"/>
    <col min="7" max="7" width="31.5546875" style="1" bestFit="1" customWidth="1"/>
    <col min="8" max="8" width="14.88671875" style="1" bestFit="1" customWidth="1"/>
    <col min="9" max="9" width="14.21875" style="34" customWidth="1"/>
    <col min="10" max="10" width="7.6640625" style="34" customWidth="1"/>
    <col min="11" max="11" width="8.6640625" style="41" customWidth="1"/>
    <col min="12" max="13" width="11.109375" style="25" customWidth="1"/>
    <col min="14" max="16384" width="9.109375" style="1"/>
  </cols>
  <sheetData>
    <row r="1" spans="1:13" x14ac:dyDescent="0.25">
      <c r="B1" s="1" t="s">
        <v>167</v>
      </c>
      <c r="C1" s="1" t="s">
        <v>168</v>
      </c>
      <c r="D1" s="1" t="s">
        <v>169</v>
      </c>
      <c r="E1" s="1" t="s">
        <v>170</v>
      </c>
      <c r="F1" s="42" t="s">
        <v>190</v>
      </c>
      <c r="G1" s="1" t="s">
        <v>171</v>
      </c>
      <c r="H1" s="1" t="s">
        <v>172</v>
      </c>
      <c r="I1" s="34" t="s">
        <v>229</v>
      </c>
      <c r="J1" s="34" t="s">
        <v>189</v>
      </c>
      <c r="K1" s="41" t="s">
        <v>230</v>
      </c>
      <c r="L1" s="25" t="s">
        <v>246</v>
      </c>
      <c r="M1" s="25" t="s">
        <v>247</v>
      </c>
    </row>
    <row r="2" spans="1:13" x14ac:dyDescent="0.3">
      <c r="A2" s="1" t="s">
        <v>185</v>
      </c>
      <c r="B2" s="1" t="s">
        <v>185</v>
      </c>
      <c r="C2" s="8" t="s">
        <v>210</v>
      </c>
      <c r="D2" s="5" t="s">
        <v>187</v>
      </c>
      <c r="E2" s="5" t="s">
        <v>109</v>
      </c>
      <c r="F2" s="5" t="s">
        <v>207</v>
      </c>
      <c r="G2" s="5" t="s">
        <v>208</v>
      </c>
      <c r="H2" s="5" t="s">
        <v>209</v>
      </c>
      <c r="I2" s="34">
        <f>AVERAGEA('Nongrowing season flux of other'!BE39,'Nongrowing season flux of other'!BE40)</f>
        <v>0.47045610975667579</v>
      </c>
      <c r="J2" s="34">
        <f>STDEVA('Nongrowing season flux of other'!BE39,'Nongrowing season flux of other'!BE40)/SQRT(COUNT('Nongrowing season flux of other'!BE39,'Nongrowing season flux of other'!BE40))*1.96</f>
        <v>0.77103876681188299</v>
      </c>
      <c r="K2" s="41">
        <f>COUNT('Nongrowing season flux of other'!BE39,'Nongrowing season flux of other'!BE40)</f>
        <v>2</v>
      </c>
      <c r="L2" s="25">
        <f>I2-J2</f>
        <v>-0.3005826570552072</v>
      </c>
      <c r="M2" s="25">
        <f>I2+J2</f>
        <v>1.2414948765685587</v>
      </c>
    </row>
    <row r="3" spans="1:13" x14ac:dyDescent="0.3">
      <c r="A3" s="5" t="s">
        <v>231</v>
      </c>
      <c r="B3" s="14" t="s">
        <v>250</v>
      </c>
      <c r="C3" s="8" t="s">
        <v>210</v>
      </c>
      <c r="D3" s="5" t="s">
        <v>187</v>
      </c>
      <c r="E3" s="5" t="s">
        <v>109</v>
      </c>
      <c r="F3" s="5" t="s">
        <v>207</v>
      </c>
      <c r="G3" s="5" t="s">
        <v>208</v>
      </c>
      <c r="H3" s="5" t="s">
        <v>209</v>
      </c>
      <c r="I3" s="34">
        <f>AVERAGEA('Nongrowing season flux of other'!BH36)</f>
        <v>0.98624700956937794</v>
      </c>
      <c r="K3" s="41">
        <v>1</v>
      </c>
      <c r="L3" s="25">
        <f t="shared" ref="L3:L45" si="0">I3-J3</f>
        <v>0.98624700956937794</v>
      </c>
      <c r="M3" s="25">
        <f t="shared" ref="M3:M45" si="1">I3+J3</f>
        <v>0.98624700956937794</v>
      </c>
    </row>
    <row r="4" spans="1:13" x14ac:dyDescent="0.3">
      <c r="A4" s="1" t="s">
        <v>185</v>
      </c>
      <c r="B4" s="1" t="s">
        <v>185</v>
      </c>
      <c r="C4" s="8" t="s">
        <v>210</v>
      </c>
      <c r="D4" s="5" t="s">
        <v>130</v>
      </c>
      <c r="E4" s="5" t="s">
        <v>211</v>
      </c>
      <c r="F4" s="5" t="s">
        <v>207</v>
      </c>
      <c r="G4" s="5" t="s">
        <v>208</v>
      </c>
      <c r="H4" s="5" t="s">
        <v>109</v>
      </c>
      <c r="I4" s="34">
        <f>AVERAGEA('Nongrowing season flux of other'!BE2,'Nongrowing season flux of other'!BE29,'Nongrowing season flux of other'!BE32,'Nongrowing season flux of other'!BE37,'Nongrowing season flux of other'!BE39,'Nongrowing season flux of other'!BE40,'Nongrowing season flux of other'!BE45,'Nongrowing season flux of other'!BE46,'Nongrowing season flux of other'!BE50,'Nongrowing season flux of other'!BE51,'Nongrowing season flux of other'!BE52,'Nongrowing season flux of other'!BE58,'Nongrowing season flux of other'!BE59)</f>
        <v>0.76949157434858506</v>
      </c>
      <c r="J4" s="34">
        <f>STDEVA('Nongrowing season flux of other'!BE2,'Nongrowing season flux of other'!BE29,'Nongrowing season flux of other'!BE32,'Nongrowing season flux of other'!BE37,'Nongrowing season flux of other'!BE39,'Nongrowing season flux of other'!BE40,'Nongrowing season flux of other'!BE45,'Nongrowing season flux of other'!BE46,'Nongrowing season flux of other'!BE50,'Nongrowing season flux of other'!BE51,'Nongrowing season flux of other'!BE52,'Nongrowing season flux of other'!BE58,'Nongrowing season flux of other'!BE59)/SQRT(COUNT('Nongrowing season flux of other'!BE2,'Nongrowing season flux of other'!BE29,'Nongrowing season flux of other'!BE32,'Nongrowing season flux of other'!BE37,'Nongrowing season flux of other'!BE39,'Nongrowing season flux of other'!BE40,'Nongrowing season flux of other'!BE45,'Nongrowing season flux of other'!BE46,'Nongrowing season flux of other'!BE50,'Nongrowing season flux of other'!BE51,'Nongrowing season flux of other'!BE52,'Nongrowing season flux of other'!BE58,'Nongrowing season flux of other'!BE59))*1.96</f>
        <v>2.2391158903792889</v>
      </c>
      <c r="K4" s="41">
        <f>COUNT('Nongrowing season flux of other'!BE2,'Nongrowing season flux of other'!BE29,'Nongrowing season flux of other'!BE32,'Nongrowing season flux of other'!BE37,'Nongrowing season flux of other'!BE39,'Nongrowing season flux of other'!BE40,'Nongrowing season flux of other'!BE45,'Nongrowing season flux of other'!BE46,'Nongrowing season flux of other'!BE50,'Nongrowing season flux of other'!BE51,'Nongrowing season flux of other'!BE52,'Nongrowing season flux of other'!BE58,'Nongrowing season flux of other'!BE59)</f>
        <v>13</v>
      </c>
      <c r="L4" s="25">
        <f t="shared" si="0"/>
        <v>-1.4696243160307039</v>
      </c>
      <c r="M4" s="25">
        <f t="shared" si="1"/>
        <v>3.008607464727874</v>
      </c>
    </row>
    <row r="5" spans="1:13" x14ac:dyDescent="0.3">
      <c r="A5" s="5" t="s">
        <v>231</v>
      </c>
      <c r="B5" s="14" t="s">
        <v>250</v>
      </c>
      <c r="C5" s="8" t="s">
        <v>210</v>
      </c>
      <c r="D5" s="5" t="s">
        <v>130</v>
      </c>
      <c r="E5" s="5" t="s">
        <v>211</v>
      </c>
      <c r="F5" s="5" t="s">
        <v>207</v>
      </c>
      <c r="G5" s="5" t="s">
        <v>208</v>
      </c>
      <c r="H5" s="5" t="s">
        <v>109</v>
      </c>
      <c r="I5" s="34">
        <f>AVERAGEA('Nongrowing season flux of other'!BH2,'Nongrowing season flux of other'!BH6,'Nongrowing season flux of other'!BH7,'Nongrowing season flux of other'!BH12,'Nongrowing season flux of other'!BH13,'Nongrowing season flux of other'!BH19,'Nongrowing season flux of other'!BH22,'Nongrowing season flux of other'!BH23,'Nongrowing season flux of other'!BH24,'Nongrowing season flux of other'!BH25,'Nongrowing season flux of other'!BH26,'Nongrowing season flux of other'!BH27,'Nongrowing season flux of other'!BH28,'Nongrowing season flux of other'!BH29,'Nongrowing season flux of other'!BH30,'Nongrowing season flux of other'!BH31,'Nongrowing season flux of other'!BH32,'Nongrowing season flux of other'!BH33,'Nongrowing season flux of other'!BH34,'Nongrowing season flux of other'!BH36,'Nongrowing season flux of other'!BH37,'Nongrowing season flux of other'!BH38,'Nongrowing season flux of other'!BH39,'Nongrowing season flux of other'!BH40,'Nongrowing season flux of other'!BH41,'Nongrowing season flux of other'!BH42,'Nongrowing season flux of other'!BH53,'Nongrowing season flux of other'!BH54,'Nongrowing season flux of other'!BH55,'Nongrowing season flux of other'!BH60,'Nongrowing season flux of other'!BH61)</f>
        <v>0.58405948455152279</v>
      </c>
      <c r="J5" s="34">
        <f>STDEVA('Nongrowing season flux of other'!BH2,'Nongrowing season flux of other'!BH6,'Nongrowing season flux of other'!BH7,'Nongrowing season flux of other'!BH12,'Nongrowing season flux of other'!BH13,'Nongrowing season flux of other'!BH19,'Nongrowing season flux of other'!BH22,'Nongrowing season flux of other'!BH23,'Nongrowing season flux of other'!BH24,'Nongrowing season flux of other'!BH25,'Nongrowing season flux of other'!BH26,'Nongrowing season flux of other'!BH27,'Nongrowing season flux of other'!BH28,'Nongrowing season flux of other'!BH29,'Nongrowing season flux of other'!BH30,'Nongrowing season flux of other'!BH31,'Nongrowing season flux of other'!BH32,'Nongrowing season flux of other'!BH33,'Nongrowing season flux of other'!BH34,'Nongrowing season flux of other'!BH36,'Nongrowing season flux of other'!BH37,'Nongrowing season flux of other'!BH38,'Nongrowing season flux of other'!BH39,'Nongrowing season flux of other'!BH40,'Nongrowing season flux of other'!BH41,'Nongrowing season flux of other'!BH42,'Nongrowing season flux of other'!BH53,'Nongrowing season flux of other'!BH54,'Nongrowing season flux of other'!BH55,'Nongrowing season flux of other'!BH60,'Nongrowing season flux of other'!BH61)/SQRT(COUNT('Nongrowing season flux of other'!BH2,'Nongrowing season flux of other'!BH6,'Nongrowing season flux of other'!BH7,'Nongrowing season flux of other'!BH12,'Nongrowing season flux of other'!BH13,'Nongrowing season flux of other'!BH19,'Nongrowing season flux of other'!BH22,'Nongrowing season flux of other'!BH23,'Nongrowing season flux of other'!BH24,'Nongrowing season flux of other'!BH25,'Nongrowing season flux of other'!BH26,'Nongrowing season flux of other'!BH27,'Nongrowing season flux of other'!BH28,'Nongrowing season flux of other'!BH29,'Nongrowing season flux of other'!BH30,'Nongrowing season flux of other'!BH31,'Nongrowing season flux of other'!BH32,'Nongrowing season flux of other'!BH33,'Nongrowing season flux of other'!BH34,'Nongrowing season flux of other'!BH36,'Nongrowing season flux of other'!BH37,'Nongrowing season flux of other'!BH38,'Nongrowing season flux of other'!BH39,'Nongrowing season flux of other'!BH40,'Nongrowing season flux of other'!BH41,'Nongrowing season flux of other'!BH42,'Nongrowing season flux of other'!BH53,'Nongrowing season flux of other'!BH54,'Nongrowing season flux of other'!BH55,'Nongrowing season flux of other'!BH60,'Nongrowing season flux of other'!BH61))*1.96</f>
        <v>0.15505785474136771</v>
      </c>
      <c r="K5" s="41">
        <f>COUNT('Nongrowing season flux of other'!BH2,'Nongrowing season flux of other'!BH6,'Nongrowing season flux of other'!BH7,'Nongrowing season flux of other'!BH12,'Nongrowing season flux of other'!BH13,'Nongrowing season flux of other'!BH19,'Nongrowing season flux of other'!BH22,'Nongrowing season flux of other'!BH23,'Nongrowing season flux of other'!BH24,'Nongrowing season flux of other'!BH25,'Nongrowing season flux of other'!BH26,'Nongrowing season flux of other'!BH27,'Nongrowing season flux of other'!BH28,'Nongrowing season flux of other'!BH29,'Nongrowing season flux of other'!BH30,'Nongrowing season flux of other'!BH31,'Nongrowing season flux of other'!BH32,'Nongrowing season flux of other'!BH33,'Nongrowing season flux of other'!BH34,'Nongrowing season flux of other'!BH36,'Nongrowing season flux of other'!BH37,'Nongrowing season flux of other'!BH38,'Nongrowing season flux of other'!BH39,'Nongrowing season flux of other'!BH40,'Nongrowing season flux of other'!BH41,'Nongrowing season flux of other'!BH42,'Nongrowing season flux of other'!BH53,'Nongrowing season flux of other'!BH54,'Nongrowing season flux of other'!BH55,'Nongrowing season flux of other'!BH60,'Nongrowing season flux of other'!BH61)</f>
        <v>31</v>
      </c>
      <c r="L5" s="25">
        <f t="shared" si="0"/>
        <v>0.42900162981015511</v>
      </c>
      <c r="M5" s="25">
        <f t="shared" si="1"/>
        <v>0.73911733929289047</v>
      </c>
    </row>
    <row r="6" spans="1:13" x14ac:dyDescent="0.3">
      <c r="A6" s="1" t="s">
        <v>185</v>
      </c>
      <c r="B6" s="1" t="s">
        <v>185</v>
      </c>
      <c r="C6" s="8" t="s">
        <v>210</v>
      </c>
      <c r="D6" s="5" t="s">
        <v>130</v>
      </c>
      <c r="E6" s="5" t="s">
        <v>211</v>
      </c>
      <c r="F6" s="5" t="s">
        <v>207</v>
      </c>
      <c r="G6" s="5" t="s">
        <v>232</v>
      </c>
      <c r="H6" s="5" t="s">
        <v>109</v>
      </c>
      <c r="I6" s="34">
        <f>AVERAGEA('Nongrowing season flux of other'!BE43,'Nongrowing season flux of other'!BE44,'Nongrowing season flux of other'!BE47,'Nongrowing season flux of other'!BE48,'Nongrowing season flux of other'!BE49)</f>
        <v>1.9374026069301362</v>
      </c>
      <c r="J6" s="34">
        <f>STDEVA('Nongrowing season flux of other'!BE43,'Nongrowing season flux of other'!BE44,'Nongrowing season flux of other'!BE47,'Nongrowing season flux of other'!BE48,'Nongrowing season flux of other'!BE49)/SQRT(COUNT('Nongrowing season flux of other'!BE43,'Nongrowing season flux of other'!BE44,'Nongrowing season flux of other'!BE47,'Nongrowing season flux of other'!BE48,'Nongrowing season flux of other'!BE49))*1.96</f>
        <v>1.5573159616671877</v>
      </c>
      <c r="K6" s="41">
        <f>COUNT('Nongrowing season flux of other'!BE43,'Nongrowing season flux of other'!BE44,'Nongrowing season flux of other'!BE47,'Nongrowing season flux of other'!BE48,'Nongrowing season flux of other'!BE49)</f>
        <v>5</v>
      </c>
      <c r="L6" s="25">
        <f t="shared" si="0"/>
        <v>0.38008664526294855</v>
      </c>
      <c r="M6" s="25">
        <f t="shared" si="1"/>
        <v>3.4947185685973237</v>
      </c>
    </row>
    <row r="7" spans="1:13" x14ac:dyDescent="0.3">
      <c r="A7" s="5" t="s">
        <v>231</v>
      </c>
      <c r="B7" s="14" t="s">
        <v>250</v>
      </c>
      <c r="C7" s="8" t="s">
        <v>210</v>
      </c>
      <c r="D7" s="5" t="s">
        <v>130</v>
      </c>
      <c r="E7" s="5" t="s">
        <v>211</v>
      </c>
      <c r="F7" s="5" t="s">
        <v>207</v>
      </c>
      <c r="G7" s="5" t="s">
        <v>232</v>
      </c>
      <c r="H7" s="5" t="s">
        <v>109</v>
      </c>
      <c r="I7" s="34">
        <f>'Nongrowing season flux of other'!BH36</f>
        <v>0.98624700956937794</v>
      </c>
      <c r="K7" s="41">
        <v>1</v>
      </c>
      <c r="L7" s="25">
        <f t="shared" si="0"/>
        <v>0.98624700956937794</v>
      </c>
      <c r="M7" s="25">
        <f t="shared" si="1"/>
        <v>0.98624700956937794</v>
      </c>
    </row>
    <row r="8" spans="1:13" x14ac:dyDescent="0.3">
      <c r="A8" s="1" t="s">
        <v>185</v>
      </c>
      <c r="B8" s="1" t="s">
        <v>185</v>
      </c>
      <c r="C8" s="8" t="s">
        <v>210</v>
      </c>
      <c r="D8" s="5" t="s">
        <v>109</v>
      </c>
      <c r="E8" s="5" t="s">
        <v>109</v>
      </c>
      <c r="F8" s="5" t="s">
        <v>207</v>
      </c>
      <c r="G8" s="5" t="s">
        <v>109</v>
      </c>
      <c r="H8" s="5" t="s">
        <v>233</v>
      </c>
      <c r="I8" s="34">
        <f>AVERAGEA('Nongrowing season flux of other'!BE2,'Nongrowing season flux of other'!BE14,'Nongrowing season flux of other'!BE15,'Nongrowing season flux of other'!BE29,'Nongrowing season flux of other'!BE32,'Nongrowing season flux of other'!BE36,'Nongrowing season flux of other'!BE38,'Nongrowing season flux of other'!BE39,'Nongrowing season flux of other'!BE40,'Nongrowing season flux of other'!BE43,'Nongrowing season flux of other'!BE44,'Nongrowing season flux of other'!BE45,'Nongrowing season flux of other'!BE46,'Nongrowing season flux of other'!BE47,'Nongrowing season flux of other'!BE48,'Nongrowing season flux of other'!BE49,'Nongrowing season flux of other'!BE50,'Nongrowing season flux of other'!BE51,'Nongrowing season flux of other'!BE52,'Nongrowing season flux of other'!BE56,'Nongrowing season flux of other'!BE58,'Nongrowing season flux of other'!BE59)</f>
        <v>1.2568296310178508</v>
      </c>
      <c r="J8" s="34">
        <f>STDEVA('Nongrowing season flux of other'!BE2,'Nongrowing season flux of other'!BE14,'Nongrowing season flux of other'!BE15,'Nongrowing season flux of other'!BE29,'Nongrowing season flux of other'!BE32,'Nongrowing season flux of other'!BE36,'Nongrowing season flux of other'!BE38,'Nongrowing season flux of other'!BE39,'Nongrowing season flux of other'!BE40,'Nongrowing season flux of other'!BE43,'Nongrowing season flux of other'!BE44,'Nongrowing season flux of other'!BE45,'Nongrowing season flux of other'!BE46,'Nongrowing season flux of other'!BE47,'Nongrowing season flux of other'!BE48,'Nongrowing season flux of other'!BE49,'Nongrowing season flux of other'!BE50,'Nongrowing season flux of other'!BE51,'Nongrowing season flux of other'!BE52,'Nongrowing season flux of other'!BE56,'Nongrowing season flux of other'!BE58,'Nongrowing season flux of other'!BE59)/SQRT(COUNT('Nongrowing season flux of other'!BE2,'Nongrowing season flux of other'!BE14,'Nongrowing season flux of other'!BE15,'Nongrowing season flux of other'!BE29,'Nongrowing season flux of other'!BE32,'Nongrowing season flux of other'!BE36,'Nongrowing season flux of other'!BE38,'Nongrowing season flux of other'!BE39,'Nongrowing season flux of other'!BE40,'Nongrowing season flux of other'!BE43,'Nongrowing season flux of other'!BE44,'Nongrowing season flux of other'!BE45,'Nongrowing season flux of other'!BE46,'Nongrowing season flux of other'!BE47,'Nongrowing season flux of other'!BE48,'Nongrowing season flux of other'!BE49,'Nongrowing season flux of other'!BE50,'Nongrowing season flux of other'!BE51,'Nongrowing season flux of other'!BE52,'Nongrowing season flux of other'!BE56,'Nongrowing season flux of other'!BE58,'Nongrowing season flux of other'!BE59))*1.96</f>
        <v>1.3779607219798047</v>
      </c>
      <c r="K8" s="41">
        <f>COUNT('Nongrowing season flux of other'!BE2,'Nongrowing season flux of other'!BE14,'Nongrowing season flux of other'!BE15,'Nongrowing season flux of other'!BE29,'Nongrowing season flux of other'!BE32,'Nongrowing season flux of other'!BE36,'Nongrowing season flux of other'!BE38,'Nongrowing season flux of other'!BE39,'Nongrowing season flux of other'!BE40,'Nongrowing season flux of other'!BE43,'Nongrowing season flux of other'!BE44,'Nongrowing season flux of other'!BE45,'Nongrowing season flux of other'!BE46,'Nongrowing season flux of other'!BE47,'Nongrowing season flux of other'!BE48,'Nongrowing season flux of other'!BE49,'Nongrowing season flux of other'!BE50,'Nongrowing season flux of other'!BE51,'Nongrowing season flux of other'!BE52,'Nongrowing season flux of other'!BE56,'Nongrowing season flux of other'!BE58,'Nongrowing season flux of other'!BE59)</f>
        <v>22</v>
      </c>
      <c r="L8" s="25">
        <f t="shared" si="0"/>
        <v>-0.12113109096195385</v>
      </c>
      <c r="M8" s="25">
        <f t="shared" si="1"/>
        <v>2.6347903529976557</v>
      </c>
    </row>
    <row r="9" spans="1:13" x14ac:dyDescent="0.3">
      <c r="A9" s="5" t="s">
        <v>231</v>
      </c>
      <c r="B9" s="14" t="s">
        <v>250</v>
      </c>
      <c r="C9" s="8" t="s">
        <v>210</v>
      </c>
      <c r="D9" s="5" t="s">
        <v>109</v>
      </c>
      <c r="E9" s="5" t="s">
        <v>109</v>
      </c>
      <c r="F9" s="5" t="s">
        <v>207</v>
      </c>
      <c r="G9" s="5" t="s">
        <v>109</v>
      </c>
      <c r="H9" s="5" t="s">
        <v>233</v>
      </c>
      <c r="I9" s="34">
        <f>'Nongrowing season flux of other'!BH36</f>
        <v>0.98624700956937794</v>
      </c>
      <c r="K9" s="41">
        <v>1</v>
      </c>
      <c r="L9" s="25">
        <f t="shared" si="0"/>
        <v>0.98624700956937794</v>
      </c>
      <c r="M9" s="25">
        <f t="shared" si="1"/>
        <v>0.98624700956937794</v>
      </c>
    </row>
    <row r="10" spans="1:13" x14ac:dyDescent="0.25">
      <c r="A10" s="1" t="s">
        <v>185</v>
      </c>
      <c r="B10" s="1" t="s">
        <v>185</v>
      </c>
      <c r="C10" s="1" t="s">
        <v>174</v>
      </c>
      <c r="D10" s="1" t="s">
        <v>182</v>
      </c>
      <c r="E10" s="1" t="s">
        <v>234</v>
      </c>
      <c r="F10" s="1" t="s">
        <v>191</v>
      </c>
      <c r="G10" s="1" t="s">
        <v>235</v>
      </c>
      <c r="H10" s="1" t="s">
        <v>177</v>
      </c>
      <c r="I10" s="34">
        <f>AVERAGEA('Nongrowing season flux of other'!BE29,'Nongrowing season flux of other'!BE32,'Nongrowing season flux of other'!BE37,'Nongrowing season flux of other'!BE45,'Nongrowing season flux of other'!BE46,'Nongrowing season flux of other'!BE50,'Nongrowing season flux of other'!BE51,'Nongrowing season flux of other'!BE52,'Nongrowing season flux of other'!BE58,'Nongrowing season flux of other'!BE59)</f>
        <v>1.4267802316649554</v>
      </c>
      <c r="J10" s="34">
        <f>STDEVA('Nongrowing season flux of other'!BE29,'Nongrowing season flux of other'!BE32,'Nongrowing season flux of other'!BE37,'Nongrowing season flux of other'!BE45,'Nongrowing season flux of other'!BE46,'Nongrowing season flux of other'!BE50,'Nongrowing season flux of other'!BE51,'Nongrowing season flux of other'!BE52,'Nongrowing season flux of other'!BE58,'Nongrowing season flux of other'!BE59)/SQRT(COUNT('Nongrowing season flux of other'!BE29,'Nongrowing season flux of other'!BE32,'Nongrowing season flux of other'!BE37,'Nongrowing season flux of other'!BE45,'Nongrowing season flux of other'!BE46,'Nongrowing season flux of other'!BE50,'Nongrowing season flux of other'!BE51,'Nongrowing season flux of other'!BE52,'Nongrowing season flux of other'!BE58,'Nongrowing season flux of other'!BE59))*1.96</f>
        <v>2.6384252985514363</v>
      </c>
      <c r="K10" s="41">
        <f>COUNT('Nongrowing season flux of other'!BE29,'Nongrowing season flux of other'!BE32,'Nongrowing season flux of other'!BE37,'Nongrowing season flux of other'!BE45,'Nongrowing season flux of other'!BE46,'Nongrowing season flux of other'!BE50,'Nongrowing season flux of other'!BE51,'Nongrowing season flux of other'!BE52,'Nongrowing season flux of other'!BE58,'Nongrowing season flux of other'!BE59)</f>
        <v>10</v>
      </c>
      <c r="L10" s="25">
        <f t="shared" si="0"/>
        <v>-1.2116450668864809</v>
      </c>
      <c r="M10" s="25">
        <f t="shared" si="1"/>
        <v>4.0652055302163914</v>
      </c>
    </row>
    <row r="11" spans="1:13" x14ac:dyDescent="0.25">
      <c r="A11" s="1" t="s">
        <v>173</v>
      </c>
      <c r="B11" s="1" t="s">
        <v>186</v>
      </c>
      <c r="C11" s="1" t="s">
        <v>174</v>
      </c>
      <c r="D11" s="1" t="s">
        <v>182</v>
      </c>
      <c r="E11" s="1" t="s">
        <v>234</v>
      </c>
      <c r="F11" s="1" t="s">
        <v>191</v>
      </c>
      <c r="G11" s="1" t="s">
        <v>235</v>
      </c>
      <c r="H11" s="1" t="s">
        <v>177</v>
      </c>
      <c r="I11" s="34">
        <f>AVERAGEA('Nongrowing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f>
        <v>0.64720910782830632</v>
      </c>
      <c r="J11" s="34">
        <f>STDEVA('Nongrowing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other'!BH28)/SQRT(COUNT('Nongrowing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other'!BH28))*1.96</f>
        <v>7.8331833657656572E-2</v>
      </c>
      <c r="K11" s="41">
        <f>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f>
        <v>12</v>
      </c>
      <c r="L11" s="25">
        <f t="shared" si="0"/>
        <v>0.5688772741706497</v>
      </c>
      <c r="M11" s="25">
        <f t="shared" si="1"/>
        <v>0.72554094148596293</v>
      </c>
    </row>
    <row r="12" spans="1:13" x14ac:dyDescent="0.25">
      <c r="A12" s="1" t="s">
        <v>185</v>
      </c>
      <c r="B12" s="1" t="s">
        <v>185</v>
      </c>
      <c r="C12" s="1" t="s">
        <v>174</v>
      </c>
      <c r="D12" s="1" t="s">
        <v>182</v>
      </c>
      <c r="E12" s="1" t="s">
        <v>234</v>
      </c>
      <c r="F12" s="1" t="s">
        <v>192</v>
      </c>
      <c r="G12" s="1" t="s">
        <v>235</v>
      </c>
      <c r="H12" s="1" t="s">
        <v>177</v>
      </c>
      <c r="I12" s="34">
        <f>I10</f>
        <v>1.4267802316649554</v>
      </c>
      <c r="J12" s="34">
        <f t="shared" ref="J12:K12" si="2">J10</f>
        <v>2.6384252985514363</v>
      </c>
      <c r="K12" s="41">
        <f t="shared" si="2"/>
        <v>10</v>
      </c>
      <c r="L12" s="25">
        <f t="shared" si="0"/>
        <v>-1.2116450668864809</v>
      </c>
      <c r="M12" s="25">
        <f t="shared" si="1"/>
        <v>4.0652055302163914</v>
      </c>
    </row>
    <row r="13" spans="1:13" x14ac:dyDescent="0.25">
      <c r="A13" s="1" t="s">
        <v>173</v>
      </c>
      <c r="B13" s="1" t="s">
        <v>186</v>
      </c>
      <c r="C13" s="1" t="s">
        <v>174</v>
      </c>
      <c r="D13" s="1" t="s">
        <v>182</v>
      </c>
      <c r="E13" s="1" t="s">
        <v>234</v>
      </c>
      <c r="F13" s="1" t="s">
        <v>192</v>
      </c>
      <c r="G13" s="1" t="s">
        <v>235</v>
      </c>
      <c r="H13" s="1" t="s">
        <v>177</v>
      </c>
      <c r="I13" s="34">
        <f>AVERAGEA('Nongrowing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f>
        <v>0.64720910782830632</v>
      </c>
      <c r="J13" s="34">
        <f>STDEVA('Nongrowing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other'!BH28)/SQRT(COUNT('Nongrowing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other'!BH28))*1.96</f>
        <v>7.8331833657656572E-2</v>
      </c>
      <c r="K13" s="41">
        <f>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f>
        <v>12</v>
      </c>
      <c r="L13" s="25">
        <f t="shared" si="0"/>
        <v>0.5688772741706497</v>
      </c>
      <c r="M13" s="25">
        <f t="shared" si="1"/>
        <v>0.72554094148596293</v>
      </c>
    </row>
    <row r="14" spans="1:13" x14ac:dyDescent="0.25">
      <c r="A14" s="1" t="s">
        <v>185</v>
      </c>
      <c r="B14" s="1" t="s">
        <v>185</v>
      </c>
      <c r="C14" s="1" t="s">
        <v>174</v>
      </c>
      <c r="D14" s="1" t="s">
        <v>182</v>
      </c>
      <c r="E14" s="1" t="s">
        <v>234</v>
      </c>
      <c r="F14" s="1" t="s">
        <v>236</v>
      </c>
      <c r="G14" s="1" t="s">
        <v>235</v>
      </c>
      <c r="H14" s="1" t="s">
        <v>177</v>
      </c>
      <c r="I14" s="34">
        <f>I12</f>
        <v>1.4267802316649554</v>
      </c>
      <c r="J14" s="34">
        <f>J12</f>
        <v>2.6384252985514363</v>
      </c>
      <c r="K14" s="41">
        <f>K12</f>
        <v>10</v>
      </c>
      <c r="L14" s="25">
        <f t="shared" si="0"/>
        <v>-1.2116450668864809</v>
      </c>
      <c r="M14" s="25">
        <f t="shared" si="1"/>
        <v>4.0652055302163914</v>
      </c>
    </row>
    <row r="15" spans="1:13" x14ac:dyDescent="0.25">
      <c r="A15" s="1" t="s">
        <v>173</v>
      </c>
      <c r="B15" s="1" t="s">
        <v>186</v>
      </c>
      <c r="C15" s="1" t="s">
        <v>174</v>
      </c>
      <c r="D15" s="1" t="s">
        <v>182</v>
      </c>
      <c r="E15" s="1" t="s">
        <v>234</v>
      </c>
      <c r="F15" s="1" t="s">
        <v>236</v>
      </c>
      <c r="G15" s="1" t="s">
        <v>235</v>
      </c>
      <c r="H15" s="1" t="s">
        <v>177</v>
      </c>
      <c r="I15" s="34">
        <f>AVERAGEA('Nongrowing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f>
        <v>0.64720910782830632</v>
      </c>
      <c r="J15" s="34">
        <f>STDEVA('Nongrowing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other'!BH28)/SQRT(COUNT('Nongrowing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other'!BH28))*1.96</f>
        <v>7.8331833657656572E-2</v>
      </c>
      <c r="K15" s="41">
        <f>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f>
        <v>12</v>
      </c>
      <c r="L15" s="25">
        <f t="shared" si="0"/>
        <v>0.5688772741706497</v>
      </c>
      <c r="M15" s="25">
        <f t="shared" si="1"/>
        <v>0.72554094148596293</v>
      </c>
    </row>
    <row r="16" spans="1:13" x14ac:dyDescent="0.25">
      <c r="A16" s="1" t="s">
        <v>185</v>
      </c>
      <c r="B16" s="1" t="s">
        <v>185</v>
      </c>
      <c r="C16" s="1" t="s">
        <v>174</v>
      </c>
      <c r="D16" s="1" t="s">
        <v>182</v>
      </c>
      <c r="E16" s="1" t="s">
        <v>234</v>
      </c>
      <c r="F16" s="1" t="s">
        <v>191</v>
      </c>
      <c r="G16" s="1" t="s">
        <v>235</v>
      </c>
      <c r="H16" s="1" t="s">
        <v>178</v>
      </c>
      <c r="I16" s="34">
        <f>I10</f>
        <v>1.4267802316649554</v>
      </c>
      <c r="J16" s="34">
        <f t="shared" ref="J16:K16" si="3">J10</f>
        <v>2.6384252985514363</v>
      </c>
      <c r="K16" s="41">
        <f t="shared" si="3"/>
        <v>10</v>
      </c>
      <c r="L16" s="25">
        <f t="shared" si="0"/>
        <v>-1.2116450668864809</v>
      </c>
      <c r="M16" s="25">
        <f t="shared" si="1"/>
        <v>4.0652055302163914</v>
      </c>
    </row>
    <row r="17" spans="1:13" x14ac:dyDescent="0.25">
      <c r="A17" s="1" t="s">
        <v>173</v>
      </c>
      <c r="B17" s="1" t="s">
        <v>248</v>
      </c>
      <c r="C17" s="1" t="s">
        <v>174</v>
      </c>
      <c r="D17" s="1" t="s">
        <v>182</v>
      </c>
      <c r="E17" s="1" t="s">
        <v>234</v>
      </c>
      <c r="F17" s="1" t="s">
        <v>191</v>
      </c>
      <c r="G17" s="1" t="s">
        <v>235</v>
      </c>
      <c r="H17" s="1" t="s">
        <v>178</v>
      </c>
      <c r="I17" s="34">
        <f>AVERAGEA('Nongrowing season flux of other'!BH29,'Nongrowing season flux of other'!BH30,'Nongrowing season flux of other'!BH31,'Nongrowing season flux of other'!BH32,'Nongrowing season flux of other'!BH33,'Nongrowing season flux of other'!BH34,'Nongrowing season flux of other'!BH37,'Nongrowing season flux of other'!BH38)</f>
        <v>0.40533190390650137</v>
      </c>
      <c r="J17" s="34">
        <f>STDEVA('Nongrowing season flux of other'!BH29,'Nongrowing season flux of other'!BH30,'Nongrowing season flux of other'!BH31,'Nongrowing season flux of other'!BH32,'Nongrowing season flux of other'!BH33,'Nongrowing season flux of other'!BH34,'Nongrowing season flux of other'!BH37,'Nongrowing season flux of other'!BH38)/SQRT(COUNT('Nongrowing season flux of other'!BH29,'Nongrowing season flux of other'!BH30,'Nongrowing season flux of other'!BH31,'Nongrowing season flux of other'!BH32,'Nongrowing season flux of other'!BH33,'Nongrowing season flux of other'!BH34,'Nongrowing season flux of other'!BH37,'Nongrowing season flux of other'!BH38))*1.96</f>
        <v>0.526634378670368</v>
      </c>
      <c r="K17" s="41">
        <f>COUNT('Nongrowing season flux of other'!BH29,'Nongrowing season flux of other'!BH30,'Nongrowing season flux of other'!BH31,'Nongrowing season flux of other'!BH32,'Nongrowing season flux of other'!BH33,'Nongrowing season flux of other'!BH34,'Nongrowing season flux of other'!BH37,'Nongrowing season flux of other'!BH38)</f>
        <v>8</v>
      </c>
      <c r="L17" s="25">
        <f t="shared" si="0"/>
        <v>-0.12130247476386663</v>
      </c>
      <c r="M17" s="25">
        <f t="shared" si="1"/>
        <v>0.93196628257686931</v>
      </c>
    </row>
    <row r="18" spans="1:13" x14ac:dyDescent="0.25">
      <c r="A18" s="1" t="s">
        <v>185</v>
      </c>
      <c r="B18" s="1" t="s">
        <v>185</v>
      </c>
      <c r="C18" s="1" t="s">
        <v>174</v>
      </c>
      <c r="D18" s="1" t="s">
        <v>181</v>
      </c>
      <c r="E18" s="1" t="s">
        <v>234</v>
      </c>
      <c r="F18" s="1" t="s">
        <v>191</v>
      </c>
      <c r="G18" s="1" t="s">
        <v>235</v>
      </c>
      <c r="H18" s="1" t="s">
        <v>214</v>
      </c>
      <c r="I18" s="34">
        <f>AVERAGEA('Nongrowing season flux of other'!BE6,'Nongrowing season flux of other'!BE7)</f>
        <v>0.73073866799506282</v>
      </c>
      <c r="J18" s="34">
        <f>STDEVA('Nongrowing season flux of other'!BE6,'Nongrowing season flux of other'!BE7)/SQRT(COUNT('Nongrowing season flux of other'!BE6,'Nongrowing season flux of other'!BE7))*1.96</f>
        <v>0.13503902220717673</v>
      </c>
      <c r="K18" s="41">
        <f>COUNT('Nongrowing season flux of other'!BE6,'Nongrowing season flux of other'!BE7)</f>
        <v>2</v>
      </c>
      <c r="L18" s="25">
        <f t="shared" si="0"/>
        <v>0.59569964578788603</v>
      </c>
      <c r="M18" s="25">
        <f t="shared" si="1"/>
        <v>0.8657776902022396</v>
      </c>
    </row>
    <row r="19" spans="1:13" x14ac:dyDescent="0.25">
      <c r="A19" s="1" t="s">
        <v>173</v>
      </c>
      <c r="B19" s="1" t="s">
        <v>251</v>
      </c>
      <c r="C19" s="1" t="s">
        <v>174</v>
      </c>
      <c r="D19" s="1" t="s">
        <v>181</v>
      </c>
      <c r="E19" s="1" t="s">
        <v>234</v>
      </c>
      <c r="F19" s="1" t="s">
        <v>191</v>
      </c>
      <c r="G19" s="1" t="s">
        <v>235</v>
      </c>
      <c r="H19" s="1" t="s">
        <v>214</v>
      </c>
      <c r="I19" s="34">
        <f>AVERAGEA('Nongrowing season flux of other'!BH6,'Nongrowing season flux of other'!BH7,'Nongrowing season flux of other'!BH41,'Nongrowing season flux of other'!BH42)</f>
        <v>0.4543667528814348</v>
      </c>
      <c r="J19" s="34">
        <f>STDEVA('Nongrowing season flux of other'!BH6,'Nongrowing season flux of other'!BH7,'Nongrowing season flux of other'!BH41,'Nongrowing season flux of other'!BH42)/SQRT(COUNT('Nongrowing season flux of other'!BH6,'Nongrowing season flux of other'!BH7,'Nongrowing season flux of other'!BH41,'Nongrowing season flux of other'!BH42))*1.96</f>
        <v>8.3826181670275959E-2</v>
      </c>
      <c r="K19" s="41">
        <f>COUNT('Nongrowing season flux of other'!BH6,'Nongrowing season flux of other'!BH7,'Nongrowing season flux of other'!BH41,'Nongrowing season flux of other'!BH42)</f>
        <v>4</v>
      </c>
      <c r="L19" s="25">
        <f t="shared" si="0"/>
        <v>0.37054057121115885</v>
      </c>
      <c r="M19" s="25">
        <f t="shared" si="1"/>
        <v>0.5381929345517108</v>
      </c>
    </row>
    <row r="20" spans="1:13" x14ac:dyDescent="0.25">
      <c r="A20" s="1" t="s">
        <v>185</v>
      </c>
      <c r="B20" s="1" t="s">
        <v>185</v>
      </c>
      <c r="C20" s="1" t="s">
        <v>174</v>
      </c>
      <c r="D20" s="1" t="s">
        <v>175</v>
      </c>
      <c r="E20" s="1" t="s">
        <v>237</v>
      </c>
      <c r="F20" s="1" t="s">
        <v>191</v>
      </c>
      <c r="G20" s="1" t="s">
        <v>235</v>
      </c>
      <c r="H20" s="1" t="s">
        <v>176</v>
      </c>
      <c r="I20" s="34">
        <f>AVERAGEA('Nongrowing season flux of other'!BE36,'Nongrowing season flux of other'!BE39,'Nongrowing season flux of other'!BE40,'Nongrowing season flux of other'!BE62,'Nongrowing season flux of other'!BE63,'Nongrowing season flux of other'!BE64)</f>
        <v>0.69763133864756199</v>
      </c>
      <c r="J20" s="34">
        <f>STDEVA('Nongrowing season flux of other'!BE36,'Nongrowing season flux of other'!BE39,'Nongrowing season flux of other'!BE40,'Nongrowing season flux of other'!BE62,'Nongrowing season flux of other'!BE63,'Nongrowing season flux of other'!BE64)/SQRT(COUNT('Nongrowing season flux of other'!BE36,'Nongrowing season flux of other'!BE39,'Nongrowing season flux of other'!BE40,'Nongrowing season flux of other'!BE62,'Nongrowing season flux of other'!BE63,'Nongrowing season flux of other'!BE64))*1.96</f>
        <v>0.25762522477787109</v>
      </c>
      <c r="K20" s="41">
        <f>COUNT('Nongrowing season flux of other'!BE2,'Nongrowing season flux of other'!BE36,'Nongrowing season flux of other'!BE62,'Nongrowing season flux of other'!BE63,'Nongrowing season flux of other'!BE64,'Nongrowing season flux of other'!BE65)</f>
        <v>6</v>
      </c>
      <c r="L20" s="25">
        <f t="shared" si="0"/>
        <v>0.44000611386969091</v>
      </c>
      <c r="M20" s="25">
        <f t="shared" si="1"/>
        <v>0.95525656342543308</v>
      </c>
    </row>
    <row r="21" spans="1:13" x14ac:dyDescent="0.25">
      <c r="A21" s="1" t="s">
        <v>173</v>
      </c>
      <c r="B21" s="1" t="s">
        <v>251</v>
      </c>
      <c r="C21" s="1" t="s">
        <v>174</v>
      </c>
      <c r="D21" s="1" t="s">
        <v>175</v>
      </c>
      <c r="E21" s="1" t="s">
        <v>237</v>
      </c>
      <c r="F21" s="1" t="s">
        <v>191</v>
      </c>
      <c r="G21" s="1" t="s">
        <v>235</v>
      </c>
      <c r="H21" s="1" t="s">
        <v>176</v>
      </c>
      <c r="I21" s="34">
        <f>AVERAGEA('Nongrowing season flux of other'!BH36,'Nongrowing season flux of other'!BH61)</f>
        <v>0.74462952888107448</v>
      </c>
      <c r="J21" s="34">
        <f>STDEVA('Nongrowing season flux of other'!BH36,'Nongrowing season flux of other'!BH61)/SQRT(COUNT('Nongrowing season flux of other'!BH36,'Nongrowing season flux of other'!BH61))*1.96</f>
        <v>0.47357026214907499</v>
      </c>
      <c r="K21" s="41">
        <f>COUNT('Nongrowing season flux of other'!BH36,'Nongrowing season flux of other'!BH61)</f>
        <v>2</v>
      </c>
      <c r="L21" s="25">
        <f t="shared" si="0"/>
        <v>0.27105926673199948</v>
      </c>
      <c r="M21" s="25">
        <f t="shared" si="1"/>
        <v>1.2181997910301494</v>
      </c>
    </row>
    <row r="22" spans="1:13" x14ac:dyDescent="0.3">
      <c r="A22" s="1" t="s">
        <v>185</v>
      </c>
      <c r="B22" s="1" t="s">
        <v>185</v>
      </c>
      <c r="C22" s="8" t="s">
        <v>215</v>
      </c>
      <c r="D22" s="5" t="s">
        <v>108</v>
      </c>
      <c r="E22" s="5" t="s">
        <v>193</v>
      </c>
      <c r="F22" s="5" t="s">
        <v>207</v>
      </c>
      <c r="G22" s="5" t="s">
        <v>208</v>
      </c>
      <c r="H22" s="5" t="s">
        <v>213</v>
      </c>
      <c r="I22" s="34">
        <f>AVERAGEA('Nongrowing season flux of other'!BE6,'Nongrowing season flux of other'!BE7)</f>
        <v>0.73073866799506282</v>
      </c>
      <c r="J22" s="34">
        <f>STDEVA('Nongrowing season flux of other'!BE6,'Nongrowing season flux of other'!BE7)/SQRT(COUNT('Nongrowing season flux of other'!BE6,'Nongrowing season flux of other'!BE7))*1.96</f>
        <v>0.13503902220717673</v>
      </c>
      <c r="K22" s="41">
        <f>COUNT('Nongrowing season flux of other'!BE6,'Nongrowing season flux of other'!BE7)</f>
        <v>2</v>
      </c>
      <c r="L22" s="25">
        <f t="shared" si="0"/>
        <v>0.59569964578788603</v>
      </c>
      <c r="M22" s="25">
        <f t="shared" si="1"/>
        <v>0.8657776902022396</v>
      </c>
    </row>
    <row r="23" spans="1:13" x14ac:dyDescent="0.3">
      <c r="A23" s="5" t="s">
        <v>231</v>
      </c>
      <c r="B23" s="5" t="s">
        <v>188</v>
      </c>
      <c r="C23" s="8" t="s">
        <v>215</v>
      </c>
      <c r="D23" s="5" t="s">
        <v>108</v>
      </c>
      <c r="E23" s="5" t="s">
        <v>193</v>
      </c>
      <c r="F23" s="5" t="s">
        <v>207</v>
      </c>
      <c r="G23" s="5" t="s">
        <v>208</v>
      </c>
      <c r="H23" s="5" t="s">
        <v>213</v>
      </c>
      <c r="I23" s="34">
        <f>AVERAGEA('Nongrowing season flux of other'!BH6,'Nongrowing season flux of other'!BH7,'Nongrowing season flux of other'!BH42)</f>
        <v>0.47717865901432682</v>
      </c>
      <c r="J23" s="34">
        <f>STDEVA('Nongrowing season flux of other'!BH6,'Nongrowing season flux of other'!BH7,'Nongrowing season flux of other'!BH42)/SQRT(COUNT('Nongrowing season flux of other'!BH6,'Nongrowing season flux of other'!BH7,'Nongrowing season flux of other'!BH42))*1.96</f>
        <v>0.10027686836636802</v>
      </c>
      <c r="K23" s="41">
        <f>COUNT('Nongrowing season flux of other'!BH6,'Nongrowing season flux of other'!BH7,'Nongrowing season flux of other'!BH42)</f>
        <v>3</v>
      </c>
      <c r="L23" s="25">
        <f t="shared" si="0"/>
        <v>0.37690179064795881</v>
      </c>
      <c r="M23" s="25">
        <f t="shared" si="1"/>
        <v>0.57745552738069483</v>
      </c>
    </row>
    <row r="24" spans="1:13" x14ac:dyDescent="0.3">
      <c r="A24" s="1" t="s">
        <v>185</v>
      </c>
      <c r="B24" s="1" t="s">
        <v>185</v>
      </c>
      <c r="C24" s="8" t="s">
        <v>215</v>
      </c>
      <c r="D24" s="5" t="s">
        <v>187</v>
      </c>
      <c r="E24" s="5" t="s">
        <v>211</v>
      </c>
      <c r="F24" s="5" t="s">
        <v>207</v>
      </c>
      <c r="G24" s="5" t="s">
        <v>208</v>
      </c>
      <c r="H24" s="5" t="s">
        <v>116</v>
      </c>
      <c r="I24" s="34">
        <f>AVERAGEA('Nongrowing season flux of other'!BE6,'Nongrowing season flux of other'!BE7,'Nongrowing season flux of other'!BE19,'Nongrowing season flux of other'!BE20,'Nongrowing season flux of other'!BE25)</f>
        <v>0.55026963954117203</v>
      </c>
      <c r="J24" s="34">
        <f>STDEVA('Nongrowing season flux of other'!BE6,'Nongrowing season flux of other'!BE7,'Nongrowing season flux of other'!BE19,'Nongrowing season flux of other'!BE20,'Nongrowing season flux of other'!BE25)/SQRT(COUNT('Nongrowing season flux of other'!BE6,'Nongrowing season flux of other'!BE7,'Nongrowing season flux of other'!BE19,'Nongrowing season flux of other'!BE20,'Nongrowing season flux of other'!BE25))*1.96</f>
        <v>0.32713343454606253</v>
      </c>
      <c r="K24" s="41">
        <f>COUNT('Nongrowing season flux of other'!BE6,'Nongrowing season flux of other'!BE7,'Nongrowing season flux of other'!BE19,'Nongrowing season flux of other'!BE20,'Nongrowing season flux of other'!BE25)</f>
        <v>5</v>
      </c>
      <c r="L24" s="25">
        <f t="shared" si="0"/>
        <v>0.2231362049951095</v>
      </c>
      <c r="M24" s="25">
        <f t="shared" si="1"/>
        <v>0.8774030740872345</v>
      </c>
    </row>
    <row r="25" spans="1:13" x14ac:dyDescent="0.3">
      <c r="A25" s="5" t="s">
        <v>231</v>
      </c>
      <c r="B25" s="5" t="s">
        <v>188</v>
      </c>
      <c r="C25" s="8" t="s">
        <v>215</v>
      </c>
      <c r="D25" s="5" t="s">
        <v>187</v>
      </c>
      <c r="E25" s="5" t="s">
        <v>211</v>
      </c>
      <c r="F25" s="5" t="s">
        <v>207</v>
      </c>
      <c r="G25" s="5" t="s">
        <v>208</v>
      </c>
      <c r="H25" s="5" t="s">
        <v>116</v>
      </c>
      <c r="I25" s="34">
        <f>AVERAGEA('Nongrowing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other'!BH42)</f>
        <v>0.63430145535447113</v>
      </c>
      <c r="J25" s="34">
        <f>STDEVA('Nongrowing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other'!BH42)/SQRT(COUNT('Nongrowing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other'!BH42))*1.96</f>
        <v>7.6367103903344391E-2</v>
      </c>
      <c r="K25" s="41">
        <f>COUNT('Nongrowing season flux of other'!BH6,'Nongrowing season flux of other'!BH7,'Nongrowing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other'!BH42)</f>
        <v>13</v>
      </c>
      <c r="L25" s="25">
        <f t="shared" si="0"/>
        <v>0.5579343514511268</v>
      </c>
      <c r="M25" s="25">
        <f t="shared" si="1"/>
        <v>0.71066855925781547</v>
      </c>
    </row>
    <row r="26" spans="1:13" x14ac:dyDescent="0.25">
      <c r="A26" s="1" t="s">
        <v>185</v>
      </c>
      <c r="B26" s="1" t="s">
        <v>185</v>
      </c>
      <c r="C26" s="1" t="s">
        <v>183</v>
      </c>
      <c r="D26" s="1" t="s">
        <v>175</v>
      </c>
      <c r="E26" s="1" t="s">
        <v>237</v>
      </c>
      <c r="F26" s="1" t="s">
        <v>191</v>
      </c>
      <c r="G26" s="1" t="s">
        <v>235</v>
      </c>
      <c r="H26" s="1" t="s">
        <v>176</v>
      </c>
      <c r="I26" s="34">
        <f>AVERAGEA('Nongrowing season flux of other'!BE19,'Nongrowing season flux of other'!BE20,'Nongrowing season flux of other'!BE25)</f>
        <v>0.42995695390524497</v>
      </c>
      <c r="J26" s="34">
        <f>STDEVA('Nongrowing season flux of other'!BE19,'Nongrowing season flux of other'!BE20,'Nongrowing season flux of other'!BE25)/SQRT(COUNT('Nongrowing season flux of other'!BE19,'Nongrowing season flux of other'!BE20,'Nongrowing season flux of other'!BE25))*1.96</f>
        <v>0.53021957782520779</v>
      </c>
      <c r="K26" s="41">
        <f>COUNT('Nongrowing season flux of other'!BE19,'Nongrowing season flux of other'!BE20,'Nongrowing season flux of other'!BE25)</f>
        <v>3</v>
      </c>
      <c r="L26" s="25">
        <f t="shared" si="0"/>
        <v>-0.10026262391996282</v>
      </c>
      <c r="M26" s="25">
        <f t="shared" si="1"/>
        <v>0.9601765317304527</v>
      </c>
    </row>
    <row r="27" spans="1:13" x14ac:dyDescent="0.25">
      <c r="A27" s="1" t="s">
        <v>173</v>
      </c>
      <c r="B27" s="1" t="s">
        <v>186</v>
      </c>
      <c r="C27" s="1" t="s">
        <v>183</v>
      </c>
      <c r="D27" s="1" t="s">
        <v>175</v>
      </c>
      <c r="E27" s="1" t="s">
        <v>237</v>
      </c>
      <c r="F27" s="1" t="s">
        <v>191</v>
      </c>
      <c r="G27" s="1" t="s">
        <v>235</v>
      </c>
      <c r="H27" s="1" t="s">
        <v>176</v>
      </c>
      <c r="I27" s="34">
        <f>AVERAGEA('Nongrowing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f>
        <v>0.68279570560988367</v>
      </c>
      <c r="J27" s="34">
        <f>STDEVA('Nongrowing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other'!BH60)/SQRT(COUNT('Nongrowing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other'!BH60))*1.96</f>
        <v>9.1286968570633995E-2</v>
      </c>
      <c r="K27" s="41">
        <f>COUNT('Nongrowing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f>
        <v>13</v>
      </c>
      <c r="L27" s="25">
        <f t="shared" si="0"/>
        <v>0.59150873703924967</v>
      </c>
      <c r="M27" s="25">
        <f t="shared" si="1"/>
        <v>0.77408267418051768</v>
      </c>
    </row>
    <row r="28" spans="1:13" x14ac:dyDescent="0.25">
      <c r="A28" s="1" t="s">
        <v>185</v>
      </c>
      <c r="B28" s="1" t="s">
        <v>185</v>
      </c>
      <c r="C28" s="1" t="s">
        <v>183</v>
      </c>
      <c r="D28" s="1" t="s">
        <v>181</v>
      </c>
      <c r="E28" s="1" t="s">
        <v>234</v>
      </c>
      <c r="F28" s="1" t="s">
        <v>191</v>
      </c>
      <c r="G28" s="1" t="s">
        <v>235</v>
      </c>
      <c r="H28" s="1" t="s">
        <v>177</v>
      </c>
      <c r="I28" s="34">
        <f>AVERAGEA('Nongrowing season flux of other'!BE6,'Nongrowing season flux of other'!BE7)</f>
        <v>0.73073866799506282</v>
      </c>
      <c r="J28" s="34">
        <f>STDEVA('Nongrowing season flux of other'!BE6,'Nongrowing season flux of other'!BE7)/SQRT(COUNT('Nongrowing season flux of other'!BE6,'Nongrowing season flux of other'!BE7))*1.96</f>
        <v>0.13503902220717673</v>
      </c>
      <c r="K28" s="41">
        <f>COUNT('Nongrowing season flux of other'!BE6,'Nongrowing season flux of other'!BE7)</f>
        <v>2</v>
      </c>
      <c r="L28" s="25">
        <f t="shared" si="0"/>
        <v>0.59569964578788603</v>
      </c>
      <c r="M28" s="25">
        <f t="shared" si="1"/>
        <v>0.8657776902022396</v>
      </c>
    </row>
    <row r="29" spans="1:13" x14ac:dyDescent="0.25">
      <c r="A29" s="1" t="s">
        <v>173</v>
      </c>
      <c r="B29" s="1" t="s">
        <v>186</v>
      </c>
      <c r="C29" s="1" t="s">
        <v>183</v>
      </c>
      <c r="D29" s="1" t="s">
        <v>181</v>
      </c>
      <c r="E29" s="1" t="s">
        <v>234</v>
      </c>
      <c r="F29" s="1" t="s">
        <v>191</v>
      </c>
      <c r="G29" s="1" t="s">
        <v>235</v>
      </c>
      <c r="H29" s="1" t="s">
        <v>177</v>
      </c>
      <c r="I29" s="34">
        <f>AVERAGEA('Nongrowing season flux of other'!BH6,'Nongrowing season flux of other'!BH7,'Nongrowing season flux of other'!BH42)</f>
        <v>0.47717865901432682</v>
      </c>
      <c r="J29" s="34">
        <f>STDEVA('Nongrowing season flux of other'!BH6,'Nongrowing season flux of other'!BH7,'Nongrowing season flux of other'!BH42)/SQRT(COUNT('Nongrowing season flux of other'!BH6,'Nongrowing season flux of other'!BH7,'Nongrowing season flux of other'!BH42))*1.96</f>
        <v>0.10027686836636802</v>
      </c>
      <c r="K29" s="41">
        <f>COUNT('Nongrowing season flux of other'!BH6,'Nongrowing season flux of other'!BH7,'Nongrowing season flux of other'!BH42)</f>
        <v>3</v>
      </c>
      <c r="L29" s="25">
        <f t="shared" si="0"/>
        <v>0.37690179064795881</v>
      </c>
      <c r="M29" s="25">
        <f t="shared" si="1"/>
        <v>0.57745552738069483</v>
      </c>
    </row>
    <row r="30" spans="1:13" x14ac:dyDescent="0.25">
      <c r="A30" s="1" t="s">
        <v>185</v>
      </c>
      <c r="B30" s="1" t="s">
        <v>185</v>
      </c>
      <c r="C30" s="1" t="s">
        <v>183</v>
      </c>
      <c r="D30" s="1" t="s">
        <v>175</v>
      </c>
      <c r="E30" s="1" t="s">
        <v>237</v>
      </c>
      <c r="F30" s="1" t="s">
        <v>192</v>
      </c>
      <c r="G30" s="1" t="s">
        <v>235</v>
      </c>
      <c r="H30" s="1" t="s">
        <v>176</v>
      </c>
      <c r="I30" s="34">
        <f>AVERAGEA('Nongrowing season flux of other'!BE12,'Nongrowing season flux of other'!BE13,'Nongrowing season flux of other'!BE19,'Nongrowing season flux of other'!BE20,'Nongrowing season flux of other'!BE25)</f>
        <v>0.34514531663565917</v>
      </c>
      <c r="J30" s="34">
        <f>STDEVA('Nongrowing season flux of other'!BE12,'Nongrowing season flux of other'!BE13,'Nongrowing season flux of other'!BE19,'Nongrowing season flux of other'!BE20,'Nongrowing season flux of other'!BE25)/SQRT(COUNT('Nongrowing season flux of other'!BE12,'Nongrowing season flux of other'!BE13,'Nongrowing season flux of other'!BE19,'Nongrowing season flux of other'!BE20,'Nongrowing season flux of other'!BE25))*1.96</f>
        <v>0.3437988950543559</v>
      </c>
      <c r="K30" s="41">
        <f>COUNT('Nongrowing season flux of other'!BE12,'Nongrowing season flux of other'!BE13,'Nongrowing season flux of other'!BE19,'Nongrowing season flux of other'!BE20,'Nongrowing season flux of other'!BE25)</f>
        <v>5</v>
      </c>
      <c r="L30" s="25">
        <f t="shared" si="0"/>
        <v>1.3464215813032698E-3</v>
      </c>
      <c r="M30" s="25">
        <f t="shared" si="1"/>
        <v>0.68894421169001507</v>
      </c>
    </row>
    <row r="31" spans="1:13" x14ac:dyDescent="0.25">
      <c r="A31" s="1" t="s">
        <v>173</v>
      </c>
      <c r="B31" s="1" t="s">
        <v>186</v>
      </c>
      <c r="C31" s="1" t="s">
        <v>183</v>
      </c>
      <c r="D31" s="1" t="s">
        <v>175</v>
      </c>
      <c r="E31" s="1" t="s">
        <v>237</v>
      </c>
      <c r="F31" s="1" t="s">
        <v>192</v>
      </c>
      <c r="G31" s="1" t="s">
        <v>235</v>
      </c>
      <c r="H31" s="1" t="s">
        <v>176</v>
      </c>
      <c r="I31" s="34">
        <f>AVERAGEA('Nongrowing season flux of other'!BH12,'Nongrowing season flux of other'!BH13,'Nongrowing season flux of other'!BH19,'Nongrowing season flux of other'!BH20,'Nongrowing season flux of other'!BH22,'Nongrowing season flux of other'!BH21,'Nongrowing season flux of other'!BH23,'Nongrowing season flux of other'!BH24,'Nongrowing season flux of other'!BH25,'Nongrowing season flux of other'!BH26,'Nongrowing season flux of other'!BH27,'Nongrowing season flux of other'!BH28,'Nongrowing season flux of other'!BH60)</f>
        <v>0.68279570560988367</v>
      </c>
      <c r="J31" s="34">
        <f>STDEVA('Nongrowing season flux of other'!BH12,'Nongrowing season flux of other'!BH13,'Nongrowing season flux of other'!BH19,'Nongrowing season flux of other'!BH20,'Nongrowing season flux of other'!BH22,'Nongrowing season flux of other'!BH21,'Nongrowing season flux of other'!BH23,'Nongrowing season flux of other'!BH24,'Nongrowing season flux of other'!BH25,'Nongrowing season flux of other'!BH26,'Nongrowing season flux of other'!BH27,'Nongrowing season flux of other'!BH28,'Nongrowing season flux of other'!BH60)/SQRT(COUNT('Nongrowing season flux of other'!BH12,'Nongrowing season flux of other'!BH13,'Nongrowing season flux of other'!BH19,'Nongrowing season flux of other'!BH20,'Nongrowing season flux of other'!BH22,'Nongrowing season flux of other'!BH21,'Nongrowing season flux of other'!BH23,'Nongrowing season flux of other'!BH24,'Nongrowing season flux of other'!BH25,'Nongrowing season flux of other'!BH26,'Nongrowing season flux of other'!BH27,'Nongrowing season flux of other'!BH28,'Nongrowing season flux of other'!BH60))*1.96</f>
        <v>9.1286968570633995E-2</v>
      </c>
      <c r="K31" s="41">
        <f>COUNT('Nongrowing season flux of other'!BH12,'Nongrowing season flux of other'!BH13,'Nongrowing season flux of other'!BH19,'Nongrowing season flux of other'!BH20,'Nongrowing season flux of other'!BH22,'Nongrowing season flux of other'!BH21,'Nongrowing season flux of other'!BH23,'Nongrowing season flux of other'!BH24,'Nongrowing season flux of other'!BH25,'Nongrowing season flux of other'!BH26,'Nongrowing season flux of other'!BH27,'Nongrowing season flux of other'!BH28,'Nongrowing season flux of other'!BH60)</f>
        <v>13</v>
      </c>
      <c r="L31" s="25">
        <f t="shared" si="0"/>
        <v>0.59150873703924967</v>
      </c>
      <c r="M31" s="25">
        <f t="shared" si="1"/>
        <v>0.77408267418051768</v>
      </c>
    </row>
    <row r="32" spans="1:13" x14ac:dyDescent="0.3">
      <c r="A32" s="1" t="s">
        <v>185</v>
      </c>
      <c r="B32" s="1" t="s">
        <v>185</v>
      </c>
      <c r="C32" s="8" t="s">
        <v>215</v>
      </c>
      <c r="D32" s="5" t="s">
        <v>130</v>
      </c>
      <c r="E32" s="5" t="s">
        <v>238</v>
      </c>
      <c r="F32" s="5" t="s">
        <v>240</v>
      </c>
      <c r="G32" s="5" t="s">
        <v>208</v>
      </c>
      <c r="H32" s="5" t="s">
        <v>239</v>
      </c>
      <c r="I32" s="34">
        <f>AVERAGEA('Nongrowing season flux of other'!BE12,'Nongrowing season flux of other'!BE13,'Nongrowing season flux of other'!BE19,'Nongrowing season flux of other'!BE20,'Nongrowing season flux of other'!BE25)</f>
        <v>0.34514531663565917</v>
      </c>
      <c r="J32" s="34">
        <f>STDEVA('Nongrowing season flux of other'!BE12,'Nongrowing season flux of other'!BE13,'Nongrowing season flux of other'!BE19,'Nongrowing season flux of other'!BE20,'Nongrowing season flux of other'!BE25)/SQRT(COUNT('Nongrowing season flux of other'!BE12,'Nongrowing season flux of other'!BE13,'Nongrowing season flux of other'!BE19,'Nongrowing season flux of other'!BE20,'Nongrowing season flux of other'!BE25))*1.96</f>
        <v>0.3437988950543559</v>
      </c>
      <c r="K32" s="41">
        <f>COUNT('Nongrowing season flux of other'!BE12,'Nongrowing season flux of other'!BE13,'Nongrowing season flux of other'!BE19,'Nongrowing season flux of other'!BE20,'Nongrowing season flux of other'!BE25)</f>
        <v>5</v>
      </c>
      <c r="L32" s="25">
        <f t="shared" si="0"/>
        <v>1.3464215813032698E-3</v>
      </c>
      <c r="M32" s="25">
        <f t="shared" si="1"/>
        <v>0.68894421169001507</v>
      </c>
    </row>
    <row r="33" spans="1:13" x14ac:dyDescent="0.3">
      <c r="A33" s="5" t="s">
        <v>231</v>
      </c>
      <c r="B33" s="5" t="s">
        <v>188</v>
      </c>
      <c r="C33" s="8" t="s">
        <v>215</v>
      </c>
      <c r="D33" s="5" t="s">
        <v>130</v>
      </c>
      <c r="E33" s="5" t="s">
        <v>238</v>
      </c>
      <c r="F33" s="5" t="s">
        <v>240</v>
      </c>
      <c r="G33" s="5" t="s">
        <v>208</v>
      </c>
      <c r="H33" s="5" t="s">
        <v>239</v>
      </c>
      <c r="I33" s="34">
        <f>AVERAGEA('Nongrowing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f>
        <v>0.68279570560988367</v>
      </c>
      <c r="J33" s="34">
        <f>STDEVA('Nongrowing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other'!BH60)/SQRT(COUNT('Nongrowing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other'!BH60))*1.96</f>
        <v>9.1286968570633995E-2</v>
      </c>
      <c r="K33" s="41">
        <f>COUNT('Nongrowing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f>
        <v>13</v>
      </c>
      <c r="L33" s="25">
        <f t="shared" si="0"/>
        <v>0.59150873703924967</v>
      </c>
      <c r="M33" s="25">
        <f t="shared" si="1"/>
        <v>0.77408267418051768</v>
      </c>
    </row>
    <row r="34" spans="1:13" x14ac:dyDescent="0.3">
      <c r="A34" s="1" t="s">
        <v>185</v>
      </c>
      <c r="B34" s="1" t="s">
        <v>185</v>
      </c>
      <c r="C34" s="8" t="s">
        <v>215</v>
      </c>
      <c r="D34" s="5" t="s">
        <v>108</v>
      </c>
      <c r="E34" s="5" t="s">
        <v>238</v>
      </c>
      <c r="F34" s="5" t="s">
        <v>240</v>
      </c>
      <c r="G34" s="5" t="s">
        <v>208</v>
      </c>
      <c r="H34" s="5" t="s">
        <v>239</v>
      </c>
      <c r="I34" s="34">
        <f>AVERAGEA('Nongrowing season flux of other'!BE12,'Nongrowing season flux of other'!BE13,'Nongrowing season flux of other'!BE19,'Nongrowing season flux of other'!BE20,'Nongrowing season flux of other'!BE25)</f>
        <v>0.34514531663565917</v>
      </c>
      <c r="J34" s="34">
        <f>STDEVA('Nongrowing season flux of other'!BE12,'Nongrowing season flux of other'!BE13,'Nongrowing season flux of other'!BE19,'Nongrowing season flux of other'!BE20,'Nongrowing season flux of other'!BE25)/SQRT(COUNT('Nongrowing season flux of other'!BE12,'Nongrowing season flux of other'!BE13,'Nongrowing season flux of other'!BE19,'Nongrowing season flux of other'!BE20,'Nongrowing season flux of other'!BE25))*1.96</f>
        <v>0.3437988950543559</v>
      </c>
      <c r="K34" s="41">
        <f>COUNT('Nongrowing season flux of other'!BE12,'Nongrowing season flux of other'!BE13,'Nongrowing season flux of other'!BE19,'Nongrowing season flux of other'!BE20,'Nongrowing season flux of other'!BE25)</f>
        <v>5</v>
      </c>
      <c r="L34" s="25">
        <f t="shared" si="0"/>
        <v>1.3464215813032698E-3</v>
      </c>
      <c r="M34" s="25">
        <f t="shared" si="1"/>
        <v>0.68894421169001507</v>
      </c>
    </row>
    <row r="35" spans="1:13" x14ac:dyDescent="0.3">
      <c r="A35" s="5" t="s">
        <v>231</v>
      </c>
      <c r="B35" s="5" t="s">
        <v>188</v>
      </c>
      <c r="C35" s="8" t="s">
        <v>215</v>
      </c>
      <c r="D35" s="5" t="s">
        <v>108</v>
      </c>
      <c r="E35" s="5" t="s">
        <v>238</v>
      </c>
      <c r="F35" s="5" t="s">
        <v>240</v>
      </c>
      <c r="G35" s="5" t="s">
        <v>208</v>
      </c>
      <c r="H35" s="5" t="s">
        <v>239</v>
      </c>
      <c r="I35" s="34">
        <f>AVERAGEA('Nongrowing season flux of other'!BH6,'Nongrowing season flux of other'!BH7,'Nongrowing season flux of other'!BH42)</f>
        <v>0.47717865901432682</v>
      </c>
      <c r="J35" s="34">
        <f>STDEVA('Nongrowing season flux of other'!BH6,'Nongrowing season flux of other'!BH7,'Nongrowing season flux of other'!BH42)/SQRT(COUNT('Nongrowing season flux of other'!BH6,'Nongrowing season flux of other'!BH7,'Nongrowing season flux of other'!BH42))*1.96</f>
        <v>0.10027686836636802</v>
      </c>
      <c r="K35" s="41">
        <f>COUNT('Nongrowing season flux of other'!BH6,'Nongrowing season flux of other'!BH7,'Nongrowing season flux of other'!BH42)</f>
        <v>3</v>
      </c>
      <c r="L35" s="25">
        <f t="shared" si="0"/>
        <v>0.37690179064795881</v>
      </c>
      <c r="M35" s="25">
        <f t="shared" si="1"/>
        <v>0.57745552738069483</v>
      </c>
    </row>
    <row r="36" spans="1:13" x14ac:dyDescent="0.3">
      <c r="A36" s="1" t="s">
        <v>185</v>
      </c>
      <c r="B36" s="1" t="s">
        <v>185</v>
      </c>
      <c r="C36" s="8" t="s">
        <v>215</v>
      </c>
      <c r="D36" s="5" t="s">
        <v>108</v>
      </c>
      <c r="E36" s="5" t="s">
        <v>238</v>
      </c>
      <c r="F36" s="5" t="s">
        <v>241</v>
      </c>
      <c r="G36" s="5" t="s">
        <v>208</v>
      </c>
      <c r="H36" s="5" t="s">
        <v>239</v>
      </c>
      <c r="I36" s="34">
        <f>AVERAGEA('Nongrowing season flux of other'!BE12,'Nongrowing season flux of other'!BE13,'Nongrowing season flux of other'!BE19,'Nongrowing season flux of other'!BE20,'Nongrowing season flux of other'!BE25)</f>
        <v>0.34514531663565917</v>
      </c>
      <c r="J36" s="34">
        <f>STDEVA('Nongrowing season flux of other'!BE12,'Nongrowing season flux of other'!BE13,'Nongrowing season flux of other'!BE19,'Nongrowing season flux of other'!BE20,'Nongrowing season flux of other'!BE25)/SQRT(COUNT('Nongrowing season flux of other'!BE12,'Nongrowing season flux of other'!BE13,'Nongrowing season flux of other'!BE19,'Nongrowing season flux of other'!BE20,'Nongrowing season flux of other'!BE25))*1.96</f>
        <v>0.3437988950543559</v>
      </c>
      <c r="K36" s="41">
        <f>COUNT('Nongrowing season flux of other'!BE12,'Nongrowing season flux of other'!BE13,'Nongrowing season flux of other'!BE19,'Nongrowing season flux of other'!BE20,'Nongrowing season flux of other'!BE25)</f>
        <v>5</v>
      </c>
      <c r="L36" s="25">
        <f t="shared" si="0"/>
        <v>1.3464215813032698E-3</v>
      </c>
      <c r="M36" s="25">
        <f t="shared" si="1"/>
        <v>0.68894421169001507</v>
      </c>
    </row>
    <row r="37" spans="1:13" x14ac:dyDescent="0.3">
      <c r="A37" s="5" t="s">
        <v>231</v>
      </c>
      <c r="B37" s="5" t="s">
        <v>188</v>
      </c>
      <c r="C37" s="8" t="s">
        <v>215</v>
      </c>
      <c r="D37" s="5" t="s">
        <v>108</v>
      </c>
      <c r="E37" s="5" t="s">
        <v>238</v>
      </c>
      <c r="F37" s="5" t="s">
        <v>241</v>
      </c>
      <c r="G37" s="5" t="s">
        <v>208</v>
      </c>
      <c r="H37" s="5" t="s">
        <v>239</v>
      </c>
      <c r="I37" s="34">
        <f>AVERAGEA('Nongrowing season flux of other'!BH6,'Nongrowing season flux of other'!BH7,'Nongrowing season flux of other'!BH42)</f>
        <v>0.47717865901432682</v>
      </c>
      <c r="J37" s="34">
        <f>STDEVA('Nongrowing season flux of other'!BH6,'Nongrowing season flux of other'!BH7,'Nongrowing season flux of other'!BH42)/SQRT(COUNT('Nongrowing season flux of other'!BH6,'Nongrowing season flux of other'!BH7,'Nongrowing season flux of other'!BH42))*1.96</f>
        <v>0.10027686836636802</v>
      </c>
      <c r="K37" s="41">
        <f>COUNT('Nongrowing season flux of other'!BH6,'Nongrowing season flux of other'!BH7,'Nongrowing season flux of other'!BH42)</f>
        <v>3</v>
      </c>
      <c r="L37" s="25">
        <f t="shared" si="0"/>
        <v>0.37690179064795881</v>
      </c>
      <c r="M37" s="25">
        <f t="shared" si="1"/>
        <v>0.57745552738069483</v>
      </c>
    </row>
    <row r="38" spans="1:13" x14ac:dyDescent="0.3">
      <c r="A38" s="1" t="s">
        <v>185</v>
      </c>
      <c r="B38" s="1" t="s">
        <v>185</v>
      </c>
      <c r="C38" s="8" t="s">
        <v>215</v>
      </c>
      <c r="D38" s="5" t="s">
        <v>108</v>
      </c>
      <c r="E38" s="5" t="s">
        <v>238</v>
      </c>
      <c r="F38" s="5" t="s">
        <v>236</v>
      </c>
      <c r="G38" s="5" t="s">
        <v>208</v>
      </c>
      <c r="H38" s="5" t="s">
        <v>239</v>
      </c>
      <c r="I38" s="34">
        <f>I36</f>
        <v>0.34514531663565917</v>
      </c>
      <c r="J38" s="34">
        <f>J36</f>
        <v>0.3437988950543559</v>
      </c>
      <c r="K38" s="41">
        <f>K36</f>
        <v>5</v>
      </c>
      <c r="L38" s="25">
        <f t="shared" si="0"/>
        <v>1.3464215813032698E-3</v>
      </c>
      <c r="M38" s="25">
        <f t="shared" si="1"/>
        <v>0.68894421169001507</v>
      </c>
    </row>
    <row r="39" spans="1:13" x14ac:dyDescent="0.3">
      <c r="A39" s="5" t="s">
        <v>231</v>
      </c>
      <c r="B39" s="5" t="s">
        <v>188</v>
      </c>
      <c r="C39" s="8" t="s">
        <v>215</v>
      </c>
      <c r="D39" s="5" t="s">
        <v>108</v>
      </c>
      <c r="E39" s="5" t="s">
        <v>238</v>
      </c>
      <c r="F39" s="5" t="s">
        <v>236</v>
      </c>
      <c r="G39" s="5" t="s">
        <v>208</v>
      </c>
      <c r="H39" s="5" t="s">
        <v>239</v>
      </c>
      <c r="I39" s="34">
        <f>AVERAGEA('Nongrowing season flux of other'!BH6,'Nongrowing season flux of other'!BH7,'Nongrowing season flux of other'!BH42)</f>
        <v>0.47717865901432682</v>
      </c>
      <c r="J39" s="34">
        <f>STDEVA('Nongrowing season flux of other'!BH6,'Nongrowing season flux of other'!BH7,'Nongrowing season flux of other'!BH42)/SQRT(COUNT('Nongrowing season flux of other'!BH6,'Nongrowing season flux of other'!BH7,'Nongrowing season flux of other'!BH42))*1.96</f>
        <v>0.10027686836636802</v>
      </c>
      <c r="K39" s="41">
        <f>COUNT('Nongrowing season flux of other'!BH6,'Nongrowing season flux of other'!BH7,'Nongrowing season flux of other'!BH42)</f>
        <v>3</v>
      </c>
      <c r="L39" s="25">
        <f t="shared" si="0"/>
        <v>0.37690179064795881</v>
      </c>
      <c r="M39" s="25">
        <f t="shared" si="1"/>
        <v>0.57745552738069483</v>
      </c>
    </row>
    <row r="40" spans="1:13" x14ac:dyDescent="0.3">
      <c r="A40" s="1" t="s">
        <v>185</v>
      </c>
      <c r="B40" s="1" t="s">
        <v>185</v>
      </c>
      <c r="C40" s="8" t="s">
        <v>215</v>
      </c>
      <c r="D40" s="5" t="s">
        <v>108</v>
      </c>
      <c r="E40" s="5" t="s">
        <v>211</v>
      </c>
      <c r="F40" s="5" t="s">
        <v>207</v>
      </c>
      <c r="G40" s="5" t="s">
        <v>208</v>
      </c>
      <c r="H40" s="5" t="s">
        <v>209</v>
      </c>
      <c r="I40" s="34">
        <f>AVERAGEA('Nongrowing season flux of other'!BE6,'Nongrowing season flux of other'!BE7)</f>
        <v>0.73073866799506282</v>
      </c>
      <c r="J40" s="34">
        <f>STDEVA('Nongrowing season flux of other'!BE6,'Nongrowing season flux of other'!BE7)/SQRT(COUNT('Nongrowing season flux of other'!BE6,'Nongrowing season flux of other'!BE7))*1.96</f>
        <v>0.13503902220717673</v>
      </c>
      <c r="K40" s="41">
        <f>COUNT('Nongrowing season flux of other'!BE6,'Nongrowing season flux of other'!BE7)</f>
        <v>2</v>
      </c>
      <c r="L40" s="25">
        <f t="shared" si="0"/>
        <v>0.59569964578788603</v>
      </c>
      <c r="M40" s="25">
        <f t="shared" si="1"/>
        <v>0.8657776902022396</v>
      </c>
    </row>
    <row r="41" spans="1:13" x14ac:dyDescent="0.3">
      <c r="A41" s="5" t="s">
        <v>231</v>
      </c>
      <c r="B41" s="5" t="s">
        <v>188</v>
      </c>
      <c r="C41" s="8" t="s">
        <v>215</v>
      </c>
      <c r="D41" s="5" t="s">
        <v>108</v>
      </c>
      <c r="E41" s="5" t="s">
        <v>211</v>
      </c>
      <c r="F41" s="5" t="s">
        <v>207</v>
      </c>
      <c r="G41" s="5" t="s">
        <v>208</v>
      </c>
      <c r="H41" s="5" t="s">
        <v>209</v>
      </c>
      <c r="I41" s="34">
        <f>AVERAGEA('Nongrowing season flux of other'!BH6,'Nongrowing season flux of other'!BH7,'Nongrowing season flux of other'!BH42)</f>
        <v>0.47717865901432682</v>
      </c>
      <c r="J41" s="34">
        <f>STDEVA('Nongrowing season flux of other'!BH6,'Nongrowing season flux of other'!BH7,'Nongrowing season flux of other'!BH42)/SQRT(COUNT('Nongrowing season flux of other'!BH6,'Nongrowing season flux of other'!BH7,'Nongrowing season flux of other'!BH42))*1.96</f>
        <v>0.10027686836636802</v>
      </c>
      <c r="K41" s="41">
        <f>COUNT('Nongrowing season flux of other'!BH6,'Nongrowing season flux of other'!BH7,'Nongrowing season flux of other'!BH42)</f>
        <v>3</v>
      </c>
      <c r="L41" s="25">
        <f t="shared" si="0"/>
        <v>0.37690179064795881</v>
      </c>
      <c r="M41" s="25">
        <f t="shared" si="1"/>
        <v>0.57745552738069483</v>
      </c>
    </row>
    <row r="42" spans="1:13" x14ac:dyDescent="0.3">
      <c r="A42" s="1" t="s">
        <v>185</v>
      </c>
      <c r="B42" s="1" t="s">
        <v>185</v>
      </c>
      <c r="C42" s="8" t="s">
        <v>215</v>
      </c>
      <c r="D42" s="5" t="s">
        <v>130</v>
      </c>
      <c r="E42" s="5" t="s">
        <v>238</v>
      </c>
      <c r="F42" s="5" t="s">
        <v>207</v>
      </c>
      <c r="G42" s="5" t="s">
        <v>208</v>
      </c>
      <c r="H42" s="5" t="s">
        <v>239</v>
      </c>
      <c r="I42" s="34">
        <f>I26</f>
        <v>0.42995695390524497</v>
      </c>
      <c r="J42" s="34">
        <f t="shared" ref="J42:K42" si="4">J26</f>
        <v>0.53021957782520779</v>
      </c>
      <c r="K42" s="41">
        <f t="shared" si="4"/>
        <v>3</v>
      </c>
      <c r="L42" s="25">
        <f t="shared" si="0"/>
        <v>-0.10026262391996282</v>
      </c>
      <c r="M42" s="25">
        <f t="shared" si="1"/>
        <v>0.9601765317304527</v>
      </c>
    </row>
    <row r="43" spans="1:13" x14ac:dyDescent="0.3">
      <c r="A43" s="5" t="s">
        <v>231</v>
      </c>
      <c r="B43" s="5" t="s">
        <v>188</v>
      </c>
      <c r="C43" s="8" t="s">
        <v>215</v>
      </c>
      <c r="D43" s="5" t="s">
        <v>130</v>
      </c>
      <c r="E43" s="5" t="s">
        <v>238</v>
      </c>
      <c r="F43" s="5" t="s">
        <v>207</v>
      </c>
      <c r="G43" s="5" t="s">
        <v>208</v>
      </c>
      <c r="H43" s="5" t="s">
        <v>239</v>
      </c>
      <c r="I43" s="34">
        <f>AVERAGEA('Nongrowing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f>
        <v>0.68279570560988367</v>
      </c>
      <c r="J43" s="34">
        <f>STDEVA('Nongrowing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other'!BH60)/SQRT(COUNT('Nongrowing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other'!BH60))*1.96</f>
        <v>9.1286968570633995E-2</v>
      </c>
      <c r="K43" s="41">
        <f>COUNT('Nongrowing season flux of other'!BH12,'Nongrowing season flux of other'!BH13,'Nongrowing season flux of other'!BH19,'Nongrowing season flux of other'!BH20,'Nongrowing season flux of other'!BH21,'Nongrowing season flux of other'!BH22,'Nongrowing season flux of other'!BH23,'Nongrowing season flux of other'!BH24,'Nongrowing season flux of other'!BH25,'Nongrowing season flux of other'!BH26,'Nongrowing season flux of other'!BH27,'Nongrowing season flux of other'!BH28,'Nongrowing season flux of other'!BH60)</f>
        <v>13</v>
      </c>
      <c r="L43" s="25">
        <f t="shared" si="0"/>
        <v>0.59150873703924967</v>
      </c>
      <c r="M43" s="25">
        <f t="shared" si="1"/>
        <v>0.77408267418051768</v>
      </c>
    </row>
    <row r="44" spans="1:13" x14ac:dyDescent="0.25">
      <c r="A44" s="1" t="s">
        <v>185</v>
      </c>
      <c r="B44" s="1" t="s">
        <v>185</v>
      </c>
      <c r="C44" s="1" t="s">
        <v>183</v>
      </c>
      <c r="D44" s="1" t="s">
        <v>175</v>
      </c>
      <c r="E44" s="1" t="s">
        <v>237</v>
      </c>
      <c r="F44" s="1" t="s">
        <v>191</v>
      </c>
      <c r="G44" s="1" t="s">
        <v>235</v>
      </c>
      <c r="H44" s="1" t="s">
        <v>176</v>
      </c>
      <c r="I44" s="34">
        <f>I26</f>
        <v>0.42995695390524497</v>
      </c>
      <c r="J44" s="34">
        <f t="shared" ref="J44:K44" si="5">J26</f>
        <v>0.53021957782520779</v>
      </c>
      <c r="K44" s="41">
        <f t="shared" si="5"/>
        <v>3</v>
      </c>
      <c r="L44" s="25">
        <f t="shared" si="0"/>
        <v>-0.10026262391996282</v>
      </c>
      <c r="M44" s="25">
        <f t="shared" si="1"/>
        <v>0.9601765317304527</v>
      </c>
    </row>
    <row r="45" spans="1:13" x14ac:dyDescent="0.25">
      <c r="A45" s="1" t="s">
        <v>173</v>
      </c>
      <c r="B45" s="1" t="s">
        <v>252</v>
      </c>
      <c r="C45" s="1" t="s">
        <v>183</v>
      </c>
      <c r="D45" s="1" t="s">
        <v>175</v>
      </c>
      <c r="E45" s="1" t="s">
        <v>237</v>
      </c>
      <c r="F45" s="1" t="s">
        <v>191</v>
      </c>
      <c r="G45" s="1" t="s">
        <v>235</v>
      </c>
      <c r="H45" s="1" t="s">
        <v>176</v>
      </c>
      <c r="I45" s="34">
        <f>AVERAGEA('Nongrowing season flux of other'!BH61)</f>
        <v>0.50301204819277101</v>
      </c>
      <c r="K45" s="41">
        <v>1</v>
      </c>
      <c r="L45" s="25">
        <f t="shared" si="0"/>
        <v>0.50301204819277101</v>
      </c>
      <c r="M45" s="25">
        <f t="shared" si="1"/>
        <v>0.50301204819277101</v>
      </c>
    </row>
    <row r="49" spans="1:13" x14ac:dyDescent="0.25">
      <c r="A49" s="1" t="s">
        <v>245</v>
      </c>
      <c r="H49" s="34"/>
    </row>
    <row r="50" spans="1:13" x14ac:dyDescent="0.3">
      <c r="A50" s="1" t="s">
        <v>185</v>
      </c>
      <c r="B50" s="1" t="s">
        <v>185</v>
      </c>
      <c r="C50" s="8" t="s">
        <v>215</v>
      </c>
      <c r="D50" s="5" t="s">
        <v>130</v>
      </c>
      <c r="E50" s="5" t="s">
        <v>238</v>
      </c>
      <c r="F50" s="5" t="s">
        <v>207</v>
      </c>
      <c r="G50" s="5" t="s">
        <v>208</v>
      </c>
      <c r="H50" s="5" t="s">
        <v>239</v>
      </c>
      <c r="I50" s="34">
        <f>AVERAGEA('[1]Nongrowing season flux of other'!BE3,'[1]Nongrowing season flux of other'!BE14,'[1]Nongrowing season flux of other'!BE15)</f>
        <v>0.21044436678639977</v>
      </c>
      <c r="J50" s="34">
        <f>STDEVA('[1]Nongrowing season flux of other'!BE3,'[1]Nongrowing season flux of other'!BE14,'[1]Nongrowing season flux of other'!BE15)</f>
        <v>4.7495179441869038</v>
      </c>
      <c r="K50" s="41">
        <f>COUNT('[1]Nongrowing season flux of other'!BE3,'[1]Nongrowing season flux of other'!BE14,'[1]Nongrowing season flux of other'!BE15)</f>
        <v>3</v>
      </c>
      <c r="L50" s="25">
        <f t="shared" ref="L50:L53" si="6">I50-J50</f>
        <v>-4.5390735774005044</v>
      </c>
      <c r="M50" s="25">
        <f t="shared" ref="M50:M53" si="7">I50+J50</f>
        <v>4.9599623109733031</v>
      </c>
    </row>
    <row r="51" spans="1:13" x14ac:dyDescent="0.3">
      <c r="A51" s="1" t="s">
        <v>173</v>
      </c>
      <c r="B51" s="14" t="s">
        <v>250</v>
      </c>
      <c r="C51" s="8" t="s">
        <v>215</v>
      </c>
      <c r="D51" s="5" t="s">
        <v>130</v>
      </c>
      <c r="E51" s="5" t="s">
        <v>238</v>
      </c>
      <c r="F51" s="5" t="s">
        <v>207</v>
      </c>
      <c r="G51" s="5" t="s">
        <v>208</v>
      </c>
      <c r="H51" s="5" t="s">
        <v>239</v>
      </c>
      <c r="I51" s="34">
        <f>AVERAGEA('[1]Nongrowing season flux of other'!BH3,'[1]Nongrowing season flux of other'!BH4,'[1]Nongrowing season flux of other'!BH5,'[1]Nongrowing season flux of other'!BH14,'[1]Nongrowing season flux of other'!BH15)</f>
        <v>0.24967482156868534</v>
      </c>
      <c r="J51" s="34">
        <f>STDEVA('[1]Nongrowing season flux of other'!BH3,'[1]Nongrowing season flux of other'!BH4,'[1]Nongrowing season flux of other'!BH5,'[1]Nongrowing season flux of other'!BH14,'[1]Nongrowing season flux of other'!BH15)</f>
        <v>0.5631747674800931</v>
      </c>
      <c r="K51" s="41">
        <f>COUNT('[1]Nongrowing season flux of other'!BH3,'[1]Nongrowing season flux of other'!BH4,'[1]Nongrowing season flux of other'!BH5,'[1]Nongrowing season flux of other'!BH14,'[1]Nongrowing season flux of other'!BH15)</f>
        <v>5</v>
      </c>
      <c r="L51" s="25">
        <f t="shared" si="6"/>
        <v>-0.31349994591140773</v>
      </c>
      <c r="M51" s="25">
        <f t="shared" si="7"/>
        <v>0.81284958904877846</v>
      </c>
    </row>
    <row r="52" spans="1:13" x14ac:dyDescent="0.3">
      <c r="A52" s="1" t="s">
        <v>185</v>
      </c>
      <c r="B52" s="1" t="s">
        <v>185</v>
      </c>
      <c r="C52" s="8" t="s">
        <v>174</v>
      </c>
      <c r="D52" s="5" t="s">
        <v>109</v>
      </c>
      <c r="E52" s="5" t="s">
        <v>109</v>
      </c>
      <c r="F52" s="5" t="s">
        <v>207</v>
      </c>
      <c r="G52" s="5" t="s">
        <v>109</v>
      </c>
      <c r="H52" s="5" t="s">
        <v>233</v>
      </c>
      <c r="I52" s="34">
        <f>I50</f>
        <v>0.21044436678639977</v>
      </c>
      <c r="J52" s="34">
        <f t="shared" ref="J52:K53" si="8">J50</f>
        <v>4.7495179441869038</v>
      </c>
      <c r="K52" s="41">
        <f t="shared" si="8"/>
        <v>3</v>
      </c>
      <c r="L52" s="25">
        <f t="shared" si="6"/>
        <v>-4.5390735774005044</v>
      </c>
      <c r="M52" s="25">
        <f t="shared" si="7"/>
        <v>4.9599623109733031</v>
      </c>
    </row>
    <row r="53" spans="1:13" x14ac:dyDescent="0.3">
      <c r="A53" s="1" t="s">
        <v>173</v>
      </c>
      <c r="B53" s="14" t="s">
        <v>250</v>
      </c>
      <c r="C53" s="8" t="s">
        <v>174</v>
      </c>
      <c r="D53" s="5" t="s">
        <v>109</v>
      </c>
      <c r="E53" s="5" t="s">
        <v>109</v>
      </c>
      <c r="F53" s="5" t="s">
        <v>207</v>
      </c>
      <c r="G53" s="5" t="s">
        <v>109</v>
      </c>
      <c r="H53" s="5" t="s">
        <v>233</v>
      </c>
      <c r="I53" s="34">
        <f>I51</f>
        <v>0.24967482156868534</v>
      </c>
      <c r="J53" s="34">
        <f t="shared" si="8"/>
        <v>0.5631747674800931</v>
      </c>
      <c r="K53" s="41">
        <f t="shared" si="8"/>
        <v>5</v>
      </c>
      <c r="L53" s="25">
        <f t="shared" si="6"/>
        <v>-0.31349994591140773</v>
      </c>
      <c r="M53" s="25">
        <f t="shared" si="7"/>
        <v>0.81284958904877846</v>
      </c>
    </row>
  </sheetData>
  <autoFilter ref="A1:M53" xr:uid="{1C2F1633-E906-41AC-842E-FDE873716707}"/>
  <phoneticPr fontId="1"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Nongrowing season flux of other</vt:lpstr>
      <vt:lpstr>Wet season flux for tropical</vt:lpstr>
      <vt:lpstr>Classess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Lei Ma</dc:creator>
  <cp:lastModifiedBy>Lei Ma</cp:lastModifiedBy>
  <dcterms:created xsi:type="dcterms:W3CDTF">2019-12-12T19:52:19Z</dcterms:created>
  <dcterms:modified xsi:type="dcterms:W3CDTF">2023-04-15T15:28:36Z</dcterms:modified>
</cp:coreProperties>
</file>