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ZU\IMK-IFU-KIT\H pan\Wetland_Drainage\Meta-analsysis results\Drainage manuscript_lei ma\Manuscript and data files\Submit version\Nature\"/>
    </mc:Choice>
  </mc:AlternateContent>
  <xr:revisionPtr revIDLastSave="0" documentId="13_ncr:1_{115FA2E7-37EC-478F-8DCA-7ECFD5F94081}" xr6:coauthVersionLast="47" xr6:coauthVersionMax="47" xr10:uidLastSave="{00000000-0000-0000-0000-000000000000}"/>
  <bookViews>
    <workbookView xWindow="-108" yWindow="-108" windowWidth="23256" windowHeight="12576" xr2:uid="{DC5362AA-3452-4324-82F5-BA9ED2F0B85C}"/>
  </bookViews>
  <sheets>
    <sheet name="GHG fluxes" sheetId="1" r:id="rId1"/>
    <sheet name="ditches CH4 N2O" sheetId="2" r:id="rId2"/>
    <sheet name="Peat extraction information" sheetId="3" r:id="rId3"/>
    <sheet name="SOC loss via peat extraction  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'GHG fluxes'!$A$1:$AL$446</definedName>
    <definedName name="_xlnm._FilterDatabase" localSheetId="3" hidden="1">'SOC loss via peat extraction  '!$A$1:$J$169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38" i="1" l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7" i="1"/>
  <c r="M386" i="1"/>
  <c r="M385" i="1"/>
  <c r="M384" i="1"/>
  <c r="M383" i="1"/>
  <c r="M382" i="1"/>
  <c r="M381" i="1"/>
  <c r="M335" i="1"/>
  <c r="M334" i="1"/>
  <c r="M333" i="1"/>
  <c r="M332" i="1"/>
  <c r="M331" i="1"/>
  <c r="M327" i="1"/>
  <c r="M326" i="1"/>
  <c r="M325" i="1"/>
  <c r="M324" i="1"/>
  <c r="M323" i="1"/>
  <c r="M322" i="1"/>
  <c r="M262" i="1"/>
  <c r="M251" i="1"/>
  <c r="M250" i="1"/>
  <c r="M227" i="1"/>
  <c r="M226" i="1"/>
  <c r="M225" i="1"/>
  <c r="M224" i="1"/>
  <c r="M196" i="1"/>
  <c r="M195" i="1"/>
  <c r="M180" i="1"/>
  <c r="M179" i="1"/>
  <c r="M178" i="1"/>
  <c r="M96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V445" i="1"/>
  <c r="J454" i="1"/>
  <c r="J451" i="1"/>
  <c r="J448" i="1"/>
  <c r="J445" i="1"/>
  <c r="F448" i="1"/>
  <c r="P144" i="4"/>
  <c r="F146" i="4"/>
  <c r="F59" i="4"/>
  <c r="C59" i="4"/>
  <c r="V451" i="1"/>
  <c r="V448" i="1"/>
  <c r="K448" i="1"/>
  <c r="J443" i="1"/>
  <c r="J442" i="1"/>
  <c r="J441" i="1"/>
  <c r="J440" i="1"/>
  <c r="J439" i="1"/>
  <c r="C485" i="1"/>
  <c r="C486" i="1" l="1"/>
  <c r="C484" i="1"/>
  <c r="C483" i="1"/>
  <c r="C482" i="1"/>
  <c r="AK451" i="1" l="1"/>
  <c r="V452" i="1" s="1"/>
  <c r="AK445" i="1"/>
  <c r="B34" i="3"/>
  <c r="AM454" i="1"/>
  <c r="AL454" i="1"/>
  <c r="AK454" i="1"/>
  <c r="J65" i="1"/>
  <c r="G57" i="4"/>
  <c r="E20" i="4"/>
  <c r="E57" i="4"/>
  <c r="F57" i="4"/>
  <c r="E55" i="4"/>
  <c r="F55" i="4"/>
  <c r="E56" i="4"/>
  <c r="F56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44" i="4"/>
  <c r="F44" i="4"/>
  <c r="E41" i="4"/>
  <c r="F41" i="4"/>
  <c r="G41" i="4"/>
  <c r="E42" i="4"/>
  <c r="F42" i="4"/>
  <c r="E43" i="4"/>
  <c r="F43" i="4"/>
  <c r="E38" i="4"/>
  <c r="F38" i="4"/>
  <c r="G38" i="4"/>
  <c r="E39" i="4"/>
  <c r="F39" i="4"/>
  <c r="G39" i="4"/>
  <c r="E40" i="4"/>
  <c r="F40" i="4"/>
  <c r="G40" i="4"/>
  <c r="B38" i="4"/>
  <c r="C38" i="4"/>
  <c r="B37" i="4"/>
  <c r="C37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B35" i="4"/>
  <c r="C35" i="4"/>
  <c r="D35" i="4"/>
  <c r="B36" i="4"/>
  <c r="C36" i="4"/>
  <c r="D36" i="4"/>
  <c r="B29" i="4"/>
  <c r="C29" i="4"/>
  <c r="D29" i="4"/>
  <c r="E138" i="4"/>
  <c r="F138" i="4"/>
  <c r="G138" i="4"/>
  <c r="E139" i="4"/>
  <c r="F139" i="4"/>
  <c r="G139" i="4"/>
  <c r="E140" i="4"/>
  <c r="E137" i="4"/>
  <c r="F137" i="4"/>
  <c r="G137" i="4"/>
  <c r="E136" i="4"/>
  <c r="F136" i="4"/>
  <c r="E134" i="4"/>
  <c r="F134" i="4"/>
  <c r="G134" i="4"/>
  <c r="E135" i="4"/>
  <c r="F135" i="4"/>
  <c r="E132" i="4"/>
  <c r="F132" i="4"/>
  <c r="G132" i="4"/>
  <c r="E133" i="4"/>
  <c r="F133" i="4"/>
  <c r="G133" i="4"/>
  <c r="E131" i="4"/>
  <c r="F131" i="4"/>
  <c r="G131" i="4"/>
  <c r="B144" i="4"/>
  <c r="C144" i="4"/>
  <c r="B143" i="4"/>
  <c r="C143" i="4"/>
  <c r="D143" i="4"/>
  <c r="B142" i="4"/>
  <c r="C142" i="4"/>
  <c r="D142" i="4"/>
  <c r="B140" i="4"/>
  <c r="C140" i="4"/>
  <c r="D140" i="4"/>
  <c r="B141" i="4"/>
  <c r="C141" i="4"/>
  <c r="D141" i="4"/>
  <c r="B139" i="4"/>
  <c r="C139" i="4"/>
  <c r="D139" i="4"/>
  <c r="B138" i="4"/>
  <c r="C138" i="4"/>
  <c r="D138" i="4"/>
  <c r="B137" i="4"/>
  <c r="C137" i="4"/>
  <c r="D137" i="4"/>
  <c r="B136" i="4"/>
  <c r="C136" i="4"/>
  <c r="D136" i="4"/>
  <c r="B135" i="4"/>
  <c r="C135" i="4"/>
  <c r="D135" i="4"/>
  <c r="B134" i="4"/>
  <c r="C134" i="4"/>
  <c r="J134" i="4" s="1"/>
  <c r="D134" i="4"/>
  <c r="V446" i="1" l="1"/>
  <c r="J139" i="4"/>
  <c r="J137" i="4"/>
  <c r="J135" i="4"/>
  <c r="J136" i="4"/>
  <c r="J38" i="4"/>
  <c r="J138" i="4"/>
  <c r="G140" i="4"/>
  <c r="F140" i="4"/>
  <c r="J140" i="4" s="1"/>
  <c r="D144" i="4"/>
  <c r="G136" i="4" l="1"/>
  <c r="G135" i="4" l="1"/>
  <c r="G55" i="4" l="1"/>
  <c r="G52" i="4"/>
  <c r="G48" i="4"/>
  <c r="G53" i="4"/>
  <c r="G45" i="4"/>
  <c r="G47" i="4"/>
  <c r="G49" i="4"/>
  <c r="G42" i="4"/>
  <c r="G54" i="4"/>
  <c r="G51" i="4"/>
  <c r="G56" i="4"/>
  <c r="G50" i="4"/>
  <c r="G46" i="4"/>
  <c r="G44" i="4"/>
  <c r="G43" i="4"/>
  <c r="D38" i="4" l="1"/>
  <c r="D34" i="4"/>
  <c r="D37" i="4"/>
  <c r="E101" i="4" l="1"/>
  <c r="F101" i="4"/>
  <c r="G101" i="4"/>
  <c r="E102" i="4"/>
  <c r="F102" i="4"/>
  <c r="G102" i="4"/>
  <c r="E100" i="4"/>
  <c r="F100" i="4"/>
  <c r="G100" i="4"/>
  <c r="F99" i="4"/>
  <c r="G99" i="4"/>
  <c r="F98" i="4"/>
  <c r="G98" i="4"/>
  <c r="F96" i="4"/>
  <c r="G96" i="4"/>
  <c r="F97" i="4"/>
  <c r="G97" i="4"/>
  <c r="E95" i="4"/>
  <c r="F95" i="4"/>
  <c r="G95" i="4"/>
  <c r="E94" i="4"/>
  <c r="F94" i="4"/>
  <c r="G94" i="4"/>
  <c r="E93" i="4"/>
  <c r="F93" i="4"/>
  <c r="G93" i="4"/>
  <c r="E92" i="4"/>
  <c r="F92" i="4"/>
  <c r="G92" i="4"/>
  <c r="E91" i="4"/>
  <c r="F91" i="4"/>
  <c r="G91" i="4"/>
  <c r="B115" i="4"/>
  <c r="C115" i="4"/>
  <c r="D115" i="4"/>
  <c r="B116" i="4"/>
  <c r="C116" i="4"/>
  <c r="D116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B112" i="4"/>
  <c r="C112" i="4"/>
  <c r="D112" i="4"/>
  <c r="B113" i="4"/>
  <c r="C113" i="4"/>
  <c r="D113" i="4"/>
  <c r="B114" i="4"/>
  <c r="C114" i="4"/>
  <c r="D114" i="4"/>
  <c r="B107" i="4"/>
  <c r="C107" i="4"/>
  <c r="D107" i="4"/>
  <c r="B106" i="4"/>
  <c r="C106" i="4"/>
  <c r="D106" i="4"/>
  <c r="B105" i="4"/>
  <c r="C105" i="4"/>
  <c r="D105" i="4"/>
  <c r="B104" i="4"/>
  <c r="C104" i="4"/>
  <c r="D104" i="4"/>
  <c r="B103" i="4"/>
  <c r="C103" i="4"/>
  <c r="D103" i="4"/>
  <c r="B102" i="4"/>
  <c r="C102" i="4"/>
  <c r="D102" i="4"/>
  <c r="B101" i="4"/>
  <c r="C101" i="4"/>
  <c r="D101" i="4"/>
  <c r="B100" i="4"/>
  <c r="C100" i="4"/>
  <c r="D100" i="4"/>
  <c r="B99" i="4"/>
  <c r="C99" i="4"/>
  <c r="D99" i="4"/>
  <c r="B98" i="4"/>
  <c r="C98" i="4"/>
  <c r="D98" i="4"/>
  <c r="B97" i="4"/>
  <c r="C97" i="4"/>
  <c r="D97" i="4"/>
  <c r="E34" i="4"/>
  <c r="F34" i="4"/>
  <c r="J34" i="4" s="1"/>
  <c r="G34" i="4"/>
  <c r="E35" i="4"/>
  <c r="F35" i="4"/>
  <c r="J35" i="4" s="1"/>
  <c r="G35" i="4"/>
  <c r="E36" i="4"/>
  <c r="F36" i="4"/>
  <c r="J36" i="4" s="1"/>
  <c r="G36" i="4"/>
  <c r="E37" i="4"/>
  <c r="F37" i="4"/>
  <c r="J37" i="4" s="1"/>
  <c r="G37" i="4"/>
  <c r="E32" i="4"/>
  <c r="F32" i="4"/>
  <c r="J32" i="4" s="1"/>
  <c r="G32" i="4"/>
  <c r="E33" i="4"/>
  <c r="F33" i="4"/>
  <c r="J33" i="4" s="1"/>
  <c r="G33" i="4"/>
  <c r="E31" i="4"/>
  <c r="F31" i="4"/>
  <c r="J31" i="4" s="1"/>
  <c r="E30" i="4"/>
  <c r="F30" i="4"/>
  <c r="J30" i="4" s="1"/>
  <c r="E27" i="4"/>
  <c r="F27" i="4"/>
  <c r="G27" i="4"/>
  <c r="E28" i="4"/>
  <c r="F28" i="4"/>
  <c r="G28" i="4"/>
  <c r="E29" i="4"/>
  <c r="F29" i="4"/>
  <c r="J29" i="4" s="1"/>
  <c r="G29" i="4"/>
  <c r="B27" i="4"/>
  <c r="C27" i="4"/>
  <c r="D27" i="4"/>
  <c r="B28" i="4"/>
  <c r="C28" i="4"/>
  <c r="D28" i="4"/>
  <c r="B24" i="4"/>
  <c r="C24" i="4"/>
  <c r="B25" i="4"/>
  <c r="C25" i="4"/>
  <c r="B26" i="4"/>
  <c r="C26" i="4"/>
  <c r="B23" i="4"/>
  <c r="C23" i="4"/>
  <c r="D23" i="4"/>
  <c r="B22" i="4"/>
  <c r="C22" i="4"/>
  <c r="D22" i="4"/>
  <c r="B21" i="4"/>
  <c r="C21" i="4"/>
  <c r="B17" i="4"/>
  <c r="C17" i="4"/>
  <c r="D17" i="4"/>
  <c r="B18" i="4"/>
  <c r="C18" i="4"/>
  <c r="D18" i="4"/>
  <c r="B19" i="4"/>
  <c r="C19" i="4"/>
  <c r="D19" i="4"/>
  <c r="B20" i="4"/>
  <c r="C20" i="4"/>
  <c r="D20" i="4"/>
  <c r="J101" i="4" l="1"/>
  <c r="J98" i="4"/>
  <c r="J28" i="4"/>
  <c r="J99" i="4"/>
  <c r="J102" i="4"/>
  <c r="J27" i="4"/>
  <c r="J97" i="4"/>
  <c r="J100" i="4"/>
  <c r="F26" i="4"/>
  <c r="J26" i="4" s="1"/>
  <c r="E129" i="4" l="1"/>
  <c r="F129" i="4"/>
  <c r="E130" i="4"/>
  <c r="F130" i="4"/>
  <c r="E128" i="4"/>
  <c r="F128" i="4"/>
  <c r="G128" i="4"/>
  <c r="E127" i="4"/>
  <c r="F127" i="4"/>
  <c r="G127" i="4"/>
  <c r="E126" i="4"/>
  <c r="F126" i="4"/>
  <c r="G126" i="4"/>
  <c r="E125" i="4"/>
  <c r="F125" i="4"/>
  <c r="E124" i="4"/>
  <c r="F124" i="4"/>
  <c r="G124" i="4"/>
  <c r="E123" i="4"/>
  <c r="F123" i="4"/>
  <c r="B133" i="4"/>
  <c r="C133" i="4"/>
  <c r="J133" i="4" s="1"/>
  <c r="D133" i="4"/>
  <c r="B132" i="4"/>
  <c r="C132" i="4"/>
  <c r="J132" i="4" s="1"/>
  <c r="D132" i="4"/>
  <c r="B131" i="4"/>
  <c r="C131" i="4"/>
  <c r="J131" i="4" s="1"/>
  <c r="D131" i="4"/>
  <c r="B130" i="4"/>
  <c r="C130" i="4"/>
  <c r="B129" i="4"/>
  <c r="C129" i="4"/>
  <c r="D129" i="4"/>
  <c r="B128" i="4"/>
  <c r="C128" i="4"/>
  <c r="D128" i="4"/>
  <c r="B127" i="4"/>
  <c r="C127" i="4"/>
  <c r="D127" i="4"/>
  <c r="B126" i="4"/>
  <c r="C126" i="4"/>
  <c r="B125" i="4"/>
  <c r="C125" i="4"/>
  <c r="J125" i="4" s="1"/>
  <c r="D125" i="4"/>
  <c r="B124" i="4"/>
  <c r="C124" i="4"/>
  <c r="D124" i="4"/>
  <c r="B123" i="4"/>
  <c r="C123" i="4"/>
  <c r="D123" i="4"/>
  <c r="E90" i="4"/>
  <c r="F90" i="4"/>
  <c r="G90" i="4"/>
  <c r="E88" i="4"/>
  <c r="F88" i="4"/>
  <c r="G88" i="4"/>
  <c r="E89" i="4"/>
  <c r="F89" i="4"/>
  <c r="G89" i="4"/>
  <c r="E87" i="4"/>
  <c r="F87" i="4"/>
  <c r="G87" i="4"/>
  <c r="E85" i="4"/>
  <c r="F85" i="4"/>
  <c r="G85" i="4"/>
  <c r="E86" i="4"/>
  <c r="F86" i="4"/>
  <c r="G86" i="4"/>
  <c r="E84" i="4"/>
  <c r="F84" i="4"/>
  <c r="G84" i="4"/>
  <c r="E83" i="4"/>
  <c r="F83" i="4"/>
  <c r="E82" i="4"/>
  <c r="F82" i="4"/>
  <c r="G82" i="4"/>
  <c r="E81" i="4"/>
  <c r="F81" i="4"/>
  <c r="G81" i="4"/>
  <c r="E77" i="4"/>
  <c r="F77" i="4"/>
  <c r="G77" i="4"/>
  <c r="E78" i="4"/>
  <c r="F78" i="4"/>
  <c r="G78" i="4"/>
  <c r="E79" i="4"/>
  <c r="F79" i="4"/>
  <c r="G79" i="4"/>
  <c r="E80" i="4"/>
  <c r="E76" i="4"/>
  <c r="F76" i="4"/>
  <c r="G76" i="4"/>
  <c r="E75" i="4"/>
  <c r="F75" i="4"/>
  <c r="G75" i="4"/>
  <c r="E69" i="4"/>
  <c r="F69" i="4"/>
  <c r="G69" i="4"/>
  <c r="E70" i="4"/>
  <c r="F70" i="4"/>
  <c r="G70" i="4"/>
  <c r="E71" i="4"/>
  <c r="F71" i="4"/>
  <c r="G71" i="4"/>
  <c r="E72" i="4"/>
  <c r="F72" i="4"/>
  <c r="G72" i="4"/>
  <c r="E73" i="4"/>
  <c r="F73" i="4"/>
  <c r="G73" i="4"/>
  <c r="E74" i="4"/>
  <c r="F74" i="4"/>
  <c r="G74" i="4"/>
  <c r="E68" i="4"/>
  <c r="F68" i="4"/>
  <c r="G68" i="4"/>
  <c r="E67" i="4"/>
  <c r="F67" i="4"/>
  <c r="G67" i="4"/>
  <c r="E65" i="4"/>
  <c r="F65" i="4"/>
  <c r="G65" i="4"/>
  <c r="E66" i="4"/>
  <c r="F66" i="4"/>
  <c r="G66" i="4"/>
  <c r="B96" i="4"/>
  <c r="C96" i="4"/>
  <c r="J96" i="4" s="1"/>
  <c r="B95" i="4"/>
  <c r="C95" i="4"/>
  <c r="J95" i="4" s="1"/>
  <c r="D95" i="4"/>
  <c r="B94" i="4"/>
  <c r="C94" i="4"/>
  <c r="J94" i="4" s="1"/>
  <c r="D94" i="4"/>
  <c r="B92" i="4"/>
  <c r="C92" i="4"/>
  <c r="J92" i="4" s="1"/>
  <c r="D92" i="4"/>
  <c r="B93" i="4"/>
  <c r="C93" i="4"/>
  <c r="J93" i="4" s="1"/>
  <c r="D93" i="4"/>
  <c r="B91" i="4"/>
  <c r="C91" i="4"/>
  <c r="J91" i="4" s="1"/>
  <c r="D91" i="4"/>
  <c r="B90" i="4"/>
  <c r="C90" i="4"/>
  <c r="B89" i="4"/>
  <c r="C89" i="4"/>
  <c r="J89" i="4" s="1"/>
  <c r="D89" i="4"/>
  <c r="B86" i="4"/>
  <c r="C86" i="4"/>
  <c r="B87" i="4"/>
  <c r="C87" i="4"/>
  <c r="B88" i="4"/>
  <c r="C88" i="4"/>
  <c r="D88" i="4"/>
  <c r="B85" i="4"/>
  <c r="C85" i="4"/>
  <c r="D85" i="4"/>
  <c r="B84" i="4"/>
  <c r="C84" i="4"/>
  <c r="D84" i="4"/>
  <c r="B79" i="4"/>
  <c r="C79" i="4"/>
  <c r="D79" i="4"/>
  <c r="B80" i="4"/>
  <c r="C80" i="4"/>
  <c r="D80" i="4"/>
  <c r="B81" i="4"/>
  <c r="C81" i="4"/>
  <c r="D81" i="4"/>
  <c r="B82" i="4"/>
  <c r="B83" i="4"/>
  <c r="B77" i="4"/>
  <c r="C77" i="4"/>
  <c r="B78" i="4"/>
  <c r="C78" i="4"/>
  <c r="B76" i="4"/>
  <c r="C76" i="4"/>
  <c r="D76" i="4"/>
  <c r="B75" i="4"/>
  <c r="C75" i="4"/>
  <c r="D75" i="4"/>
  <c r="B69" i="4"/>
  <c r="C69" i="4"/>
  <c r="D69" i="4"/>
  <c r="B70" i="4"/>
  <c r="C70" i="4"/>
  <c r="D70" i="4"/>
  <c r="B71" i="4"/>
  <c r="C71" i="4"/>
  <c r="D71" i="4"/>
  <c r="B72" i="4"/>
  <c r="C72" i="4"/>
  <c r="D72" i="4"/>
  <c r="B73" i="4"/>
  <c r="C73" i="4"/>
  <c r="D73" i="4"/>
  <c r="B74" i="4"/>
  <c r="C74" i="4"/>
  <c r="D74" i="4"/>
  <c r="B68" i="4"/>
  <c r="C68" i="4"/>
  <c r="B67" i="4"/>
  <c r="C67" i="4"/>
  <c r="D67" i="4"/>
  <c r="B65" i="4"/>
  <c r="C65" i="4"/>
  <c r="D65" i="4"/>
  <c r="B66" i="4"/>
  <c r="C66" i="4"/>
  <c r="D66" i="4"/>
  <c r="E25" i="4"/>
  <c r="F25" i="4"/>
  <c r="J25" i="4" s="1"/>
  <c r="E24" i="4"/>
  <c r="F24" i="4"/>
  <c r="J24" i="4" s="1"/>
  <c r="E19" i="4"/>
  <c r="F19" i="4"/>
  <c r="J19" i="4" s="1"/>
  <c r="F20" i="4"/>
  <c r="J20" i="4" s="1"/>
  <c r="E21" i="4"/>
  <c r="F21" i="4"/>
  <c r="J21" i="4" s="1"/>
  <c r="E22" i="4"/>
  <c r="F22" i="4"/>
  <c r="J22" i="4" s="1"/>
  <c r="E23" i="4"/>
  <c r="F23" i="4"/>
  <c r="J23" i="4" s="1"/>
  <c r="E14" i="4"/>
  <c r="F14" i="4"/>
  <c r="E15" i="4"/>
  <c r="F15" i="4"/>
  <c r="E16" i="4"/>
  <c r="F16" i="4"/>
  <c r="E17" i="4"/>
  <c r="F17" i="4"/>
  <c r="J17" i="4" s="1"/>
  <c r="E18" i="4"/>
  <c r="F18" i="4"/>
  <c r="J18" i="4" s="1"/>
  <c r="E13" i="4"/>
  <c r="F13" i="4"/>
  <c r="E12" i="4"/>
  <c r="F12" i="4"/>
  <c r="E11" i="4"/>
  <c r="F11" i="4"/>
  <c r="G11" i="4"/>
  <c r="E7" i="4"/>
  <c r="F7" i="4"/>
  <c r="E8" i="4"/>
  <c r="F8" i="4"/>
  <c r="E9" i="4"/>
  <c r="F9" i="4"/>
  <c r="E10" i="4"/>
  <c r="F10" i="4"/>
  <c r="E3" i="4"/>
  <c r="F3" i="4"/>
  <c r="G3" i="4"/>
  <c r="E4" i="4"/>
  <c r="F4" i="4"/>
  <c r="G4" i="4"/>
  <c r="E5" i="4"/>
  <c r="F5" i="4"/>
  <c r="G5" i="4"/>
  <c r="E6" i="4"/>
  <c r="F6" i="4"/>
  <c r="G6" i="4"/>
  <c r="B16" i="4"/>
  <c r="C16" i="4"/>
  <c r="B15" i="4"/>
  <c r="C15" i="4"/>
  <c r="B14" i="4"/>
  <c r="C14" i="4"/>
  <c r="B13" i="4"/>
  <c r="C13" i="4"/>
  <c r="B12" i="4"/>
  <c r="C12" i="4"/>
  <c r="B10" i="4"/>
  <c r="C10" i="4"/>
  <c r="J10" i="4" s="1"/>
  <c r="D10" i="4"/>
  <c r="B11" i="4"/>
  <c r="C11" i="4"/>
  <c r="B8" i="4"/>
  <c r="C8" i="4"/>
  <c r="D8" i="4"/>
  <c r="B9" i="4"/>
  <c r="C9" i="4"/>
  <c r="D9" i="4"/>
  <c r="B4" i="4"/>
  <c r="C4" i="4"/>
  <c r="D4" i="4"/>
  <c r="B5" i="4"/>
  <c r="C5" i="4"/>
  <c r="D5" i="4"/>
  <c r="B6" i="4"/>
  <c r="C6" i="4"/>
  <c r="D6" i="4"/>
  <c r="B7" i="4"/>
  <c r="C7" i="4"/>
  <c r="D7" i="4"/>
  <c r="B3" i="4"/>
  <c r="C3" i="4"/>
  <c r="D3" i="4"/>
  <c r="J78" i="4" l="1"/>
  <c r="J87" i="4"/>
  <c r="J70" i="4"/>
  <c r="J90" i="4"/>
  <c r="J69" i="4"/>
  <c r="J65" i="4"/>
  <c r="J77" i="4"/>
  <c r="J72" i="4"/>
  <c r="J129" i="4"/>
  <c r="J130" i="4"/>
  <c r="J13" i="4"/>
  <c r="J75" i="4"/>
  <c r="J67" i="4"/>
  <c r="J14" i="4"/>
  <c r="J66" i="4"/>
  <c r="J81" i="4"/>
  <c r="J5" i="4"/>
  <c r="J74" i="4"/>
  <c r="J85" i="4"/>
  <c r="J7" i="4"/>
  <c r="J12" i="4"/>
  <c r="J73" i="4"/>
  <c r="J128" i="4"/>
  <c r="J16" i="4"/>
  <c r="J4" i="4"/>
  <c r="J124" i="4"/>
  <c r="J127" i="4"/>
  <c r="J71" i="4"/>
  <c r="J11" i="4"/>
  <c r="J79" i="4"/>
  <c r="J88" i="4"/>
  <c r="C25" i="3"/>
  <c r="J3" i="4"/>
  <c r="J84" i="4"/>
  <c r="J8" i="4"/>
  <c r="J86" i="4"/>
  <c r="J6" i="4"/>
  <c r="J68" i="4"/>
  <c r="J76" i="4"/>
  <c r="J123" i="4"/>
  <c r="J126" i="4"/>
  <c r="J9" i="4"/>
  <c r="J15" i="4"/>
  <c r="E25" i="3"/>
  <c r="F60" i="4"/>
  <c r="F25" i="3" s="1"/>
  <c r="F147" i="4"/>
  <c r="F27" i="3" s="1"/>
  <c r="E27" i="3"/>
  <c r="C60" i="4"/>
  <c r="D25" i="3" s="1"/>
  <c r="C147" i="4"/>
  <c r="D27" i="3" s="1"/>
  <c r="C146" i="4"/>
  <c r="C27" i="3" s="1"/>
  <c r="C29" i="3" l="1"/>
  <c r="C31" i="3"/>
  <c r="D29" i="3"/>
  <c r="D31" i="3"/>
  <c r="AL451" i="1" l="1"/>
  <c r="AL448" i="1"/>
  <c r="AK448" i="1"/>
  <c r="AL445" i="1"/>
  <c r="W445" i="1"/>
  <c r="K451" i="1"/>
  <c r="K445" i="1"/>
  <c r="F66" i="1"/>
  <c r="F67" i="1"/>
  <c r="F68" i="1"/>
  <c r="F69" i="1"/>
  <c r="F70" i="1"/>
  <c r="F71" i="1"/>
  <c r="F72" i="1"/>
  <c r="F65" i="1"/>
  <c r="H10" i="3"/>
  <c r="AA4" i="3"/>
  <c r="AB10" i="3"/>
  <c r="AB4" i="3"/>
  <c r="E9" i="3"/>
  <c r="E10" i="3" s="1"/>
  <c r="E7" i="3"/>
  <c r="E6" i="3"/>
  <c r="E5" i="3"/>
  <c r="G7" i="3"/>
  <c r="U9" i="3"/>
  <c r="U10" i="3" s="1"/>
  <c r="U7" i="3"/>
  <c r="U6" i="3"/>
  <c r="U16" i="3" s="1"/>
  <c r="D10" i="3"/>
  <c r="G10" i="3"/>
  <c r="I10" i="3"/>
  <c r="L10" i="3"/>
  <c r="M10" i="3"/>
  <c r="Q10" i="3"/>
  <c r="R10" i="3"/>
  <c r="B10" i="3"/>
  <c r="Y15" i="3"/>
  <c r="AA9" i="3"/>
  <c r="AA10" i="3" s="1"/>
  <c r="V25" i="3"/>
  <c r="L24" i="3"/>
  <c r="L25" i="3" s="1"/>
  <c r="Y9" i="3"/>
  <c r="Y10" i="3" s="1"/>
  <c r="X4" i="3"/>
  <c r="X3" i="3"/>
  <c r="W446" i="1" l="1"/>
  <c r="AD10" i="3"/>
  <c r="AE10" i="3"/>
  <c r="X7" i="3"/>
  <c r="G31" i="3" l="1"/>
  <c r="G29" i="3"/>
  <c r="F31" i="3"/>
  <c r="F29" i="3"/>
  <c r="AH436" i="1"/>
  <c r="AH435" i="1"/>
  <c r="AH437" i="1"/>
  <c r="AH438" i="1"/>
  <c r="AH434" i="1"/>
  <c r="W438" i="1"/>
  <c r="W437" i="1"/>
  <c r="W436" i="1"/>
  <c r="W435" i="1"/>
  <c r="W434" i="1"/>
  <c r="V438" i="1"/>
  <c r="V437" i="1"/>
  <c r="V436" i="1"/>
  <c r="V435" i="1"/>
  <c r="V434" i="1"/>
  <c r="S438" i="1"/>
  <c r="S437" i="1"/>
  <c r="S436" i="1"/>
  <c r="S435" i="1"/>
  <c r="S434" i="1"/>
  <c r="R438" i="1"/>
  <c r="R437" i="1"/>
  <c r="R436" i="1"/>
  <c r="R435" i="1"/>
  <c r="R434" i="1"/>
  <c r="O438" i="1"/>
  <c r="O437" i="1"/>
  <c r="O436" i="1"/>
  <c r="O435" i="1"/>
  <c r="O434" i="1"/>
  <c r="N438" i="1"/>
  <c r="N437" i="1"/>
  <c r="N436" i="1"/>
  <c r="N435" i="1"/>
  <c r="N434" i="1"/>
  <c r="K438" i="1"/>
  <c r="K437" i="1"/>
  <c r="K436" i="1"/>
  <c r="K435" i="1"/>
  <c r="J438" i="1"/>
  <c r="J437" i="1"/>
  <c r="J436" i="1"/>
  <c r="J435" i="1"/>
  <c r="K434" i="1"/>
  <c r="J434" i="1"/>
  <c r="N433" i="1"/>
  <c r="R432" i="1"/>
  <c r="R431" i="1"/>
  <c r="R430" i="1"/>
  <c r="R429" i="1"/>
  <c r="R428" i="1"/>
  <c r="N432" i="1"/>
  <c r="N431" i="1"/>
  <c r="N430" i="1"/>
  <c r="N429" i="1"/>
  <c r="N428" i="1"/>
  <c r="O427" i="1"/>
  <c r="O426" i="1"/>
  <c r="N427" i="1"/>
  <c r="N426" i="1"/>
  <c r="W425" i="1"/>
  <c r="W424" i="1"/>
  <c r="V425" i="1"/>
  <c r="V424" i="1"/>
  <c r="O425" i="1"/>
  <c r="O424" i="1"/>
  <c r="N425" i="1"/>
  <c r="N424" i="1"/>
  <c r="R423" i="1"/>
  <c r="R422" i="1"/>
  <c r="R421" i="1"/>
  <c r="R420" i="1"/>
  <c r="R419" i="1"/>
  <c r="R418" i="1"/>
  <c r="R417" i="1"/>
  <c r="N423" i="1"/>
  <c r="N422" i="1"/>
  <c r="N421" i="1"/>
  <c r="N420" i="1"/>
  <c r="N419" i="1"/>
  <c r="N418" i="1"/>
  <c r="N417" i="1"/>
  <c r="R416" i="1"/>
  <c r="R415" i="1"/>
  <c r="R414" i="1"/>
  <c r="R413" i="1"/>
  <c r="R412" i="1"/>
  <c r="R411" i="1"/>
  <c r="N416" i="1"/>
  <c r="N415" i="1"/>
  <c r="N414" i="1"/>
  <c r="N413" i="1"/>
  <c r="N412" i="1"/>
  <c r="N411" i="1"/>
  <c r="O410" i="1"/>
  <c r="N410" i="1"/>
  <c r="O409" i="1"/>
  <c r="N409" i="1"/>
  <c r="O408" i="1"/>
  <c r="N408" i="1"/>
  <c r="O407" i="1"/>
  <c r="N407" i="1"/>
  <c r="O406" i="1"/>
  <c r="N406" i="1"/>
  <c r="O405" i="1"/>
  <c r="N405" i="1"/>
  <c r="O404" i="1"/>
  <c r="N404" i="1"/>
  <c r="O403" i="1"/>
  <c r="N403" i="1"/>
  <c r="O402" i="1"/>
  <c r="O401" i="1"/>
  <c r="O400" i="1"/>
  <c r="O399" i="1"/>
  <c r="O398" i="1"/>
  <c r="N402" i="1"/>
  <c r="N401" i="1"/>
  <c r="N400" i="1"/>
  <c r="N399" i="1"/>
  <c r="N398" i="1"/>
  <c r="V397" i="1"/>
  <c r="Z397" i="1"/>
  <c r="S397" i="1"/>
  <c r="S445" i="1" s="1"/>
  <c r="R397" i="1"/>
  <c r="R445" i="1" s="1"/>
  <c r="O397" i="1"/>
  <c r="N397" i="1"/>
  <c r="R396" i="1"/>
  <c r="R395" i="1"/>
  <c r="R394" i="1"/>
  <c r="R393" i="1"/>
  <c r="R392" i="1"/>
  <c r="R391" i="1"/>
  <c r="R390" i="1"/>
  <c r="R389" i="1"/>
  <c r="N396" i="1"/>
  <c r="N395" i="1"/>
  <c r="N394" i="1"/>
  <c r="N392" i="1"/>
  <c r="N391" i="1"/>
  <c r="N390" i="1"/>
  <c r="N393" i="1"/>
  <c r="N389" i="1"/>
  <c r="N387" i="1"/>
  <c r="N386" i="1"/>
  <c r="N385" i="1"/>
  <c r="N384" i="1"/>
  <c r="N383" i="1"/>
  <c r="N382" i="1"/>
  <c r="N381" i="1"/>
  <c r="AE388" i="1"/>
  <c r="AE387" i="1"/>
  <c r="AE386" i="1"/>
  <c r="AE385" i="1"/>
  <c r="AE384" i="1"/>
  <c r="AE383" i="1"/>
  <c r="AE382" i="1"/>
  <c r="AE381" i="1"/>
  <c r="AD386" i="1"/>
  <c r="AD387" i="1"/>
  <c r="AD388" i="1"/>
  <c r="AD385" i="1"/>
  <c r="AD384" i="1"/>
  <c r="AD383" i="1"/>
  <c r="AD382" i="1"/>
  <c r="AD381" i="1"/>
  <c r="AA388" i="1"/>
  <c r="AA387" i="1"/>
  <c r="AA386" i="1"/>
  <c r="AA385" i="1"/>
  <c r="AA384" i="1"/>
  <c r="AA383" i="1"/>
  <c r="AA382" i="1"/>
  <c r="AA381" i="1"/>
  <c r="Z388" i="1"/>
  <c r="Z387" i="1"/>
  <c r="Z386" i="1"/>
  <c r="Z385" i="1"/>
  <c r="Z384" i="1"/>
  <c r="Z383" i="1"/>
  <c r="Z382" i="1"/>
  <c r="Z381" i="1"/>
  <c r="X9" i="2"/>
  <c r="X17" i="2"/>
  <c r="X19" i="2"/>
  <c r="X25" i="2"/>
  <c r="X2" i="2"/>
  <c r="W3" i="2"/>
  <c r="X3" i="2" s="1"/>
  <c r="W4" i="2"/>
  <c r="X4" i="2" s="1"/>
  <c r="W5" i="2"/>
  <c r="X5" i="2" s="1"/>
  <c r="W6" i="2"/>
  <c r="X6" i="2" s="1"/>
  <c r="W7" i="2"/>
  <c r="X7" i="2" s="1"/>
  <c r="W8" i="2"/>
  <c r="X8" i="2" s="1"/>
  <c r="W9" i="2"/>
  <c r="W10" i="2"/>
  <c r="X10" i="2" s="1"/>
  <c r="W11" i="2"/>
  <c r="X11" i="2" s="1"/>
  <c r="W12" i="2"/>
  <c r="X12" i="2" s="1"/>
  <c r="W13" i="2"/>
  <c r="X13" i="2" s="1"/>
  <c r="W14" i="2"/>
  <c r="X14" i="2" s="1"/>
  <c r="W15" i="2"/>
  <c r="X15" i="2" s="1"/>
  <c r="W16" i="2"/>
  <c r="X16" i="2" s="1"/>
  <c r="W17" i="2"/>
  <c r="W18" i="2"/>
  <c r="X18" i="2" s="1"/>
  <c r="W19" i="2"/>
  <c r="W20" i="2"/>
  <c r="X20" i="2" s="1"/>
  <c r="W21" i="2"/>
  <c r="X21" i="2" s="1"/>
  <c r="W22" i="2"/>
  <c r="X22" i="2" s="1"/>
  <c r="W23" i="2"/>
  <c r="X23" i="2" s="1"/>
  <c r="W24" i="2"/>
  <c r="X24" i="2" s="1"/>
  <c r="W25" i="2"/>
  <c r="W26" i="2"/>
  <c r="X26" i="2" s="1"/>
  <c r="W2" i="2"/>
  <c r="AH354" i="1"/>
  <c r="Z355" i="1"/>
  <c r="Z354" i="1"/>
  <c r="AA353" i="1"/>
  <c r="AA352" i="1"/>
  <c r="Z353" i="1"/>
  <c r="Z352" i="1"/>
  <c r="V352" i="1"/>
  <c r="J351" i="1"/>
  <c r="J350" i="1"/>
  <c r="S451" i="1" l="1"/>
  <c r="R451" i="1"/>
  <c r="T454" i="1"/>
  <c r="S454" i="1"/>
  <c r="R454" i="1"/>
  <c r="S448" i="1"/>
  <c r="R448" i="1"/>
  <c r="AE445" i="1"/>
  <c r="AD445" i="1"/>
  <c r="AD446" i="1" s="1"/>
  <c r="AH349" i="1"/>
  <c r="AE349" i="1"/>
  <c r="AD349" i="1"/>
  <c r="AA349" i="1"/>
  <c r="Z349" i="1"/>
  <c r="W349" i="1"/>
  <c r="V349" i="1"/>
  <c r="AA344" i="1"/>
  <c r="Z344" i="1"/>
  <c r="Z343" i="1"/>
  <c r="Z342" i="1"/>
  <c r="Z341" i="1"/>
  <c r="Z340" i="1"/>
  <c r="Z339" i="1"/>
  <c r="Z338" i="1"/>
  <c r="Z337" i="1"/>
  <c r="AA336" i="1"/>
  <c r="Z336" i="1"/>
  <c r="Z329" i="1"/>
  <c r="Z328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195" i="1"/>
  <c r="Z180" i="1"/>
  <c r="Z179" i="1"/>
  <c r="Z178" i="1"/>
  <c r="Z43" i="1"/>
  <c r="Z445" i="1" l="1"/>
  <c r="Z446" i="1" s="1"/>
  <c r="AE446" i="1"/>
  <c r="AA451" i="1"/>
  <c r="Z451" i="1"/>
  <c r="Z452" i="1" s="1"/>
  <c r="AA445" i="1"/>
  <c r="W451" i="1"/>
  <c r="AE348" i="1"/>
  <c r="AD348" i="1"/>
  <c r="AE347" i="1"/>
  <c r="AD347" i="1"/>
  <c r="AA348" i="1"/>
  <c r="Z348" i="1"/>
  <c r="AA347" i="1"/>
  <c r="Z347" i="1"/>
  <c r="Z454" i="1" s="1"/>
  <c r="Z457" i="1" s="1"/>
  <c r="AD345" i="1"/>
  <c r="AD346" i="1"/>
  <c r="J70" i="1"/>
  <c r="J71" i="1"/>
  <c r="J72" i="1"/>
  <c r="J69" i="1"/>
  <c r="J66" i="1"/>
  <c r="J67" i="1"/>
  <c r="J68" i="1"/>
  <c r="AA454" i="1" l="1"/>
  <c r="AA457" i="1" s="1"/>
  <c r="AA446" i="1"/>
  <c r="L454" i="1"/>
  <c r="J457" i="1"/>
  <c r="AD451" i="1"/>
  <c r="AD452" i="1" s="1"/>
  <c r="AA448" i="1"/>
  <c r="W452" i="1"/>
  <c r="AA452" i="1"/>
  <c r="AB454" i="1"/>
  <c r="AE451" i="1"/>
  <c r="Z448" i="1"/>
  <c r="Z449" i="1" s="1"/>
  <c r="K454" i="1"/>
  <c r="K457" i="1" s="1"/>
  <c r="N335" i="1"/>
  <c r="N332" i="1"/>
  <c r="N333" i="1"/>
  <c r="N334" i="1"/>
  <c r="N331" i="1"/>
  <c r="AH330" i="1"/>
  <c r="AD329" i="1"/>
  <c r="AD328" i="1"/>
  <c r="V328" i="1"/>
  <c r="V329" i="1"/>
  <c r="X454" i="1" l="1"/>
  <c r="V449" i="1"/>
  <c r="V454" i="1"/>
  <c r="V457" i="1" s="1"/>
  <c r="AJ454" i="1"/>
  <c r="AH448" i="1"/>
  <c r="AE452" i="1"/>
  <c r="AA449" i="1"/>
  <c r="AH454" i="1"/>
  <c r="AH457" i="1" s="1"/>
  <c r="AI454" i="1"/>
  <c r="AI457" i="1" s="1"/>
  <c r="AI448" i="1"/>
  <c r="W454" i="1"/>
  <c r="W457" i="1" s="1"/>
  <c r="W448" i="1"/>
  <c r="F177" i="1"/>
  <c r="F176" i="1"/>
  <c r="AQ454" i="1" l="1"/>
  <c r="AP454" i="1"/>
  <c r="W449" i="1"/>
  <c r="F454" i="1"/>
  <c r="F457" i="1" s="1"/>
  <c r="G448" i="1"/>
  <c r="H454" i="1"/>
  <c r="G454" i="1"/>
  <c r="G457" i="1" s="1"/>
  <c r="AD180" i="1"/>
  <c r="AD179" i="1"/>
  <c r="AD178" i="1"/>
  <c r="N18" i="1"/>
  <c r="N451" i="1" s="1"/>
  <c r="N17" i="1"/>
  <c r="N16" i="1"/>
  <c r="N445" i="1" s="1"/>
  <c r="O445" i="1" l="1"/>
  <c r="O451" i="1"/>
  <c r="AF454" i="1"/>
  <c r="AD454" i="1"/>
  <c r="AE454" i="1"/>
  <c r="AD448" i="1"/>
  <c r="AD449" i="1" s="1"/>
  <c r="AE448" i="1"/>
  <c r="N15" i="1"/>
  <c r="N14" i="1"/>
  <c r="N13" i="1"/>
  <c r="N12" i="1"/>
  <c r="N11" i="1"/>
  <c r="O10" i="1"/>
  <c r="N10" i="1"/>
  <c r="N9" i="1"/>
  <c r="N8" i="1"/>
  <c r="N7" i="1"/>
  <c r="N6" i="1"/>
  <c r="N5" i="1"/>
  <c r="N4" i="1"/>
  <c r="N3" i="1"/>
  <c r="N2" i="1"/>
  <c r="P454" i="1" l="1"/>
  <c r="N454" i="1"/>
  <c r="AN454" i="1" s="1"/>
  <c r="AE449" i="1"/>
  <c r="AE457" i="1"/>
  <c r="AR454" i="1"/>
  <c r="AD457" i="1"/>
  <c r="AS454" i="1"/>
  <c r="O454" i="1"/>
  <c r="AO454" i="1" s="1"/>
  <c r="O448" i="1"/>
  <c r="N448" i="1"/>
  <c r="C83" i="4" l="1"/>
  <c r="J83" i="4" s="1"/>
  <c r="F80" i="4"/>
  <c r="J80" i="4" s="1"/>
  <c r="C82" i="4"/>
  <c r="J82" i="4" s="1"/>
  <c r="C119" i="4" l="1"/>
  <c r="D26" i="3" s="1"/>
  <c r="C150" i="4"/>
  <c r="C33" i="3" s="1"/>
  <c r="C118" i="4"/>
  <c r="C26" i="3" s="1"/>
  <c r="C151" i="4"/>
  <c r="D33" i="3" s="1"/>
  <c r="F119" i="4"/>
  <c r="F26" i="3" s="1"/>
  <c r="F151" i="4"/>
  <c r="F33" i="3" s="1"/>
  <c r="F150" i="4"/>
  <c r="E33" i="3" s="1"/>
  <c r="F118" i="4"/>
  <c r="E26" i="3" s="1"/>
  <c r="G80" i="4"/>
  <c r="D83" i="4"/>
  <c r="D82" i="4"/>
  <c r="C30" i="3" l="1"/>
  <c r="F30" i="3" s="1"/>
  <c r="D30" i="3"/>
  <c r="G30" i="3" s="1"/>
  <c r="D34" i="3"/>
  <c r="G34" i="3" s="1"/>
  <c r="C34" i="3"/>
  <c r="F34" i="3" s="1"/>
  <c r="F35" i="3" s="1"/>
  <c r="G35" i="3" l="1"/>
  <c r="G25" i="4"/>
  <c r="G129" i="4" l="1"/>
  <c r="G130" i="4"/>
  <c r="D96" i="4"/>
  <c r="D14" i="4"/>
  <c r="G7" i="4"/>
  <c r="D16" i="4"/>
  <c r="D15" i="4"/>
  <c r="D130" i="4"/>
  <c r="G12" i="4"/>
  <c r="G24" i="4"/>
  <c r="G23" i="4"/>
  <c r="G22" i="4"/>
  <c r="G21" i="4"/>
  <c r="G18" i="4"/>
  <c r="G9" i="4"/>
  <c r="G17" i="4"/>
  <c r="G123" i="4"/>
  <c r="G8" i="4"/>
  <c r="G20" i="4"/>
  <c r="G83" i="4"/>
  <c r="G16" i="4"/>
  <c r="G19" i="4"/>
  <c r="G15" i="4"/>
  <c r="G10" i="4"/>
  <c r="G13" i="4"/>
  <c r="G125" i="4"/>
  <c r="G14" i="4"/>
  <c r="D11" i="4"/>
  <c r="D77" i="4"/>
  <c r="D87" i="4"/>
  <c r="D90" i="4"/>
  <c r="D68" i="4"/>
  <c r="D12" i="4"/>
  <c r="D78" i="4"/>
  <c r="D13" i="4"/>
  <c r="D86" i="4"/>
  <c r="D1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Lei Ma</author>
  </authors>
  <commentList>
    <comment ref="D1" authorId="0" shapeId="0" xr:uid="{0A2E8224-1546-4282-AF10-6B20129DDFC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Tropical
Subtropical
Temperate
Boreal</t>
        </r>
      </text>
    </comment>
    <comment ref="E1" authorId="0" shapeId="0" xr:uid="{7B5212F1-B729-4383-870F-78FE0CA72B8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Net primary productivity</t>
        </r>
      </text>
    </comment>
    <comment ref="H1" authorId="0" shapeId="0" xr:uid="{B450C426-33A3-4FDC-9FDB-7C6F05FC1536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 xr:uid="{C6C689D1-E0FF-46A2-977A-9AE00A59721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Net primary productivity</t>
        </r>
      </text>
    </comment>
    <comment ref="L1" authorId="0" shapeId="0" xr:uid="{02319232-5D96-4BBC-9C47-3CC9563BFDFE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" authorId="0" shapeId="0" xr:uid="{619C2D29-D3E4-4CC1-A499-A7B4F561579E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 shapeId="0" xr:uid="{D7A05F68-EB08-410D-BD13-673B8C9741CF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" authorId="0" shapeId="0" xr:uid="{FDA168D8-150D-42FE-85CB-D074AC046B50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" authorId="0" shapeId="0" xr:uid="{D6444AC0-EC1B-4706-A310-297D3A882F08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" authorId="0" shapeId="0" xr:uid="{F3C6F642-B6E0-4CD8-A153-2DFE93369952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" authorId="0" shapeId="0" xr:uid="{9FEDA989-0EA1-4AB8-836E-E13D81B8F0DB}">
      <text>
        <r>
          <rPr>
            <b/>
            <sz val="9"/>
            <color indexed="81"/>
            <rFont val="Tahoma"/>
            <family val="2"/>
          </rPr>
          <t>ML:
number of replicates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1" shapeId="0" xr:uid="{53972F4C-C4C3-4A31-80A4-6AA505D01B8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48" authorId="1" shapeId="0" xr:uid="{F1A298B0-A047-4B1C-96F2-0A2C65F05063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49" authorId="1" shapeId="0" xr:uid="{6157C242-B8B3-4337-8AB3-068AF59D27DF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52" authorId="1" shapeId="0" xr:uid="{210178DC-2EEE-47C7-BAD5-851510565999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54" authorId="1" shapeId="0" xr:uid="{1AFF6721-6F58-4984-972C-AB4A509DB4B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55" authorId="1" shapeId="0" xr:uid="{3D4B4E6E-7A44-4DA3-A0B0-8214433BB50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65" authorId="1" shapeId="0" xr:uid="{9FB5197F-6B46-4125-8AF2-45B69E57C5D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66" authorId="1" shapeId="0" xr:uid="{F18005C7-4D82-4520-A3A6-993AC5C4EB95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67" authorId="1" shapeId="0" xr:uid="{78970327-AF98-4163-9600-B0B8C3157FE0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68" authorId="1" shapeId="0" xr:uid="{A0B79A51-8F46-43EF-AE9C-E75268211F2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69" authorId="1" shapeId="0" xr:uid="{EB34B3BB-85C1-4F44-BBB0-6EE12F2BCA55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70" authorId="1" shapeId="0" xr:uid="{AF1D4044-DF07-41E4-9990-0AA7C48832BB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71" authorId="1" shapeId="0" xr:uid="{A6BE083D-E1A0-44DD-BD5A-66C184E28332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72" authorId="1" shapeId="0" xr:uid="{67171B20-2D77-48DC-B6D5-F7CA7312CDA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113" authorId="1" shapeId="0" xr:uid="{70EAD676-6626-4F43-A77B-BF4F4D317E5C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120" authorId="1" shapeId="0" xr:uid="{2C611C41-F583-4C37-BD53-85E5DF5DF78E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176" authorId="1" shapeId="0" xr:uid="{4D78DAA3-2310-4839-A530-C71BD90E12F3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177" authorId="1" shapeId="0" xr:uid="{6D01C1D4-19FF-4CEE-8901-C63A6857345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195" authorId="1" shapeId="0" xr:uid="{B3AE7D98-D21C-42D1-94AC-3C24F5897C5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196" authorId="1" shapeId="0" xr:uid="{8ED9FE3D-9A51-4ECF-8163-ADF1F2B1CA15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39" authorId="1" shapeId="0" xr:uid="{B0A4EF66-E56A-4B8C-AE06-7E93A37E9C44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40" authorId="1" shapeId="0" xr:uid="{2B736156-E007-4B14-800F-B80278C93BF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41" authorId="1" shapeId="0" xr:uid="{7760BEEA-D6EF-4BBC-B824-926901A5ADC5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42" authorId="1" shapeId="0" xr:uid="{9EA19B09-C15E-429B-9A2D-3D13A49FB0FC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43" authorId="1" shapeId="0" xr:uid="{61E1F013-60A1-4E14-AA91-E6B9C5AEAD5A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0" authorId="1" shapeId="0" xr:uid="{25DC2041-2669-4D2F-9460-376D8EA5E974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1" authorId="1" shapeId="0" xr:uid="{929B60C4-2BC0-4079-BA64-954F61A1E912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2" authorId="1" shapeId="0" xr:uid="{8A72B81A-47C8-4EB3-86FE-4C1B1607275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3" authorId="1" shapeId="0" xr:uid="{6E4023BC-9D88-423A-9CA5-BB101478F58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4" authorId="1" shapeId="0" xr:uid="{2979C9FF-AB57-4F25-A916-95D34B0B153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5" authorId="1" shapeId="0" xr:uid="{A24C8EC6-2F58-4DDE-A88F-7370E3E3E178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6" authorId="1" shapeId="0" xr:uid="{3252D721-7331-4022-8548-6368CFD97995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7" authorId="1" shapeId="0" xr:uid="{FD97AC12-F9CA-4FE4-96E4-B57661AAD2AE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8" authorId="1" shapeId="0" xr:uid="{1DE5F9CF-4C40-47BF-AC6E-405EC4713CFC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59" authorId="1" shapeId="0" xr:uid="{37510ED4-D610-4D43-8142-083A785A1EE3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60" authorId="1" shapeId="0" xr:uid="{EAE8E19B-9BE0-40AD-868F-230991C0C882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61" authorId="1" shapeId="0" xr:uid="{88AA37B1-A044-4C07-B1F7-38EA4B15992D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</t>
        </r>
      </text>
    </comment>
    <comment ref="C263" authorId="1" shapeId="0" xr:uid="{650304C9-8C67-42ED-9B2F-BFDBDA3F1273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3" authorId="1" shapeId="0" xr:uid="{A82460F6-A2AB-4CA1-B1F9-EB6FB14CF579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4" authorId="1" shapeId="0" xr:uid="{69A40323-7C8E-4E00-BA42-EC4AD7DD4CAC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5" authorId="1" shapeId="0" xr:uid="{ABBEE774-B771-4E5E-8307-4811BC01A71C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6" authorId="1" shapeId="0" xr:uid="{209EBAE5-8472-4E12-AB09-20B05D39CB2A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7" authorId="1" shapeId="0" xr:uid="{2B195569-869E-4CE9-A17B-5439BB70CB72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8" authorId="1" shapeId="0" xr:uid="{27572568-9505-457F-AC8B-7E771E1AE348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79" authorId="1" shapeId="0" xr:uid="{85FD9AC1-8CF8-43DD-87D7-7FF643D76524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80" authorId="1" shapeId="0" xr:uid="{13CBEEA7-6EAA-4184-A4EE-7AF386006BF8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Artificial grassland</t>
        </r>
      </text>
    </comment>
    <comment ref="C283" authorId="1" shapeId="0" xr:uid="{AC6994B8-81BE-4C93-90CA-BC8D8454977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 abandoned</t>
        </r>
      </text>
    </comment>
    <comment ref="C284" authorId="1" shapeId="0" xr:uid="{364252AC-B770-4EB7-9FB4-7746B87F8096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grazing abandoned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 Ma</author>
    <author>t</author>
  </authors>
  <commentList>
    <comment ref="AB2" authorId="0" shapeId="0" xr:uid="{136121B1-5C48-420B-A938-B20680184C82}">
      <text>
        <r>
          <rPr>
            <b/>
            <sz val="9"/>
            <color indexed="81"/>
            <rFont val="Tahoma"/>
            <family val="2"/>
          </rPr>
          <t>Lei Ma:</t>
        </r>
        <r>
          <rPr>
            <sz val="9"/>
            <color indexed="81"/>
            <rFont val="Tahoma"/>
            <family val="2"/>
          </rPr>
          <t xml:space="preserve">
Leppelt et al. 2015
Nitrous oxide emission hotspots from
organic soils in Europe</t>
        </r>
      </text>
    </comment>
    <comment ref="Y8" authorId="1" shapeId="0" xr:uid="{7946D850-F1F1-41B3-AB75-FC328631CC15}">
      <text>
        <r>
          <rPr>
            <b/>
            <sz val="9"/>
            <color indexed="81"/>
            <rFont val="宋体"/>
            <family val="3"/>
            <charset val="134"/>
          </rPr>
          <t>t:</t>
        </r>
        <r>
          <rPr>
            <sz val="9"/>
            <color indexed="81"/>
            <rFont val="宋体"/>
            <family val="3"/>
            <charset val="134"/>
          </rPr>
          <t xml:space="preserve">
leppelt et al.2014</t>
        </r>
      </text>
    </comment>
  </commentList>
</comments>
</file>

<file path=xl/sharedStrings.xml><?xml version="1.0" encoding="utf-8"?>
<sst xmlns="http://schemas.openxmlformats.org/spreadsheetml/2006/main" count="2659" uniqueCount="357">
  <si>
    <t>Control</t>
  </si>
  <si>
    <t>DIC export (kg CO2-eq. ha-1 yr-1)</t>
    <phoneticPr fontId="1" type="noConversion"/>
  </si>
  <si>
    <t>Billett et al. 2004</t>
  </si>
  <si>
    <t>Drained</t>
  </si>
  <si>
    <t>IPCC 2014</t>
  </si>
  <si>
    <t>Boreal</t>
  </si>
  <si>
    <t>Temperate</t>
  </si>
  <si>
    <t>Tropical</t>
  </si>
  <si>
    <t>References</t>
    <phoneticPr fontId="8" type="noConversion"/>
  </si>
  <si>
    <t>Treatment</t>
  </si>
  <si>
    <t>Climatic conditions</t>
    <phoneticPr fontId="3" type="noConversion"/>
  </si>
  <si>
    <t>Drainage Purpose</t>
  </si>
  <si>
    <t>Lohila et al. 2011</t>
  </si>
  <si>
    <t>Forestry</t>
  </si>
  <si>
    <t>Järveoja et al. 2016</t>
  </si>
  <si>
    <t>Hommeltenberg et al. 2014</t>
  </si>
  <si>
    <t>Kittler et al. 2017</t>
  </si>
  <si>
    <t>Arctic</t>
  </si>
  <si>
    <t>Peichl et al. 2014</t>
  </si>
  <si>
    <t>Aslan-Sungur et al. 2016</t>
  </si>
  <si>
    <t>Minkkinen et al. 2018</t>
  </si>
  <si>
    <t>Zhao et al. 2010</t>
  </si>
  <si>
    <t>Ratcliffe et al. 2019b</t>
  </si>
  <si>
    <t>Agriculture</t>
  </si>
  <si>
    <t>Knox et al. 2015</t>
  </si>
  <si>
    <t>Mediterranean</t>
  </si>
  <si>
    <t>Hatala et al. 2012</t>
  </si>
  <si>
    <t>Hirano et al. 2007</t>
  </si>
  <si>
    <t>Meyer et al. 2013</t>
  </si>
  <si>
    <t>Dommain et al. 2018</t>
  </si>
  <si>
    <t>Schrier-Uijl et al. 2014</t>
  </si>
  <si>
    <t>Kandel et al. 2017</t>
  </si>
  <si>
    <t>Lloyd 2006</t>
  </si>
  <si>
    <t>Lohila et al. 2004</t>
  </si>
  <si>
    <t>Karki et al. 2019</t>
  </si>
  <si>
    <t>Evrendilek, 2015</t>
  </si>
  <si>
    <t>Hemes et al. 2019</t>
  </si>
  <si>
    <t>Shurpali et al. 2010</t>
  </si>
  <si>
    <t>Hoffmann et al. 2015</t>
  </si>
  <si>
    <t>Peichl et al. 2015</t>
  </si>
  <si>
    <t>Swenson et al. 2019</t>
  </si>
  <si>
    <t>Hargreaves and Cannel, 2003</t>
  </si>
  <si>
    <t>Rankin et al. 2018</t>
  </si>
  <si>
    <t>Kiew et al. 2020</t>
  </si>
  <si>
    <t>Lohila et al. 2007</t>
  </si>
  <si>
    <t>Zhong et al. 2016</t>
  </si>
  <si>
    <t>Subtropical</t>
  </si>
  <si>
    <t>Nieveen et al. 2005</t>
  </si>
  <si>
    <t>Chu et al. 2019</t>
  </si>
  <si>
    <t>Veenendaal et al. 2007</t>
  </si>
  <si>
    <t>Metzger et al. 2015</t>
  </si>
  <si>
    <t>Poyda et al. 2017</t>
  </si>
  <si>
    <t>Holl et al. 2020</t>
  </si>
  <si>
    <t>Sulman et al. 2009</t>
  </si>
  <si>
    <t>Shurpali et al. 2009</t>
  </si>
  <si>
    <t>Rocha and Goulden, 2010</t>
  </si>
  <si>
    <t>WT manipulation</t>
  </si>
  <si>
    <t>Pohl et al. 2015</t>
  </si>
  <si>
    <t>Nagata et al. 2005</t>
  </si>
  <si>
    <t>Valde´s-Barrera et al. 2019</t>
  </si>
  <si>
    <t>Hirano et al. 2012</t>
  </si>
  <si>
    <t>Forestry and burning</t>
  </si>
  <si>
    <t>Beetz et al. 2013</t>
  </si>
  <si>
    <t>Karki et al. 2015</t>
  </si>
  <si>
    <t>Korkiakoski et al. 2019</t>
  </si>
  <si>
    <t>Forestry and clear-cut</t>
  </si>
  <si>
    <t>Poyda et al. 2016</t>
  </si>
  <si>
    <t>Aguilos et al. 2020</t>
  </si>
  <si>
    <t>Kandel et al. 2013</t>
  </si>
  <si>
    <t>Wilson et al. 2016</t>
  </si>
  <si>
    <t>Beyer et al. 2015</t>
  </si>
  <si>
    <t>Hurkuck et al. 2016</t>
  </si>
  <si>
    <t>Evrendilek, 2013</t>
  </si>
  <si>
    <t>Ratcliffe et al. 2019a</t>
  </si>
  <si>
    <t>Renou-Wilson et al. 2018</t>
  </si>
  <si>
    <t>Dinsmore et al. 2010</t>
  </si>
  <si>
    <t>Zhu et al. 2020</t>
  </si>
  <si>
    <t>Webb et al. 2018</t>
  </si>
  <si>
    <t>Huth et al. 2018</t>
  </si>
  <si>
    <t>Rowson et al. 2010</t>
  </si>
  <si>
    <t>Eickenscheidt et al. 2015</t>
  </si>
  <si>
    <t>Renou-Wilson et al. 2016</t>
  </si>
  <si>
    <t>Serrano-Ortiz et al. 2020</t>
  </si>
  <si>
    <t>Campbell et al. 2015</t>
  </si>
  <si>
    <t>Yang et al. 2013</t>
  </si>
  <si>
    <t>Organic C input (kg CO2-eq. ha-1 yr-1)</t>
    <phoneticPr fontId="1" type="noConversion"/>
  </si>
  <si>
    <t>Control</t>
    <phoneticPr fontId="3" type="noConversion"/>
  </si>
  <si>
    <t>SD</t>
    <phoneticPr fontId="3" type="noConversion"/>
  </si>
  <si>
    <t>n</t>
    <phoneticPr fontId="3" type="noConversion"/>
  </si>
  <si>
    <t>Ditches N2O emission (kg CO2-eq. ha-1 yr-1)</t>
    <phoneticPr fontId="1" type="noConversion"/>
  </si>
  <si>
    <t>Livetock fermentation  (kg CO2-eq. ha-1 yr-1)</t>
    <phoneticPr fontId="1" type="noConversion"/>
  </si>
  <si>
    <t>kg CO2 ha-1 yr-1</t>
  </si>
  <si>
    <t>Ditches area percent (%)</t>
  </si>
  <si>
    <t>References</t>
  </si>
  <si>
    <t>Strack and Zuback, 2013. Annual carbon balance of a peatland 10 yr following restoration</t>
  </si>
  <si>
    <t>Lohila et al. 2011. Greenhouse gas flux measurements in a forestry-drained peatland indicate a large carbon sink</t>
  </si>
  <si>
    <t>Hommeltenberg et al. 2014. Can a bog drained for forestry be a stronger carbon sink than a natural bog forest?</t>
  </si>
  <si>
    <t>Kittler et al. 2017. Long-Term Drainage Reduces CO2 Uptake and CH4 Emissions in a Siberian Permafrost Ecosystem</t>
  </si>
  <si>
    <t>Peichl et al. 2014. A 12-year record reveals pre-growing season temperature and water table level threshold effects on the net carbon dioxide exchange in a boreal fen</t>
  </si>
  <si>
    <t>Aslan-Sungur et al. 2016. Large interannual variability in net ecosystem carbon dioxide exchange of a disturbed temperate peatland</t>
  </si>
  <si>
    <t>Minkkinen et al. 2018. Persistent carbon sink at a boreal drained bog forest</t>
  </si>
  <si>
    <t>Zhao et al. 2010. Seasonal variations in carbon dioxide exchange in an alpine wetland meadow on the Qinghai-Tibetan Plateau</t>
  </si>
  <si>
    <t>Ratcliffe et al. 2019b. Water table fluctuations control CO2 exchange in wet and dry bogs through different mechanisms</t>
  </si>
  <si>
    <t>Knox et al. 2015. Agricultural peatland restoration: effects of land-use change on greenhouse gas (CO2 and CH4) fluxes in the Sacramento-San Joaquin Delta</t>
  </si>
  <si>
    <t>Hatala et al. 2012. Greenhouse gas (CO2, CH4, H2O) fluxes from drained and flooded agricultural peatlands in the Sacramento-San Joaquin Delta</t>
  </si>
  <si>
    <t>Hirano et al. 2007. Carbon dioxide balance of a tropical peat swamp forest in Kalimantan, Indonesia</t>
  </si>
  <si>
    <t>Meyer et al. 2013. A fertile peatland forest does not constitute a major greenhouse gas sink</t>
  </si>
  <si>
    <t>Dommain et al. 2018. A radiative forcing analysis of tropical peatlands before and after their conversion to agricultural plantations</t>
  </si>
  <si>
    <t>Schrier-Uijl et al. 2014. Agricultural peatlands: towards a greenhouse gas sink – a synthesis of a Dutch landscape study</t>
  </si>
  <si>
    <t>Kandel et al. 2017. Annual balances and extended seasonal modelling of
carbon fluxes from a temperate fen cropped to festulolium and tall fescue under two-cut and three-cut harvesting regimes</t>
  </si>
  <si>
    <t>Lloyd 2006. Annual carbon balance of a managed wetland meadow in the Somerset Levels, UK</t>
  </si>
  <si>
    <t>Lohila et al. 2004. Annual CO2 exchange of a peat field growing spring barley or perennial forage grass</t>
  </si>
  <si>
    <t>Karki et al. 2019. Annual CO2 fluxes from a cultivated fen with perennial grasses during two initial years of rewetting</t>
  </si>
  <si>
    <t>Evrendilek, 2015. Assessing CO2 sink/source strength of a degraded temperate peatland: atmospheric and hydrological drivers and responses to extreme events</t>
  </si>
  <si>
    <t>Hemes et al. 2019. Assessing the carbon and climate benefit of restoring degraded agricultural peat soils to managed wetlands</t>
  </si>
  <si>
    <t>Shurpali et al. 2010. Atmospheric impact of bioenergy based on perennial crop (reed canary grass, Phalaris arundinaceae, L.) cultivation on a drained boreal organic soil</t>
  </si>
  <si>
    <t>Hoffmann et al. 2015. Automated modeling of ecosystem CO2fluxes based on periodicclosed chamber measurements: A standardized conceptual andpractical approach</t>
  </si>
  <si>
    <t>Peichl et al. 2015. Bringing Color into the Picture: Using Digital Repeat Photography to Investigate Phenology Controls of the Carbon Dioxide Exchange in a Boreal Mire</t>
  </si>
  <si>
    <t>Swenson et al. 2019. Carbon balance of a restored and cutover raised bog: implications for restoration and comparison to global trends</t>
  </si>
  <si>
    <t>Hargreaves and Cannel, 2003. Carbon balance of afforested peatland in Scotland</t>
  </si>
  <si>
    <t>Rankin et al. 2018. Carbon dioxide and methane exchange at a post-extraction, unrestored peatland</t>
  </si>
  <si>
    <t>Kiew et al. 2020. Carbon dioxide balance of an oil palm plantation established on tropical peat</t>
  </si>
  <si>
    <t>Lohila et al. 2007. Carbon dioxide exchange above a 30-year-old Scots pine plantation established on organic-soil cropland</t>
  </si>
  <si>
    <t>Zhong et al. 2016. Carbon Dioxide Fluxes and Their Environmental Control in a Reclaimed Coastal Wetland in the Yangtze Estuary</t>
  </si>
  <si>
    <t>Nieveen et al. 2005. Carbon exchange of grazed pasture on a drained peat soil</t>
  </si>
  <si>
    <t>Chu et al. 2019. Changes in plant biomass induced by soil moisture variability drive interannual variation in the net ecosystem CO2 exchange over a reclaimed coastal wetland</t>
  </si>
  <si>
    <t>Veenendaal et al. 2007. CO2 exchange and carbon balance in two grassland sites on eutrophic drained peat soils</t>
  </si>
  <si>
    <t>Metzger et al. 2015. CO2 fluxes and ecosystem dynamics at five European treeless peatlands - merging data and process oriented modeling</t>
  </si>
  <si>
    <t>Poyda et al. 2017. Comparing chamber and eddy covariance based net ecosystem CO2 exchange of fen soils</t>
  </si>
  <si>
    <t>Holl et al. 2020. Comparison of eddy covariance CO2 and CH4 fluxes from mined and recently rewetted sections in a northwestern German cutover bog</t>
  </si>
  <si>
    <t>Sulman et al. 2009. Contrasting carbon dioxide fluxes between a drying shrub wetland in Northern Wisconsin, USA, and nearby forests</t>
  </si>
  <si>
    <t>Shurpali et al. 2009. Cultivation of a perennial grass for bioenergy on a boreal organic soil – carbon sink or source</t>
  </si>
  <si>
    <t>Rocha et al. 2010. Drought legacies influence the long-term carbon balance of a freshwater marsh</t>
  </si>
  <si>
    <t>Pohl et al. 2015. Dynamic C and N stocks – key factors controlling the C gas exchange of maize in heterogenous peatland</t>
  </si>
  <si>
    <t>Nagata et al. 2005. Effect of Sasa invasion on global warming potential in Sphagnum dominated poor fen in Bibai</t>
  </si>
  <si>
    <t>Valde´s-Barrera et al. 2020. Effects of disturbance on the carbon dioxide balance of an anthropogenic peatland in northern Patagonia</t>
  </si>
  <si>
    <t>Hirano et al. 2012. Effects of disturbances on the carbon balance of tropical peat swamp forests</t>
  </si>
  <si>
    <t>Beetz et al. 2013. Effects of land use intensity on the full greenhouse gas balance in an Atlantic peat bog</t>
  </si>
  <si>
    <t>Jarveoja et al. 2016. Full carbon and greenhouse gas balances of fertilized and nonfertilized reed canary grass cultivations on an abandoned peat extraction area in a dry year</t>
  </si>
  <si>
    <t>Karki et al. 2015. Full GHG balance of a drained fen peatland cropped to spring barley and reed canary grass using comparative assessment of CO2 fluxes</t>
  </si>
  <si>
    <t>Korkiakoski et al. 2019. Greenhouse gas and energy fluxes in a boreal peatland forest after clear-cutting</t>
  </si>
  <si>
    <t>Poyda et al. 2016. Greenhouse gas emissions from fen soils used for forage production in northern Germany</t>
  </si>
  <si>
    <t>Billett et al. 2004. Linking land-atmosphere-stream carbon fluxes in a lowland peatland system</t>
  </si>
  <si>
    <t>Aguilos et al. 2020. Long-term carbon flux and balance in managed and natural coastal forested wetlands of the Southeastern USA</t>
  </si>
  <si>
    <t>Kandel et al. 2013. Measurement and modelling of CO2 flux from a drained fen peatland cultivated with reed canary grass and spring barley</t>
  </si>
  <si>
    <t>Wilson et al. 2016. Multiyear greenhouse gas balances at a rewetted temperate peatland</t>
  </si>
  <si>
    <t>Beyer et al. 2015. Multiyear greenhouse gas flux measurements on a temperate fen soil used for cropland or grassland</t>
  </si>
  <si>
    <t>Hurkuck et al. 2016. Near-neutral carbon dioxide balance at a seminatural, temperate bog ecosystem</t>
  </si>
  <si>
    <t>Evrendilek, 2013. Quantifying biosphere–atmosphere exchange of CO2 using eddy covariance, wavelet denoising, neural networks, and multiple regression models</t>
  </si>
  <si>
    <t>Ratcliffe et al. 2019a. Recovery of the CO2 sink in a remnant peatland following water table lowering</t>
  </si>
  <si>
    <t>Renou-Wilson et al. 2018. Rewetting degraded peatlands for climate and biodiversity benefits Results from two raised bogs</t>
  </si>
  <si>
    <t>Dinsmore et al. 2010. Role of the aquatic pathway in the carbon and greenhouse gas budgets of a peatland catchment</t>
  </si>
  <si>
    <t>Zhu et al. 2020. Seasonal and Interannual Variations of CO2 Fluxes Over 10 Years in an Alpine Wetland on the Qinghai-Tibetan Plateau</t>
  </si>
  <si>
    <t>Huth et al. 2018. The climate warming effect of a fen peat meadow with fluctuating water table is reduced by young alder trees</t>
  </si>
  <si>
    <t>Rowson et al. 2010. The complete carbon budget of a drained peat catchment</t>
  </si>
  <si>
    <t>Eickenscheidt et al. 2015. The greenhouse gas balance of a drained fen peatland is mainly controlled by land-use rather than soil organic carbon content</t>
  </si>
  <si>
    <t>Renou-Wilson et al. 2016. To graze or not to graze Four years greenhouse gas balances and vegetation composition from a drained and a rewetted organic soil under grassland</t>
  </si>
  <si>
    <t>Serrano-Ortiz et al. 2020. Transition Period Between Vegetation Growth and Senescence Controlling Interannual Variability of C Fluxes in a Mediterranean Reed Wetland</t>
  </si>
  <si>
    <t>Campbell et al. 2015. Variations in CO2 exchange for dairy farms with year-round rotational grazing on drained peatlands</t>
  </si>
  <si>
    <t>Yang et al. 2013. Effects of reclamation on net ecosystem CO2 exchange in wetland in the Yellow River Delta, China</t>
  </si>
  <si>
    <t>Deep-drained</t>
  </si>
  <si>
    <t>Grassland</t>
  </si>
  <si>
    <t>Shallow-drained</t>
  </si>
  <si>
    <t>Agriculture, abandoned</t>
  </si>
  <si>
    <t>Paul et al. 2018</t>
  </si>
  <si>
    <t>Paul et al. 2018. Assessing the role of artificially drained agricultural land for climate change mitigation in Ireland</t>
  </si>
  <si>
    <t>Von Arnold et al. 2005</t>
    <phoneticPr fontId="1" type="noConversion"/>
  </si>
  <si>
    <t>Drainage</t>
  </si>
  <si>
    <t>Von Arnold et al. 2005. Fluxes of CO2, CH4 and N2O from drained coniferous forests on organic soils</t>
    <phoneticPr fontId="1" type="noConversion"/>
  </si>
  <si>
    <t>Von Arnold et al. 2005. Fluxes of CO2, CH4 and N3O from drained coniferous forests on organic soils</t>
  </si>
  <si>
    <t>Nykanen et al. 1995</t>
    <phoneticPr fontId="1" type="noConversion"/>
  </si>
  <si>
    <t>Grassland</t>
    <phoneticPr fontId="1" type="noConversion"/>
  </si>
  <si>
    <t>Nykanen et al. 1995. Emissions of CH4, N20 and CO2 from a virgin fen and a fen drained for grassland in Finland</t>
    <phoneticPr fontId="1" type="noConversion"/>
  </si>
  <si>
    <t>Hergoualc’h and Verchot, 2014</t>
  </si>
  <si>
    <t>Tropical</t>
    <phoneticPr fontId="1" type="noConversion"/>
  </si>
  <si>
    <t>Hergoualc’h and Verchot, 2015</t>
  </si>
  <si>
    <t>Hergoualc’h and Verchot, 2014. Greenhouse gas emission factors for land use and land-use change in Southeast Asian peatlands</t>
    <phoneticPr fontId="1" type="noConversion"/>
  </si>
  <si>
    <t>Koskinene et al. 2016</t>
  </si>
  <si>
    <t>Koskinene et al. 2016. High methane emissions from restored Norway spruce swamps in southern Finland over one growing season</t>
    <phoneticPr fontId="1" type="noConversion"/>
  </si>
  <si>
    <t>Roulet and Moore, 1995</t>
  </si>
  <si>
    <t>Roulet and Moore, 1995</t>
    <phoneticPr fontId="1" type="noConversion"/>
  </si>
  <si>
    <t>Roulet and Moore, 1995. The effect of forestry drainage practices on the emission of methane from northern peatlands</t>
    <phoneticPr fontId="1" type="noConversion"/>
  </si>
  <si>
    <t>Dommain et al. 2018. A radiative forcing analysis of tropical peatlands before and after their conversion to agricultural plantations</t>
    <phoneticPr fontId="1" type="noConversion"/>
  </si>
  <si>
    <t>Köhn et al. 2021</t>
    <phoneticPr fontId="1" type="noConversion"/>
  </si>
  <si>
    <t>Grassland</t>
    <phoneticPr fontId="1" type="noConversion"/>
  </si>
  <si>
    <t>Temperate</t>
    <phoneticPr fontId="1" type="noConversion"/>
  </si>
  <si>
    <t>Köhn et al. 2021. Drainage Ditches Contribute Considerably to the CH4 Budget of a Drained and a Rewetted Temperate Fen</t>
    <phoneticPr fontId="1" type="noConversion"/>
  </si>
  <si>
    <t>Luan and Wu, 2015</t>
    <phoneticPr fontId="1" type="noConversion"/>
  </si>
  <si>
    <t>Luan and Wu, 2015. Long-term agricultural drainage stimulates CH4 emissions from ditches through increased substrate availability in a boreal peatland</t>
    <phoneticPr fontId="1" type="noConversion"/>
  </si>
  <si>
    <t>Peacock et al. 2021</t>
    <phoneticPr fontId="1" type="noConversion"/>
  </si>
  <si>
    <t>Boreal</t>
    <phoneticPr fontId="1" type="noConversion"/>
  </si>
  <si>
    <t>Temperate</t>
    <phoneticPr fontId="1" type="noConversion"/>
  </si>
  <si>
    <t>Global importance of methane emissions from drainage ditches and canals</t>
    <phoneticPr fontId="1" type="noConversion"/>
  </si>
  <si>
    <t>darinage ditch fraction 3%, ranges 1-5%</t>
    <phoneticPr fontId="1" type="noConversion"/>
  </si>
  <si>
    <t>Forestry</t>
    <phoneticPr fontId="1" type="noConversion"/>
  </si>
  <si>
    <t>CH4 ditch (kg CH4 ha−1 yr−1)</t>
    <phoneticPr fontId="1" type="noConversion"/>
  </si>
  <si>
    <t>Agriculture</t>
    <phoneticPr fontId="1" type="noConversion"/>
  </si>
  <si>
    <t>Peat extraction</t>
    <phoneticPr fontId="1" type="noConversion"/>
  </si>
  <si>
    <t>IPCC 2014</t>
    <phoneticPr fontId="1" type="noConversion"/>
  </si>
  <si>
    <t>Smukler et al. 2010</t>
    <phoneticPr fontId="1" type="noConversion"/>
  </si>
  <si>
    <t>Mediterranean</t>
    <phoneticPr fontId="1" type="noConversion"/>
  </si>
  <si>
    <t>Smukler et al. 2010. Biodiversity and multiple ecosystem functions in an organic farmscape</t>
    <phoneticPr fontId="1" type="noConversion"/>
  </si>
  <si>
    <t>Subtropical</t>
    <phoneticPr fontId="1" type="noConversion"/>
  </si>
  <si>
    <t>Zhang et al. 2016</t>
    <phoneticPr fontId="1" type="noConversion"/>
  </si>
  <si>
    <t>Zhang et al. 2016. Effects of vegetation on ammonium removal and nitrous oxideemissions from pilot-scale drainage ditches</t>
    <phoneticPr fontId="1" type="noConversion"/>
  </si>
  <si>
    <t>Järveoja et al. 2016. Impact of water table level on annual carbon and greenhouse gas balances of a restored peat extraction area</t>
    <phoneticPr fontId="1" type="noConversion"/>
  </si>
  <si>
    <t>Temperate</t>
    <phoneticPr fontId="1" type="noConversion"/>
  </si>
  <si>
    <t>Forestry</t>
    <phoneticPr fontId="1" type="noConversion"/>
  </si>
  <si>
    <t>Korkiakoski et al. 2020. Impact of partial harvest on CH4 and N2O balances of a drained boreal peatland forest</t>
    <phoneticPr fontId="1" type="noConversion"/>
  </si>
  <si>
    <t>Korkiakoski et al. 2020</t>
    <phoneticPr fontId="1" type="noConversion"/>
  </si>
  <si>
    <t>Arn The et al. 2011</t>
    <phoneticPr fontId="1" type="noConversion"/>
  </si>
  <si>
    <t>Arn The et al. 2011. Large Greenhouse Gas Emissions from a Temperate Peatland Pasture</t>
    <phoneticPr fontId="1" type="noConversion"/>
  </si>
  <si>
    <t>Kløve et al. 2010.</t>
    <phoneticPr fontId="1" type="noConversion"/>
  </si>
  <si>
    <t>Kløve et al. 2010. Leaching of nutrients and emission of greenhouse gases from peatland cultivation at Bodin, Northern Norway</t>
    <phoneticPr fontId="1" type="noConversion"/>
  </si>
  <si>
    <t>Peacock et al. 2017</t>
    <phoneticPr fontId="1" type="noConversion"/>
  </si>
  <si>
    <t>Peacock et al. 2017. Management effects on greenhouse gas dynamics in fen ditches</t>
    <phoneticPr fontId="1" type="noConversion"/>
  </si>
  <si>
    <t>Arina et al. 2010</t>
    <phoneticPr fontId="1" type="noConversion"/>
  </si>
  <si>
    <t>Arina et al. 2010. Methane emissions in two drained peat agro-ecosystems with high and low agricultural intensity</t>
    <phoneticPr fontId="1" type="noConversion"/>
  </si>
  <si>
    <t>On-site N2O</t>
    <phoneticPr fontId="1" type="noConversion"/>
  </si>
  <si>
    <t>Ditch N2O</t>
    <phoneticPr fontId="1" type="noConversion"/>
  </si>
  <si>
    <t>Ditch N2O (kg ha-1 yr-1)</t>
    <phoneticPr fontId="1" type="noConversion"/>
  </si>
  <si>
    <t>GWP</t>
    <phoneticPr fontId="1" type="noConversion"/>
  </si>
  <si>
    <t>Boreal</t>
    <phoneticPr fontId="1" type="noConversion"/>
  </si>
  <si>
    <t>Minkkinen et al. 2020</t>
    <phoneticPr fontId="1" type="noConversion"/>
  </si>
  <si>
    <t>Forestry</t>
    <phoneticPr fontId="1" type="noConversion"/>
  </si>
  <si>
    <t>Minkkinen et al. 2020. Nitrous oxide emissions of undrained, forestry-drained, and rewetted boreal peatlands</t>
    <phoneticPr fontId="1" type="noConversion"/>
  </si>
  <si>
    <t>Hyvönen et al. 2013</t>
    <phoneticPr fontId="1" type="noConversion"/>
  </si>
  <si>
    <t>Peat extraction</t>
    <phoneticPr fontId="1" type="noConversion"/>
  </si>
  <si>
    <t>Hyvönen et al. 2013. The role of drainage ditches in greenhouse gas emissions and surface leaching losses from a cutaway peatland cultivated with a perennial bioenergy crop</t>
    <phoneticPr fontId="1" type="noConversion"/>
  </si>
  <si>
    <t>Lottig et al. 2013</t>
    <phoneticPr fontId="1" type="noConversion"/>
  </si>
  <si>
    <t>Temperate</t>
    <phoneticPr fontId="1" type="noConversion"/>
  </si>
  <si>
    <t>Lottig et al. 2013. Comparisons of wetland and drainage lake influences on stream dissolved carbon concentrations and yields in a north temperate lake-rich region</t>
    <phoneticPr fontId="1" type="noConversion"/>
  </si>
  <si>
    <t>Huotari et al. 2013</t>
    <phoneticPr fontId="1" type="noConversion"/>
  </si>
  <si>
    <t>Huotari et al. 2013. Effect of catchment characteristics on aquatic carbon export from a boreal catchment and its importance in regional carbon cycling</t>
    <phoneticPr fontId="1" type="noConversion"/>
  </si>
  <si>
    <t>Strack et al. 2008</t>
    <phoneticPr fontId="1" type="noConversion"/>
  </si>
  <si>
    <t>Strack et al. 2008. Effect of water table drawdown on peatland dissolved organic carbon export and dynamics</t>
    <phoneticPr fontId="1" type="noConversion"/>
  </si>
  <si>
    <t>Tropical</t>
    <phoneticPr fontId="1" type="noConversion"/>
  </si>
  <si>
    <t>Cook et al. 2018</t>
    <phoneticPr fontId="1" type="noConversion"/>
  </si>
  <si>
    <t>Cook et al. 2018. Fluvial organic carbon fluxes from oil palm plantations on tropical peatland</t>
    <phoneticPr fontId="1" type="noConversion"/>
  </si>
  <si>
    <t>Richardson et al. 2020</t>
    <phoneticPr fontId="1" type="noConversion"/>
  </si>
  <si>
    <r>
      <t>Richardson et al. 2020. Lateral Carbon Exports From Drained Peatlands: An Understudied Carbon Pathway in the Sacramento</t>
    </r>
    <r>
      <rPr>
        <sz val="11"/>
        <color theme="1"/>
        <rFont val="宋体"/>
        <family val="3"/>
        <charset val="134"/>
      </rPr>
      <t>‐</t>
    </r>
    <r>
      <rPr>
        <sz val="11"/>
        <color theme="1"/>
        <rFont val="Calibri"/>
        <family val="2"/>
      </rPr>
      <t>San Joaquin Delta, California</t>
    </r>
    <phoneticPr fontId="1" type="noConversion"/>
  </si>
  <si>
    <t>Müller et al. 2015. Lateral carbon fluxes and CO2 outgassing from a tropical peat-draining river</t>
    <phoneticPr fontId="1" type="noConversion"/>
  </si>
  <si>
    <t>Müller et al. 2015</t>
    <phoneticPr fontId="1" type="noConversion"/>
  </si>
  <si>
    <t>Lou et al. 2014</t>
    <phoneticPr fontId="1" type="noConversion"/>
  </si>
  <si>
    <t>Lou et al. 2014. Rapid Response of Hydrological Loss of DOC to Water Table Drawdown and Warming in Zoige Peatland: Results from a Mesocosm Experiment</t>
    <phoneticPr fontId="1" type="noConversion"/>
  </si>
  <si>
    <t>Gaffney et al. 2020</t>
    <phoneticPr fontId="1" type="noConversion"/>
  </si>
  <si>
    <t>Gaffney et al. 2020. Restoration of afforested peatland: Immediate effects on aquatic carbon loss</t>
    <phoneticPr fontId="1" type="noConversion"/>
  </si>
  <si>
    <t>Koskinen et al. 2017</t>
    <phoneticPr fontId="1" type="noConversion"/>
  </si>
  <si>
    <t>Koskinen et al. 2017. Restoration of nutrient-rich forestry-drained peatlands poses a risk for high exports of dissolved organic carbon, nitrogen, and phosphorus</t>
    <phoneticPr fontId="1" type="noConversion"/>
  </si>
  <si>
    <t>Renou-Wilson et al. 2014</t>
    <phoneticPr fontId="1" type="noConversion"/>
  </si>
  <si>
    <t>Renou-Wilson et al. 2014. The impacts of drainage, nutrient status and management practice on the full carbon balance of grasslands on organic soils in a maritime temperate zone</t>
    <phoneticPr fontId="1" type="noConversion"/>
  </si>
  <si>
    <t>Canada</t>
    <phoneticPr fontId="1" type="noConversion"/>
  </si>
  <si>
    <t>Peat extraction depth (m)</t>
    <phoneticPr fontId="1" type="noConversion"/>
  </si>
  <si>
    <t>SOC (g kg-1)</t>
    <phoneticPr fontId="1" type="noConversion"/>
  </si>
  <si>
    <t>Soil moisture</t>
    <phoneticPr fontId="1" type="noConversion"/>
  </si>
  <si>
    <t>Ireland</t>
  </si>
  <si>
    <t>UK</t>
    <phoneticPr fontId="1" type="noConversion"/>
  </si>
  <si>
    <t>Estonia</t>
  </si>
  <si>
    <t>Finland</t>
    <phoneticPr fontId="1" type="noConversion"/>
  </si>
  <si>
    <t>Year 1990</t>
    <phoneticPr fontId="1" type="noConversion"/>
  </si>
  <si>
    <t xml:space="preserve">soil use option (km2) </t>
    <phoneticPr fontId="1" type="noConversion"/>
  </si>
  <si>
    <t>Belarus</t>
    <phoneticPr fontId="1" type="noConversion"/>
  </si>
  <si>
    <t>Czech Rep.+ Slovakia</t>
  </si>
  <si>
    <t>Denmark</t>
    <phoneticPr fontId="1" type="noConversion"/>
  </si>
  <si>
    <t>France</t>
  </si>
  <si>
    <t>Germany</t>
  </si>
  <si>
    <t>Greece</t>
  </si>
  <si>
    <t>Hungary</t>
  </si>
  <si>
    <t>Iceland</t>
  </si>
  <si>
    <t>Latvia</t>
  </si>
  <si>
    <t>Lithuania</t>
  </si>
  <si>
    <t>Netherlands</t>
  </si>
  <si>
    <t>Norway</t>
  </si>
  <si>
    <t>Poland</t>
  </si>
  <si>
    <t>Russia</t>
  </si>
  <si>
    <t>Spain</t>
  </si>
  <si>
    <t>Sweden</t>
  </si>
  <si>
    <t>Switzerland</t>
  </si>
  <si>
    <t>Ukraine</t>
  </si>
  <si>
    <t>Total</t>
    <phoneticPr fontId="1" type="noConversion"/>
  </si>
  <si>
    <t>EU</t>
    <phoneticPr fontId="1" type="noConversion"/>
  </si>
  <si>
    <t>Total peatland area</t>
    <phoneticPr fontId="1" type="noConversion"/>
  </si>
  <si>
    <t>nd</t>
    <phoneticPr fontId="1" type="noConversion"/>
  </si>
  <si>
    <t>850-1500</t>
    <phoneticPr fontId="1" type="noConversion"/>
  </si>
  <si>
    <t>Rewetted</t>
    <phoneticPr fontId="1" type="noConversion"/>
  </si>
  <si>
    <t>From 35-Maljanen et al.2010;wise use of mires and peatlands;barthelmes et al.2009;Joosten et al.2016;</t>
    <phoneticPr fontId="1" type="noConversion"/>
  </si>
  <si>
    <t>In Europe, only approximately 1% of the drained peatlands have been rewetted so far: from Tanneberger, F., Joosten, H., Moen, A. &amp; Whinam, J. Mire and peatland conservation in Europe. In: Joosten, H., Tanneberger, F. &amp; Moen, A. (eds.): Mires and peatlands of Europe – Status, distribution and conservation. Schweizerbart Science Publishers, Stuttgart, 173–196 (2017).</t>
    <phoneticPr fontId="1" type="noConversion"/>
  </si>
  <si>
    <t>Röder, N., Grützmacher, F., 2012</t>
    <phoneticPr fontId="1" type="noConversion"/>
  </si>
  <si>
    <t>BD (g cm-3)</t>
    <phoneticPr fontId="1" type="noConversion"/>
  </si>
  <si>
    <t>Peat extraction percent (%)</t>
    <phoneticPr fontId="1" type="noConversion"/>
  </si>
  <si>
    <t>Pristine peatland</t>
    <phoneticPr fontId="1" type="noConversion"/>
  </si>
  <si>
    <t>Drained percent (%)</t>
    <phoneticPr fontId="1" type="noConversion"/>
  </si>
  <si>
    <t>Drained peatland area</t>
    <phoneticPr fontId="1" type="noConversion"/>
  </si>
  <si>
    <t>Total national land area</t>
    <phoneticPr fontId="1" type="noConversion"/>
  </si>
  <si>
    <t>Drained for forestry</t>
    <phoneticPr fontId="1" type="noConversion"/>
  </si>
  <si>
    <t>Drained for agriculture</t>
    <phoneticPr fontId="1" type="noConversion"/>
  </si>
  <si>
    <t>Drained for grassland</t>
    <phoneticPr fontId="1" type="noConversion"/>
  </si>
  <si>
    <t>Drained for peat extraction</t>
    <phoneticPr fontId="1" type="noConversion"/>
  </si>
  <si>
    <t>Temperate</t>
    <phoneticPr fontId="1" type="noConversion"/>
  </si>
  <si>
    <t>SOC</t>
    <phoneticPr fontId="1" type="noConversion"/>
  </si>
  <si>
    <t>g kg-1</t>
    <phoneticPr fontId="1" type="noConversion"/>
  </si>
  <si>
    <t>BD</t>
    <phoneticPr fontId="1" type="noConversion"/>
  </si>
  <si>
    <t>Soil depth</t>
    <phoneticPr fontId="1" type="noConversion"/>
  </si>
  <si>
    <t>m</t>
    <phoneticPr fontId="1" type="noConversion"/>
  </si>
  <si>
    <t>Area</t>
    <phoneticPr fontId="1" type="noConversion"/>
  </si>
  <si>
    <t>SOC concentration</t>
    <phoneticPr fontId="1" type="noConversion"/>
  </si>
  <si>
    <t>cm</t>
    <phoneticPr fontId="1" type="noConversion"/>
  </si>
  <si>
    <t>Climate</t>
    <phoneticPr fontId="1" type="noConversion"/>
  </si>
  <si>
    <t>g cm-1</t>
    <phoneticPr fontId="1" type="noConversion"/>
  </si>
  <si>
    <t>Peat extraction depth</t>
    <phoneticPr fontId="1" type="noConversion"/>
  </si>
  <si>
    <t>ha</t>
    <phoneticPr fontId="1" type="noConversion"/>
  </si>
  <si>
    <t>SD</t>
    <phoneticPr fontId="1" type="noConversion"/>
  </si>
  <si>
    <t>0-15</t>
    <phoneticPr fontId="1" type="noConversion"/>
  </si>
  <si>
    <t>Mean</t>
    <phoneticPr fontId="1" type="noConversion"/>
  </si>
  <si>
    <t>SE</t>
    <phoneticPr fontId="1" type="noConversion"/>
  </si>
  <si>
    <t>Peat extracted C</t>
    <phoneticPr fontId="1" type="noConversion"/>
  </si>
  <si>
    <t>kg m-3</t>
    <phoneticPr fontId="1" type="noConversion"/>
  </si>
  <si>
    <t>weighted extracted C</t>
    <phoneticPr fontId="1" type="noConversion"/>
  </si>
  <si>
    <t>Järveoja et al. 2016. Impact of water table level on annual carbon and greenhouse gas balances of a restored peat extraction area</t>
    <phoneticPr fontId="1" type="noConversion"/>
  </si>
  <si>
    <t>Peat extraction, bare peat, abandoned</t>
    <phoneticPr fontId="1" type="noConversion"/>
  </si>
  <si>
    <t>Peat extraction and grazing</t>
    <phoneticPr fontId="1" type="noConversion"/>
  </si>
  <si>
    <t>Peat extraction, agriculture</t>
    <phoneticPr fontId="1" type="noConversion"/>
  </si>
  <si>
    <t>Peat extraction, bare peat</t>
    <phoneticPr fontId="1" type="noConversion"/>
  </si>
  <si>
    <t>Boreal</t>
    <phoneticPr fontId="1" type="noConversion"/>
  </si>
  <si>
    <t>SE</t>
    <phoneticPr fontId="1" type="noConversion"/>
  </si>
  <si>
    <t>Temperate</t>
    <phoneticPr fontId="1" type="noConversion"/>
  </si>
  <si>
    <t>Tropical</t>
    <phoneticPr fontId="1" type="noConversion"/>
  </si>
  <si>
    <t>Overall</t>
    <phoneticPr fontId="1" type="noConversion"/>
  </si>
  <si>
    <t>Count</t>
    <phoneticPr fontId="1" type="noConversion"/>
  </si>
  <si>
    <t>CO2 part (kg CO2-eq. ha-1 yr-1)</t>
    <phoneticPr fontId="1" type="noConversion"/>
  </si>
  <si>
    <t>CH4 part (kg CO2-eq. ha-1 yr-1)</t>
    <phoneticPr fontId="1" type="noConversion"/>
  </si>
  <si>
    <t>N2O part (kg CO2-eq. ha-1 yr-1)</t>
    <phoneticPr fontId="1" type="noConversion"/>
  </si>
  <si>
    <t>Overll</t>
    <phoneticPr fontId="1" type="noConversion"/>
  </si>
  <si>
    <t>Harvested NPP (kg CO2-eq. ha-1 yr-1)</t>
    <phoneticPr fontId="1" type="noConversion"/>
  </si>
  <si>
    <t>DOC export (kg CO2-eq. ha-1 yr-1)</t>
    <phoneticPr fontId="1" type="noConversion"/>
  </si>
  <si>
    <t>Ditches CO2 emission (kg CO2-eq. ha-1 yr-1)</t>
    <phoneticPr fontId="1" type="noConversion"/>
  </si>
  <si>
    <t>Ditches CH4 emission (kg CO2-eq. ha-1 yr-1)</t>
    <phoneticPr fontId="1" type="noConversion"/>
  </si>
  <si>
    <t>Webb et al. 2018. Terrestrial versus aquatic carbon fluxes in a subtropical agricultural floodplain over an annual cycle</t>
    <phoneticPr fontId="1" type="noConversion"/>
  </si>
  <si>
    <t>Hergoualc’h and Verchot, 2014</t>
    <phoneticPr fontId="1" type="noConversion"/>
  </si>
  <si>
    <t>Dommain et al. 2018</t>
    <phoneticPr fontId="1" type="noConversion"/>
  </si>
  <si>
    <t>Strack and Zuback, 2013</t>
    <phoneticPr fontId="1" type="noConversion"/>
  </si>
  <si>
    <t>Järveoja et al. 2016</t>
    <phoneticPr fontId="1" type="noConversion"/>
  </si>
  <si>
    <t>Area-weighted on the basis of agriculture and grassland proportion</t>
    <phoneticPr fontId="1" type="noConversion"/>
  </si>
  <si>
    <t>Climate zone</t>
    <phoneticPr fontId="1" type="noConversion"/>
  </si>
  <si>
    <t>Area (kha)</t>
    <phoneticPr fontId="1" type="noConversion"/>
  </si>
  <si>
    <t>Land use category</t>
    <phoneticPr fontId="1" type="noConversion"/>
  </si>
  <si>
    <t>Forest</t>
    <phoneticPr fontId="1" type="noConversion"/>
  </si>
  <si>
    <t>Cropland</t>
    <phoneticPr fontId="1" type="noConversion"/>
  </si>
  <si>
    <t>Deep-drained grassland</t>
    <phoneticPr fontId="1" type="noConversion"/>
  </si>
  <si>
    <t>Shallow-drained grassland</t>
    <phoneticPr fontId="1" type="noConversion"/>
  </si>
  <si>
    <t>Agriculture+grassland</t>
    <phoneticPr fontId="1" type="noConversion"/>
  </si>
  <si>
    <t>Evans et al. 2016</t>
    <phoneticPr fontId="1" type="noConversion"/>
  </si>
  <si>
    <t>Peacock et al. 2019</t>
    <phoneticPr fontId="1" type="noConversion"/>
  </si>
  <si>
    <t>Evans et al. 2021</t>
    <phoneticPr fontId="1" type="noConversion"/>
  </si>
  <si>
    <t>Evans et al. 2016. Lowland Peatland Systems in England and Wales – Evaluating
Greenhouse Gas Fluxes and Carbon Balances. Final report to Defra on Project SP1210
(Centre for Ecology and Hydrology, 2016).</t>
    <phoneticPr fontId="1" type="noConversion"/>
  </si>
  <si>
    <t>Peacock et al. 2019. The full carbon balance of a rewetted cropland fen and a conservation-managed fen. Agric. Ecosyst. Environ. 269, 1–12.</t>
    <phoneticPr fontId="1" type="noConversion"/>
  </si>
  <si>
    <t>Evans et al. 2021.Overriding water table control on managed
peatland greenhouse gas emissions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</si>
</sst>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_ "/>
    <numFmt numFmtId="179" formatCode="0.00_);[Red]\(0.00\)"/>
    <numFmt numFmtId="180" formatCode="0_);[Red]\(0\)"/>
  </numFmts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176" fontId="5" fillId="2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Alignment="1">
      <alignment horizontal="left" vertical="center" wrapText="1"/>
    </xf>
    <xf numFmtId="177" fontId="7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1" fontId="6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left" vertical="center" wrapText="1"/>
    </xf>
    <xf numFmtId="178" fontId="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179" fontId="4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179" fontId="4" fillId="9" borderId="0" xfId="0" applyNumberFormat="1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3" fontId="4" fillId="10" borderId="0" xfId="0" applyNumberFormat="1" applyFont="1" applyFill="1" applyAlignment="1">
      <alignment horizontal="left" vertical="center"/>
    </xf>
    <xf numFmtId="180" fontId="4" fillId="0" borderId="0" xfId="0" applyNumberFormat="1" applyFont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457</xdr:row>
      <xdr:rowOff>21431</xdr:rowOff>
    </xdr:from>
    <xdr:to>
      <xdr:col>12</xdr:col>
      <xdr:colOff>759714</xdr:colOff>
      <xdr:row>481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E12B00-B60E-4B95-9A49-5817FA5CE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555"/>
        <a:stretch/>
      </xdr:blipFill>
      <xdr:spPr>
        <a:xfrm>
          <a:off x="5067300" y="18126551"/>
          <a:ext cx="8250174" cy="43829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rmisch\H%20pan\Wetland_Drainage\Meta-analsysis%20results\Drainage%20manuscript_lei%20ma\Supplementary%20data_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rmisch\T%20pan\Wetland%20NGS%20FTP%20Annual%20N2O\new%20origin%20files\2021.1\2021.1\Synthetic-data%20of%20N2O%20for%20wetlands-Annual-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rmisch\T%20pan\Wetland%20GHG\NEE\Appendix%20B_Measured%20annual%20NEE%20flux%20and%20ratio%20of%20GS%20to%20annual%20flu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rmisch\H%20pan\Wetland_Drainage\Soil%20respiration\Soil%20respiration\Soil%20respiration\Meta-data_CO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soil core"/>
      <sheetName val="Data_soil core_updated"/>
      <sheetName val="Data_in-situ"/>
      <sheetName val="Median calculation"/>
      <sheetName val="In-situ analysis"/>
      <sheetName val="Annual flux"/>
      <sheetName val="In-situ analysis-updated"/>
      <sheetName val="Soil core analysis"/>
      <sheetName val="GHG balance"/>
      <sheetName val="Regressions"/>
      <sheetName val="Normal distribution"/>
      <sheetName val="Global budgets"/>
    </sheetNames>
    <sheetDataSet>
      <sheetData sheetId="0" refreshError="1"/>
      <sheetData sheetId="1" refreshError="1"/>
      <sheetData sheetId="2" refreshError="1">
        <row r="14">
          <cell r="AS14" t="str">
            <v>0-10</v>
          </cell>
          <cell r="AT14">
            <v>206.37</v>
          </cell>
          <cell r="AU14">
            <v>34.79</v>
          </cell>
          <cell r="HB14" t="str">
            <v>0-10</v>
          </cell>
          <cell r="HC14">
            <v>0.31</v>
          </cell>
          <cell r="HD14">
            <v>6.8000000000000005E-2</v>
          </cell>
        </row>
        <row r="16">
          <cell r="AS16" t="str">
            <v>0-10</v>
          </cell>
          <cell r="AT16">
            <v>160.87</v>
          </cell>
          <cell r="AU16">
            <v>69.680000000000007</v>
          </cell>
          <cell r="HB16" t="str">
            <v>0-10</v>
          </cell>
          <cell r="HC16">
            <v>0.35199999999999998</v>
          </cell>
          <cell r="HD16">
            <v>8.3000000000000004E-2</v>
          </cell>
        </row>
        <row r="33">
          <cell r="AS33" t="str">
            <v>0-25</v>
          </cell>
          <cell r="AT33">
            <v>410</v>
          </cell>
          <cell r="AU33">
            <v>20</v>
          </cell>
          <cell r="HB33" t="str">
            <v>0-5</v>
          </cell>
          <cell r="HC33">
            <v>0.1</v>
          </cell>
          <cell r="HD33">
            <v>0.02</v>
          </cell>
        </row>
        <row r="34">
          <cell r="AS34" t="str">
            <v>0-10</v>
          </cell>
          <cell r="AT34">
            <v>498.6</v>
          </cell>
          <cell r="AU34">
            <v>3.6</v>
          </cell>
        </row>
        <row r="77">
          <cell r="AS77" t="str">
            <v>0-15</v>
          </cell>
          <cell r="AT77">
            <v>466.9</v>
          </cell>
          <cell r="AU77">
            <v>9.3649612919648515</v>
          </cell>
        </row>
        <row r="80">
          <cell r="AS80" t="str">
            <v>0-10</v>
          </cell>
          <cell r="AT80">
            <v>521.29999999999995</v>
          </cell>
          <cell r="AU80">
            <v>44.585300716297766</v>
          </cell>
          <cell r="HB80" t="str">
            <v>0-10</v>
          </cell>
          <cell r="HC80">
            <v>0.156</v>
          </cell>
          <cell r="HD80">
            <v>4.0000000000000001E-3</v>
          </cell>
        </row>
        <row r="98">
          <cell r="AS98" t="str">
            <v>0-10</v>
          </cell>
          <cell r="AT98">
            <v>340</v>
          </cell>
          <cell r="AU98">
            <v>3.4641016151377544</v>
          </cell>
        </row>
        <row r="104">
          <cell r="AS104" t="str">
            <v>0-20</v>
          </cell>
          <cell r="AT104">
            <v>496</v>
          </cell>
          <cell r="AU104">
            <v>8</v>
          </cell>
          <cell r="HB104" t="str">
            <v>0-20</v>
          </cell>
          <cell r="HC104">
            <v>6.8000000000000005E-2</v>
          </cell>
          <cell r="HD104">
            <v>8.9999999999999993E-3</v>
          </cell>
        </row>
        <row r="106">
          <cell r="AS106" t="str">
            <v>0-20</v>
          </cell>
          <cell r="AT106">
            <v>481</v>
          </cell>
          <cell r="AU106">
            <v>11</v>
          </cell>
          <cell r="HB106" t="str">
            <v>0-20</v>
          </cell>
          <cell r="HC106">
            <v>6.3E-2</v>
          </cell>
          <cell r="HD106">
            <v>1.2E-2</v>
          </cell>
        </row>
        <row r="108">
          <cell r="AS108" t="str">
            <v>0-20</v>
          </cell>
          <cell r="AT108">
            <v>473</v>
          </cell>
          <cell r="AU108">
            <v>16</v>
          </cell>
          <cell r="HB108" t="str">
            <v>0-20</v>
          </cell>
          <cell r="HC108">
            <v>5.8999999999999997E-2</v>
          </cell>
          <cell r="HD108">
            <v>8.0000000000000002E-3</v>
          </cell>
        </row>
        <row r="110">
          <cell r="AS110" t="str">
            <v>0-20</v>
          </cell>
          <cell r="AT110">
            <v>447</v>
          </cell>
          <cell r="AU110">
            <v>8</v>
          </cell>
          <cell r="HB110" t="str">
            <v>0-20</v>
          </cell>
          <cell r="HC110">
            <v>3.4000000000000002E-2</v>
          </cell>
          <cell r="HD110">
            <v>3.0000000000000001E-3</v>
          </cell>
        </row>
        <row r="112">
          <cell r="AS112" t="str">
            <v>0-15</v>
          </cell>
          <cell r="AT112">
            <v>97.177304964539019</v>
          </cell>
          <cell r="AU112">
            <v>1.4478677078300162E-2</v>
          </cell>
          <cell r="HB112" t="str">
            <v>0-15</v>
          </cell>
          <cell r="HC112">
            <v>0.94</v>
          </cell>
          <cell r="HD112">
            <v>0.17320508075688773</v>
          </cell>
        </row>
        <row r="116">
          <cell r="AS116" t="str">
            <v>0-15</v>
          </cell>
          <cell r="AT116">
            <v>105.83333333333334</v>
          </cell>
          <cell r="AU116">
            <v>2.2997342020000547E-2</v>
          </cell>
          <cell r="HB116" t="str">
            <v>0-15</v>
          </cell>
          <cell r="HC116">
            <v>0.84</v>
          </cell>
          <cell r="HD116">
            <v>0.20784609690826525</v>
          </cell>
        </row>
        <row r="120">
          <cell r="AS120" t="str">
            <v>0-15</v>
          </cell>
          <cell r="AT120">
            <v>108.85365853658537</v>
          </cell>
          <cell r="AU120">
            <v>1.7270220770266173E-2</v>
          </cell>
          <cell r="HB120" t="str">
            <v>0-15</v>
          </cell>
          <cell r="HC120">
            <v>0.82</v>
          </cell>
          <cell r="HD120">
            <v>0.12124355652982141</v>
          </cell>
        </row>
        <row r="122">
          <cell r="AS122" t="str">
            <v>0-15</v>
          </cell>
          <cell r="AT122">
            <v>96.373015873015888</v>
          </cell>
          <cell r="AU122">
            <v>2.1326282023838253E-2</v>
          </cell>
          <cell r="HB122" t="str">
            <v>0-15</v>
          </cell>
          <cell r="HC122">
            <v>0.84</v>
          </cell>
          <cell r="HD122">
            <v>0.22516660498395405</v>
          </cell>
        </row>
        <row r="124">
          <cell r="AS124" t="str">
            <v>0-15</v>
          </cell>
          <cell r="AT124">
            <v>91.948220064724921</v>
          </cell>
          <cell r="AU124">
            <v>1.9252700296627283E-2</v>
          </cell>
          <cell r="HB124" t="str">
            <v>0-15</v>
          </cell>
          <cell r="HC124">
            <v>1.03</v>
          </cell>
          <cell r="HD124">
            <v>0.20784609690826525</v>
          </cell>
        </row>
        <row r="126">
          <cell r="AS126" t="str">
            <v>0-15</v>
          </cell>
          <cell r="AT126">
            <v>163.6521739130435</v>
          </cell>
          <cell r="AU126">
            <v>2.1844125519026765E-2</v>
          </cell>
          <cell r="HB126" t="str">
            <v>0-15</v>
          </cell>
          <cell r="HC126">
            <v>0.69</v>
          </cell>
          <cell r="HD126">
            <v>8.6602540378443865E-2</v>
          </cell>
        </row>
        <row r="134">
          <cell r="AS134" t="str">
            <v>0-20</v>
          </cell>
          <cell r="AT134">
            <v>454</v>
          </cell>
          <cell r="AU134">
            <v>2.1</v>
          </cell>
          <cell r="HB134" t="str">
            <v>0-20</v>
          </cell>
          <cell r="HC134">
            <v>0.16</v>
          </cell>
          <cell r="HD134">
            <v>0.05</v>
          </cell>
        </row>
        <row r="135">
          <cell r="AS135" t="str">
            <v>0-10</v>
          </cell>
          <cell r="AT135">
            <v>450</v>
          </cell>
          <cell r="AU135">
            <v>8.6602540378443855</v>
          </cell>
          <cell r="HB135" t="str">
            <v>0-10</v>
          </cell>
          <cell r="HC135">
            <v>0.03</v>
          </cell>
          <cell r="HD135">
            <v>5.1723522943947289E-3</v>
          </cell>
        </row>
        <row r="137">
          <cell r="HB137" t="str">
            <v>0-10</v>
          </cell>
          <cell r="HC137">
            <v>0.03</v>
          </cell>
          <cell r="HD137">
            <v>5.1723522943947289E-3</v>
          </cell>
        </row>
        <row r="141">
          <cell r="AS141" t="str">
            <v>0-10</v>
          </cell>
          <cell r="AT141">
            <v>540</v>
          </cell>
          <cell r="AU141">
            <v>28.284271247461902</v>
          </cell>
          <cell r="HB141" t="str">
            <v>0-10</v>
          </cell>
          <cell r="HC141">
            <v>0.1</v>
          </cell>
          <cell r="HD141">
            <v>1.7241174314649096E-2</v>
          </cell>
        </row>
        <row r="143">
          <cell r="HB143" t="str">
            <v>0-10</v>
          </cell>
          <cell r="HC143">
            <v>0.1</v>
          </cell>
          <cell r="HD143">
            <v>1.7241174314649096E-2</v>
          </cell>
        </row>
        <row r="156">
          <cell r="AS156" t="str">
            <v>0-60</v>
          </cell>
          <cell r="AT156">
            <v>38.178654292343381</v>
          </cell>
          <cell r="AU156">
            <v>7.9118329466357311</v>
          </cell>
          <cell r="HB156" t="str">
            <v>0-60</v>
          </cell>
          <cell r="HC156">
            <v>0.36</v>
          </cell>
          <cell r="HD156">
            <v>0.01</v>
          </cell>
        </row>
        <row r="163">
          <cell r="AS163" t="str">
            <v>0-10</v>
          </cell>
          <cell r="AT163">
            <v>149</v>
          </cell>
          <cell r="AU163">
            <v>12.743544612945268</v>
          </cell>
        </row>
        <row r="166">
          <cell r="AS166" t="str">
            <v>0-10</v>
          </cell>
          <cell r="AT166">
            <v>145</v>
          </cell>
          <cell r="AU166">
            <v>12.401436032731972</v>
          </cell>
        </row>
        <row r="167">
          <cell r="AS167" t="str">
            <v>0-30</v>
          </cell>
          <cell r="AT167">
            <v>507.5</v>
          </cell>
          <cell r="AU167">
            <v>3.5355339059327378</v>
          </cell>
          <cell r="HB167" t="str">
            <v>0-30</v>
          </cell>
          <cell r="HC167">
            <v>6.25E-2</v>
          </cell>
          <cell r="HD167">
            <v>1.2529964086141668E-2</v>
          </cell>
        </row>
        <row r="168">
          <cell r="AS168" t="str">
            <v>0-10</v>
          </cell>
          <cell r="AT168">
            <v>351.3</v>
          </cell>
          <cell r="AU168">
            <v>30.0456860572327</v>
          </cell>
        </row>
        <row r="172">
          <cell r="AS172" t="str">
            <v>0-10</v>
          </cell>
          <cell r="AT172">
            <v>540</v>
          </cell>
          <cell r="AU172">
            <v>17.320508075688771</v>
          </cell>
        </row>
        <row r="182">
          <cell r="AS182" t="str">
            <v>0-10</v>
          </cell>
          <cell r="AT182">
            <v>206.37</v>
          </cell>
          <cell r="AU182">
            <v>34.796900724058744</v>
          </cell>
          <cell r="HB182" t="str">
            <v>0-10</v>
          </cell>
          <cell r="HC182">
            <v>0.31</v>
          </cell>
          <cell r="HD182">
            <v>6.9282032302755092E-2</v>
          </cell>
        </row>
        <row r="185">
          <cell r="AS185" t="str">
            <v>0-10</v>
          </cell>
          <cell r="AT185">
            <v>160.87</v>
          </cell>
          <cell r="AU185">
            <v>69.680403988495925</v>
          </cell>
          <cell r="HB185" t="str">
            <v>0-10</v>
          </cell>
          <cell r="HC185">
            <v>0.35</v>
          </cell>
          <cell r="HD185">
            <v>8.6602540378443865E-2</v>
          </cell>
        </row>
        <row r="188">
          <cell r="AS188" t="str">
            <v>0-10</v>
          </cell>
          <cell r="AT188">
            <v>206.37</v>
          </cell>
          <cell r="AU188">
            <v>34.796900724058744</v>
          </cell>
          <cell r="HB188" t="str">
            <v>0-10</v>
          </cell>
          <cell r="HC188">
            <v>0.31</v>
          </cell>
          <cell r="HD188">
            <v>6.9282032302755092E-2</v>
          </cell>
        </row>
        <row r="191">
          <cell r="AS191" t="str">
            <v>0-10</v>
          </cell>
          <cell r="AT191">
            <v>160.87</v>
          </cell>
          <cell r="AU191">
            <v>69.680403988495925</v>
          </cell>
          <cell r="HB191" t="str">
            <v>0-10</v>
          </cell>
          <cell r="HC191">
            <v>0.35</v>
          </cell>
          <cell r="HD191">
            <v>8.6602540378443865E-2</v>
          </cell>
        </row>
        <row r="193">
          <cell r="AS193" t="str">
            <v>0-10</v>
          </cell>
          <cell r="AT193">
            <v>206.37</v>
          </cell>
          <cell r="AU193">
            <v>34.796900724058744</v>
          </cell>
        </row>
        <row r="194">
          <cell r="AS194" t="str">
            <v>0-20</v>
          </cell>
          <cell r="AT194">
            <v>276</v>
          </cell>
          <cell r="AU194">
            <v>23.605492034717408</v>
          </cell>
          <cell r="HB194" t="str">
            <v>0-20</v>
          </cell>
          <cell r="HC194">
            <v>0.15</v>
          </cell>
          <cell r="HD194">
            <v>2.5861761471973645E-2</v>
          </cell>
        </row>
        <row r="195">
          <cell r="AS195" t="str">
            <v>0-20</v>
          </cell>
          <cell r="AT195">
            <v>410</v>
          </cell>
          <cell r="AU195">
            <v>35.066129471862816</v>
          </cell>
          <cell r="HB195" t="str">
            <v>0-20</v>
          </cell>
          <cell r="HC195">
            <v>0.09</v>
          </cell>
          <cell r="HD195">
            <v>1.5517056883184187E-2</v>
          </cell>
        </row>
        <row r="203">
          <cell r="AS203" t="str">
            <v>0-10</v>
          </cell>
          <cell r="AT203">
            <v>352</v>
          </cell>
          <cell r="AU203">
            <v>24.248711305964282</v>
          </cell>
          <cell r="HB203" t="str">
            <v>0-10</v>
          </cell>
          <cell r="HC203">
            <v>0.14000000000000001</v>
          </cell>
          <cell r="HD203">
            <v>2.4494897427831779E-2</v>
          </cell>
        </row>
        <row r="205">
          <cell r="AS205" t="str">
            <v>10-15</v>
          </cell>
          <cell r="AT205">
            <v>553</v>
          </cell>
          <cell r="AU205">
            <v>7</v>
          </cell>
          <cell r="HB205" t="str">
            <v>10-15</v>
          </cell>
          <cell r="HC205">
            <v>0.13200000000000001</v>
          </cell>
          <cell r="HD205">
            <v>8.9999999999999993E-3</v>
          </cell>
        </row>
        <row r="211">
          <cell r="AS211" t="str">
            <v>0-15</v>
          </cell>
          <cell r="AT211">
            <v>574.24593967517399</v>
          </cell>
          <cell r="AU211">
            <v>49.113615778880913</v>
          </cell>
          <cell r="HB211" t="str">
            <v>0-15</v>
          </cell>
          <cell r="HC211">
            <v>5.0999999999999997E-2</v>
          </cell>
          <cell r="HD211">
            <v>8.7929989004710378E-3</v>
          </cell>
        </row>
        <row r="213">
          <cell r="AS213" t="str">
            <v>0-15</v>
          </cell>
          <cell r="AT213">
            <v>499.4</v>
          </cell>
          <cell r="AU213">
            <v>7.9674337148168348</v>
          </cell>
          <cell r="HB213" t="str">
            <v>0-10</v>
          </cell>
          <cell r="HC213">
            <v>0.13</v>
          </cell>
          <cell r="HD213">
            <v>1.7320508075688773E-2</v>
          </cell>
        </row>
        <row r="216">
          <cell r="AS216" t="str">
            <v>0-15</v>
          </cell>
          <cell r="AT216">
            <v>530</v>
          </cell>
          <cell r="AU216">
            <v>45.329386878261687</v>
          </cell>
          <cell r="HB216" t="str">
            <v>0-15</v>
          </cell>
          <cell r="HC216">
            <v>0.01</v>
          </cell>
          <cell r="HD216">
            <v>1.7241174314649096E-3</v>
          </cell>
        </row>
        <row r="217">
          <cell r="AS217" t="str">
            <v>0-10</v>
          </cell>
          <cell r="AT217">
            <v>350</v>
          </cell>
          <cell r="AU217">
            <v>29.93450076866338</v>
          </cell>
        </row>
        <row r="219">
          <cell r="AS219" t="str">
            <v>0-10</v>
          </cell>
          <cell r="AT219">
            <v>460.92</v>
          </cell>
          <cell r="AU219">
            <v>8.6948950539957632</v>
          </cell>
          <cell r="HB219" t="str">
            <v>0-10</v>
          </cell>
          <cell r="HC219">
            <v>0.13</v>
          </cell>
          <cell r="HD219">
            <v>1.7320508075688773E-2</v>
          </cell>
        </row>
        <row r="221">
          <cell r="AS221" t="str">
            <v>0-10</v>
          </cell>
          <cell r="AT221">
            <v>555</v>
          </cell>
          <cell r="AU221">
            <v>8</v>
          </cell>
        </row>
        <row r="231">
          <cell r="HB231" t="str">
            <v>0-20</v>
          </cell>
          <cell r="HC231">
            <v>3.5000000000000003E-2</v>
          </cell>
          <cell r="HD231">
            <v>6.0344110101271846E-3</v>
          </cell>
        </row>
        <row r="235">
          <cell r="HB235" t="str">
            <v>0-20</v>
          </cell>
          <cell r="HC235">
            <v>5.8000000000000003E-2</v>
          </cell>
          <cell r="HD235">
            <v>9.999881102496477E-3</v>
          </cell>
        </row>
        <row r="239">
          <cell r="HB239" t="str">
            <v>0-20</v>
          </cell>
          <cell r="HC239">
            <v>6.7000000000000004E-2</v>
          </cell>
          <cell r="HD239">
            <v>1.1551586790814895E-2</v>
          </cell>
        </row>
        <row r="241">
          <cell r="HB241" t="str">
            <v>0-20</v>
          </cell>
          <cell r="HC241">
            <v>6.4000000000000001E-2</v>
          </cell>
          <cell r="HD241">
            <v>1.1034351561375421E-2</v>
          </cell>
        </row>
        <row r="243">
          <cell r="HB243" t="str">
            <v>0-20</v>
          </cell>
          <cell r="HC243">
            <v>0.13900000000000001</v>
          </cell>
          <cell r="HD243">
            <v>2.3965232297362245E-2</v>
          </cell>
        </row>
        <row r="272">
          <cell r="HB272" t="str">
            <v>0-10</v>
          </cell>
          <cell r="HC272">
            <v>0.02</v>
          </cell>
          <cell r="HD272">
            <v>8.4852813742385715E-3</v>
          </cell>
        </row>
        <row r="273">
          <cell r="HB273" t="str">
            <v>0-10</v>
          </cell>
          <cell r="HC273">
            <v>0.04</v>
          </cell>
          <cell r="HD273">
            <v>5.656854249492381E-3</v>
          </cell>
        </row>
        <row r="316">
          <cell r="HB316" t="str">
            <v>0-10</v>
          </cell>
          <cell r="HC316">
            <v>3.5000000000000003E-2</v>
          </cell>
          <cell r="HD316">
            <v>6.0344110101271846E-3</v>
          </cell>
        </row>
        <row r="322">
          <cell r="HB322" t="str">
            <v>0-10</v>
          </cell>
          <cell r="HC322">
            <v>5.8000000000000003E-2</v>
          </cell>
          <cell r="HD322">
            <v>9.999881102496477E-3</v>
          </cell>
        </row>
        <row r="326">
          <cell r="HB326" t="str">
            <v>0-10</v>
          </cell>
          <cell r="HC326">
            <v>6.7000000000000004E-2</v>
          </cell>
          <cell r="HD326">
            <v>1.1551586790814895E-2</v>
          </cell>
        </row>
        <row r="328">
          <cell r="HB328" t="str">
            <v>0-10</v>
          </cell>
          <cell r="HC328">
            <v>6.4000000000000001E-2</v>
          </cell>
          <cell r="HD328">
            <v>1.1034351561375421E-2</v>
          </cell>
        </row>
        <row r="330">
          <cell r="HB330" t="str">
            <v>0-10</v>
          </cell>
          <cell r="HC330">
            <v>0.13900000000000001</v>
          </cell>
          <cell r="HD330">
            <v>2.3965232297362245E-2</v>
          </cell>
        </row>
        <row r="331">
          <cell r="AS331" t="str">
            <v>0-10</v>
          </cell>
          <cell r="AT331">
            <v>251.7</v>
          </cell>
          <cell r="AU331">
            <v>4.8151012450414781</v>
          </cell>
        </row>
        <row r="364">
          <cell r="AS364" t="str">
            <v>0-10</v>
          </cell>
          <cell r="AT364">
            <v>350</v>
          </cell>
          <cell r="AU364">
            <v>29.93450076866338</v>
          </cell>
        </row>
        <row r="392">
          <cell r="AS392" t="str">
            <v>0-10</v>
          </cell>
          <cell r="AT392">
            <v>540</v>
          </cell>
          <cell r="AU392">
            <v>17.320508075688771</v>
          </cell>
        </row>
        <row r="394">
          <cell r="AS394" t="str">
            <v>0-10</v>
          </cell>
          <cell r="AT394">
            <v>82.029520295203014</v>
          </cell>
          <cell r="AU394">
            <v>6.6420664206641788</v>
          </cell>
          <cell r="HB394" t="str">
            <v>0-10</v>
          </cell>
          <cell r="HC394">
            <v>0.83443708609271505</v>
          </cell>
          <cell r="HD394">
            <v>0.21324503311258391</v>
          </cell>
        </row>
        <row r="410">
          <cell r="AS410" t="str">
            <v>0-5</v>
          </cell>
          <cell r="AT410">
            <v>578</v>
          </cell>
          <cell r="AU410">
            <v>49.434689840821235</v>
          </cell>
          <cell r="HB410" t="str">
            <v>0-5</v>
          </cell>
          <cell r="HC410">
            <v>0.14000000000000001</v>
          </cell>
          <cell r="HD410">
            <v>2.4137644040508738E-2</v>
          </cell>
        </row>
        <row r="412">
          <cell r="AS412" t="str">
            <v>0-20</v>
          </cell>
          <cell r="AT412">
            <v>410</v>
          </cell>
          <cell r="AU412">
            <v>35.066129471862816</v>
          </cell>
          <cell r="HB412" t="str">
            <v>0-20</v>
          </cell>
          <cell r="HC412">
            <v>0.09</v>
          </cell>
          <cell r="HD412">
            <v>1.5517056883184187E-2</v>
          </cell>
        </row>
        <row r="414">
          <cell r="AS414" t="str">
            <v>0-10</v>
          </cell>
          <cell r="AT414">
            <v>551.62412993039436</v>
          </cell>
          <cell r="AU414">
            <v>12.840529569169325</v>
          </cell>
          <cell r="HB414" t="str">
            <v>0-10</v>
          </cell>
          <cell r="HC414">
            <v>0.1</v>
          </cell>
          <cell r="HD414">
            <v>8.0000000000000002E-3</v>
          </cell>
        </row>
        <row r="416">
          <cell r="AS416" t="str">
            <v>0-30</v>
          </cell>
          <cell r="AT416">
            <v>479</v>
          </cell>
          <cell r="AU416">
            <v>15</v>
          </cell>
          <cell r="HB416" t="str">
            <v>0-30</v>
          </cell>
          <cell r="HC416">
            <v>0.12</v>
          </cell>
          <cell r="HD416">
            <v>0.02</v>
          </cell>
        </row>
        <row r="417">
          <cell r="AS417" t="str">
            <v>0-30</v>
          </cell>
          <cell r="AT417">
            <v>434</v>
          </cell>
          <cell r="AU417">
            <v>2</v>
          </cell>
          <cell r="HB417" t="str">
            <v>0-30</v>
          </cell>
          <cell r="HC417">
            <v>0.06</v>
          </cell>
          <cell r="HD417">
            <v>0.01</v>
          </cell>
        </row>
        <row r="434">
          <cell r="AS434" t="str">
            <v>0-10</v>
          </cell>
          <cell r="AT434">
            <v>490</v>
          </cell>
          <cell r="AU434">
            <v>41.90830107612873</v>
          </cell>
        </row>
        <row r="437">
          <cell r="AS437" t="str">
            <v>0-10</v>
          </cell>
          <cell r="AT437">
            <v>128.1</v>
          </cell>
          <cell r="AU437">
            <v>24.2</v>
          </cell>
        </row>
        <row r="439">
          <cell r="AS439" t="str">
            <v>0-25</v>
          </cell>
          <cell r="AT439">
            <v>478.1</v>
          </cell>
          <cell r="AU439">
            <v>15.06884202584923</v>
          </cell>
          <cell r="HB439" t="str">
            <v>0-10</v>
          </cell>
          <cell r="HC439">
            <v>0.15</v>
          </cell>
          <cell r="HD439">
            <v>6.9282032302755087E-3</v>
          </cell>
        </row>
        <row r="441">
          <cell r="AS441" t="str">
            <v>0-25</v>
          </cell>
          <cell r="AT441">
            <v>410</v>
          </cell>
          <cell r="AU441">
            <v>20</v>
          </cell>
          <cell r="HB441" t="str">
            <v>0-5</v>
          </cell>
          <cell r="HC441">
            <v>0.1</v>
          </cell>
          <cell r="HD441">
            <v>0.02</v>
          </cell>
        </row>
        <row r="444">
          <cell r="AS444" t="str">
            <v>0-15</v>
          </cell>
          <cell r="AT444">
            <v>574.24593967517399</v>
          </cell>
          <cell r="AU444">
            <v>49.113615778880913</v>
          </cell>
          <cell r="HB444" t="str">
            <v>0-15</v>
          </cell>
          <cell r="HC444">
            <v>5.0999999999999997E-2</v>
          </cell>
          <cell r="HD444">
            <v>8.7929989004710378E-3</v>
          </cell>
        </row>
        <row r="445">
          <cell r="AS445" t="str">
            <v>0-10</v>
          </cell>
          <cell r="AT445">
            <v>551.62412993039436</v>
          </cell>
          <cell r="AU445">
            <v>12.840529569169325</v>
          </cell>
          <cell r="HB445" t="str">
            <v>0-10</v>
          </cell>
          <cell r="HC445">
            <v>0.1</v>
          </cell>
          <cell r="HD445">
            <v>8.0000000000000002E-3</v>
          </cell>
        </row>
        <row r="448">
          <cell r="AS448" t="str">
            <v>0-10</v>
          </cell>
          <cell r="AT448">
            <v>498</v>
          </cell>
          <cell r="AU448">
            <v>42.592518236555321</v>
          </cell>
        </row>
        <row r="456">
          <cell r="HB456" t="str">
            <v>0-5</v>
          </cell>
          <cell r="HC456">
            <v>0.11</v>
          </cell>
          <cell r="HD456">
            <v>1.8965291746114006E-2</v>
          </cell>
        </row>
        <row r="461">
          <cell r="HB461" t="str">
            <v>0-5</v>
          </cell>
          <cell r="HC461">
            <v>0.11</v>
          </cell>
          <cell r="HD461">
            <v>1.8965291746114006E-2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-situ"/>
      <sheetName val="Keywords"/>
      <sheetName val="Calculation"/>
      <sheetName val="normal distribution analysis"/>
      <sheetName val="Sheet1"/>
      <sheetName val="Sheet2"/>
    </sheetNames>
    <sheetDataSet>
      <sheetData sheetId="0">
        <row r="2">
          <cell r="AY2" t="str">
            <v>0-25</v>
          </cell>
          <cell r="AZ2">
            <v>410</v>
          </cell>
          <cell r="BA2">
            <v>20</v>
          </cell>
          <cell r="CG2" t="str">
            <v>0-5</v>
          </cell>
          <cell r="CH2">
            <v>0.1</v>
          </cell>
          <cell r="CI2">
            <v>0.02</v>
          </cell>
        </row>
        <row r="29">
          <cell r="AY29" t="str">
            <v>0-20</v>
          </cell>
          <cell r="AZ29">
            <v>496</v>
          </cell>
          <cell r="BA29">
            <v>8</v>
          </cell>
          <cell r="CG29" t="str">
            <v>0-20</v>
          </cell>
          <cell r="CH29">
            <v>6.8000000000000005E-2</v>
          </cell>
          <cell r="CI29">
            <v>8.9999999999999993E-3</v>
          </cell>
        </row>
        <row r="31">
          <cell r="AY31" t="str">
            <v>0-20</v>
          </cell>
          <cell r="AZ31">
            <v>481</v>
          </cell>
          <cell r="BA31">
            <v>11</v>
          </cell>
          <cell r="CG31" t="str">
            <v>0-20</v>
          </cell>
          <cell r="CH31">
            <v>6.3E-2</v>
          </cell>
          <cell r="CI31">
            <v>1.2E-2</v>
          </cell>
        </row>
        <row r="33">
          <cell r="AY33" t="str">
            <v>0-20</v>
          </cell>
          <cell r="AZ33">
            <v>473</v>
          </cell>
          <cell r="BA33">
            <v>16</v>
          </cell>
        </row>
        <row r="35">
          <cell r="AY35" t="str">
            <v>0-20</v>
          </cell>
          <cell r="AZ35">
            <v>447</v>
          </cell>
          <cell r="BA35">
            <v>8</v>
          </cell>
          <cell r="CG35" t="str">
            <v>0-20</v>
          </cell>
          <cell r="CH35">
            <v>3.4000000000000002E-2</v>
          </cell>
          <cell r="CI35">
            <v>3.0000000000000001E-3</v>
          </cell>
        </row>
        <row r="51">
          <cell r="AY51" t="str">
            <v>0-10</v>
          </cell>
          <cell r="AZ51">
            <v>490</v>
          </cell>
        </row>
        <row r="55">
          <cell r="AY55" t="str">
            <v>0-10</v>
          </cell>
          <cell r="AZ55">
            <v>450</v>
          </cell>
          <cell r="BA55">
            <v>8.6602540378443855</v>
          </cell>
          <cell r="CG55" t="str">
            <v>0-10</v>
          </cell>
          <cell r="CH55">
            <v>0.03</v>
          </cell>
        </row>
        <row r="63">
          <cell r="AY63" t="str">
            <v>0-10</v>
          </cell>
          <cell r="AZ63">
            <v>540</v>
          </cell>
          <cell r="BA63">
            <v>28.284271247461902</v>
          </cell>
          <cell r="CG63" t="str">
            <v>0-10</v>
          </cell>
          <cell r="CH63">
            <v>0.1</v>
          </cell>
        </row>
        <row r="79">
          <cell r="AY79" t="str">
            <v>0-10</v>
          </cell>
          <cell r="AZ79">
            <v>145</v>
          </cell>
          <cell r="BA79" t="str">
            <v>/</v>
          </cell>
        </row>
        <row r="87">
          <cell r="AY87" t="str">
            <v>0-10</v>
          </cell>
          <cell r="AZ87">
            <v>352</v>
          </cell>
          <cell r="BA87">
            <v>24.248711305964282</v>
          </cell>
          <cell r="CG87" t="str">
            <v>0-10</v>
          </cell>
          <cell r="CH87">
            <v>0.14000000000000001</v>
          </cell>
          <cell r="CI87">
            <v>2.4494897427831779E-2</v>
          </cell>
        </row>
        <row r="90">
          <cell r="AY90" t="str">
            <v>0-15</v>
          </cell>
          <cell r="AZ90">
            <v>499.4</v>
          </cell>
          <cell r="BA90">
            <v>7.9674337148168348</v>
          </cell>
          <cell r="CG90" t="str">
            <v>0-10</v>
          </cell>
          <cell r="CH90">
            <v>0.13</v>
          </cell>
          <cell r="CI90">
            <v>1.7320508075688773E-2</v>
          </cell>
        </row>
        <row r="92">
          <cell r="AY92" t="str">
            <v>0-15</v>
          </cell>
          <cell r="AZ92">
            <v>530</v>
          </cell>
          <cell r="BA92" t="str">
            <v>/</v>
          </cell>
          <cell r="CG92" t="str">
            <v>0-15</v>
          </cell>
          <cell r="CH92">
            <v>0.01</v>
          </cell>
          <cell r="CI92" t="str">
            <v>/</v>
          </cell>
        </row>
        <row r="94">
          <cell r="AY94" t="str">
            <v>0-10</v>
          </cell>
          <cell r="AZ94">
            <v>460.92</v>
          </cell>
          <cell r="BA94">
            <v>8.6948950539957632</v>
          </cell>
          <cell r="CG94" t="str">
            <v>0-10</v>
          </cell>
          <cell r="CH94">
            <v>0.13</v>
          </cell>
          <cell r="CI94">
            <v>1.7320508075688773E-2</v>
          </cell>
        </row>
        <row r="112">
          <cell r="AY112" t="str">
            <v>0-10</v>
          </cell>
          <cell r="AZ112">
            <v>503</v>
          </cell>
          <cell r="CG112" t="str">
            <v>0-10</v>
          </cell>
          <cell r="CH112">
            <v>0.24</v>
          </cell>
          <cell r="CI112">
            <v>0.02</v>
          </cell>
        </row>
        <row r="113">
          <cell r="AY113" t="str">
            <v>0-10</v>
          </cell>
          <cell r="AZ113">
            <v>457.6</v>
          </cell>
          <cell r="CG113" t="str">
            <v>0-10</v>
          </cell>
          <cell r="CH113">
            <v>0.4</v>
          </cell>
          <cell r="CI113">
            <v>0.12</v>
          </cell>
        </row>
        <row r="114">
          <cell r="AY114" t="str">
            <v>0-10</v>
          </cell>
          <cell r="AZ114">
            <v>482</v>
          </cell>
        </row>
        <row r="236">
          <cell r="AY236" t="str">
            <v>0-65</v>
          </cell>
          <cell r="AZ236">
            <v>480</v>
          </cell>
          <cell r="BA236">
            <v>10</v>
          </cell>
          <cell r="CG236" t="str">
            <v>0-65</v>
          </cell>
          <cell r="CH236">
            <v>0.18</v>
          </cell>
          <cell r="CI236">
            <v>0.01</v>
          </cell>
        </row>
        <row r="237">
          <cell r="AY237" t="str">
            <v>65-80</v>
          </cell>
          <cell r="AZ237">
            <v>480</v>
          </cell>
          <cell r="BA237">
            <v>20</v>
          </cell>
          <cell r="CG237" t="str">
            <v>65-80</v>
          </cell>
          <cell r="CH237">
            <v>0.11</v>
          </cell>
          <cell r="CI237">
            <v>0.01</v>
          </cell>
        </row>
        <row r="238">
          <cell r="CG238" t="str">
            <v>0-65</v>
          </cell>
          <cell r="CH238">
            <v>0.18</v>
          </cell>
          <cell r="CI238">
            <v>0.01</v>
          </cell>
        </row>
        <row r="239">
          <cell r="CG239" t="str">
            <v>65-80</v>
          </cell>
          <cell r="CH239">
            <v>0.14000000000000001</v>
          </cell>
          <cell r="CI239">
            <v>0.01</v>
          </cell>
        </row>
        <row r="292">
          <cell r="CH292">
            <v>0.14000000000000001</v>
          </cell>
          <cell r="CI292">
            <v>0.08</v>
          </cell>
        </row>
        <row r="293">
          <cell r="CH293">
            <v>0.06</v>
          </cell>
          <cell r="CI293">
            <v>0.01</v>
          </cell>
        </row>
        <row r="294">
          <cell r="AY294"/>
          <cell r="AZ294">
            <v>420</v>
          </cell>
        </row>
        <row r="319">
          <cell r="AY319"/>
          <cell r="AZ319">
            <v>454</v>
          </cell>
          <cell r="BA319">
            <v>2.1</v>
          </cell>
          <cell r="CH319">
            <v>0.16</v>
          </cell>
          <cell r="CI319">
            <v>0.05</v>
          </cell>
        </row>
        <row r="329">
          <cell r="AY329"/>
          <cell r="AZ329">
            <v>295</v>
          </cell>
          <cell r="CH329">
            <v>0.14000000000000001</v>
          </cell>
        </row>
        <row r="508">
          <cell r="AY508" t="str">
            <v>0-60</v>
          </cell>
          <cell r="AZ508">
            <v>38.178654292343381</v>
          </cell>
          <cell r="BA508">
            <v>7.9118329466357311</v>
          </cell>
          <cell r="CG508" t="str">
            <v>0-60</v>
          </cell>
          <cell r="CH508">
            <v>0.36</v>
          </cell>
          <cell r="CI508">
            <v>0.01</v>
          </cell>
        </row>
        <row r="516">
          <cell r="AY516" t="str">
            <v>0-10</v>
          </cell>
          <cell r="AZ516">
            <v>350</v>
          </cell>
          <cell r="BA516" t="str">
            <v>/</v>
          </cell>
        </row>
        <row r="519">
          <cell r="AY519" t="str">
            <v>0-5</v>
          </cell>
          <cell r="AZ519">
            <v>321.8</v>
          </cell>
          <cell r="BA519">
            <v>19.100000000000001</v>
          </cell>
          <cell r="CG519" t="str">
            <v>0-5</v>
          </cell>
          <cell r="CH519">
            <v>0.35</v>
          </cell>
          <cell r="CI519">
            <v>0.08</v>
          </cell>
        </row>
        <row r="521">
          <cell r="AY521" t="str">
            <v>0-5</v>
          </cell>
          <cell r="AZ521">
            <v>148.1</v>
          </cell>
          <cell r="BA521">
            <v>51</v>
          </cell>
          <cell r="CG521" t="str">
            <v>0-5</v>
          </cell>
          <cell r="CH521">
            <v>0.56000000000000005</v>
          </cell>
          <cell r="CI521">
            <v>0.21</v>
          </cell>
        </row>
        <row r="523">
          <cell r="AY523" t="str">
            <v>0-10</v>
          </cell>
          <cell r="AZ523">
            <v>301.60000000000002</v>
          </cell>
        </row>
        <row r="524">
          <cell r="AY524" t="str">
            <v>0-10</v>
          </cell>
          <cell r="AZ524">
            <v>301.60000000000002</v>
          </cell>
        </row>
        <row r="526">
          <cell r="AY526" t="str">
            <v>0-10</v>
          </cell>
          <cell r="AZ526">
            <v>130.9</v>
          </cell>
        </row>
        <row r="529">
          <cell r="AY529" t="str">
            <v>0-10</v>
          </cell>
          <cell r="AZ529">
            <v>102.3</v>
          </cell>
        </row>
        <row r="532">
          <cell r="AY532" t="str">
            <v>0-10</v>
          </cell>
          <cell r="AZ532">
            <v>128.1</v>
          </cell>
          <cell r="BA532">
            <v>24.2</v>
          </cell>
        </row>
        <row r="535">
          <cell r="AY535" t="str">
            <v>0-10</v>
          </cell>
          <cell r="AZ535">
            <v>89.03</v>
          </cell>
          <cell r="BA535">
            <v>2.14</v>
          </cell>
        </row>
        <row r="536">
          <cell r="AY536" t="str">
            <v>0-10</v>
          </cell>
          <cell r="AZ536">
            <v>31.01</v>
          </cell>
          <cell r="BA536">
            <v>1.83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ngrowing season flux of NEE"/>
      <sheetName val="Keywords"/>
      <sheetName val="Sheet1"/>
    </sheetNames>
    <sheetDataSet>
      <sheetData sheetId="0">
        <row r="452">
          <cell r="DA452">
            <v>0.06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laborotary"/>
      <sheetName val="Data_in-situ"/>
      <sheetName val="Keywords"/>
      <sheetName val="Calculation"/>
      <sheetName val="results"/>
      <sheetName val="correlations"/>
      <sheetName val="normal test"/>
      <sheetName val="subsidence drainage"/>
    </sheetNames>
    <sheetDataSet>
      <sheetData sheetId="0"/>
      <sheetData sheetId="1">
        <row r="20">
          <cell r="AH20" t="str">
            <v>0-10</v>
          </cell>
          <cell r="AI20">
            <v>498.6</v>
          </cell>
          <cell r="AJ20">
            <v>3.6</v>
          </cell>
        </row>
        <row r="22">
          <cell r="AH22" t="str">
            <v>0-10</v>
          </cell>
          <cell r="AI22">
            <v>544.08352668213456</v>
          </cell>
          <cell r="AJ22">
            <v>1.9721577726218098</v>
          </cell>
        </row>
        <row r="41">
          <cell r="AH41" t="str">
            <v>0-15</v>
          </cell>
          <cell r="AI41">
            <v>466.9</v>
          </cell>
          <cell r="AJ41">
            <v>9.3649612919648515</v>
          </cell>
        </row>
        <row r="53">
          <cell r="AH53" t="str">
            <v>0-10</v>
          </cell>
          <cell r="AI53">
            <v>340</v>
          </cell>
          <cell r="AJ53">
            <v>3.4641016151377544</v>
          </cell>
        </row>
        <row r="55">
          <cell r="AH55" t="str">
            <v>0-20</v>
          </cell>
          <cell r="AI55">
            <v>496</v>
          </cell>
          <cell r="AJ55">
            <v>8</v>
          </cell>
          <cell r="GK55" t="str">
            <v>0-20</v>
          </cell>
          <cell r="GL55">
            <v>6.8000000000000005E-2</v>
          </cell>
          <cell r="GM55">
            <v>8.9999999999999993E-3</v>
          </cell>
        </row>
        <row r="57">
          <cell r="AH57" t="str">
            <v>0-20</v>
          </cell>
          <cell r="AI57">
            <v>481</v>
          </cell>
          <cell r="AJ57">
            <v>11</v>
          </cell>
          <cell r="GK57" t="str">
            <v>0-20</v>
          </cell>
          <cell r="GL57">
            <v>6.3E-2</v>
          </cell>
          <cell r="GM57">
            <v>1.2E-2</v>
          </cell>
        </row>
        <row r="59">
          <cell r="AH59" t="str">
            <v>0-20</v>
          </cell>
          <cell r="AI59">
            <v>473</v>
          </cell>
          <cell r="AJ59">
            <v>16</v>
          </cell>
        </row>
        <row r="61">
          <cell r="AH61" t="str">
            <v>0-20</v>
          </cell>
          <cell r="AI61">
            <v>447</v>
          </cell>
          <cell r="AJ61">
            <v>8</v>
          </cell>
          <cell r="GK61" t="str">
            <v>0-20</v>
          </cell>
          <cell r="GL61">
            <v>3.4000000000000002E-2</v>
          </cell>
          <cell r="GM61">
            <v>3.0000000000000001E-3</v>
          </cell>
        </row>
        <row r="63">
          <cell r="AH63" t="str">
            <v>0-10</v>
          </cell>
          <cell r="AI63">
            <v>490</v>
          </cell>
          <cell r="AJ63">
            <v>40.466603477859259</v>
          </cell>
        </row>
        <row r="65">
          <cell r="AH65" t="str">
            <v>0-20</v>
          </cell>
          <cell r="AI65">
            <v>454</v>
          </cell>
          <cell r="AJ65">
            <v>2.1</v>
          </cell>
          <cell r="GK65" t="str">
            <v>0-20</v>
          </cell>
          <cell r="GL65">
            <v>0.16</v>
          </cell>
          <cell r="GM65">
            <v>0.05</v>
          </cell>
        </row>
        <row r="66">
          <cell r="GK66" t="str">
            <v>0-10</v>
          </cell>
          <cell r="GL66">
            <v>0.03</v>
          </cell>
          <cell r="GM66">
            <v>5.4371583881239428E-3</v>
          </cell>
        </row>
        <row r="72">
          <cell r="AH72" t="str">
            <v>0-10</v>
          </cell>
          <cell r="AI72">
            <v>540</v>
          </cell>
          <cell r="AJ72">
            <v>28.284271247461902</v>
          </cell>
          <cell r="GK72" t="str">
            <v>0-10</v>
          </cell>
          <cell r="GL72">
            <v>0.1</v>
          </cell>
          <cell r="GM72">
            <v>1.8123861293746477E-2</v>
          </cell>
        </row>
        <row r="87">
          <cell r="AH87" t="str">
            <v>0-10</v>
          </cell>
          <cell r="AI87">
            <v>540</v>
          </cell>
          <cell r="AJ87">
            <v>17.320508075688771</v>
          </cell>
        </row>
        <row r="95">
          <cell r="AH95" t="str">
            <v>10-15</v>
          </cell>
          <cell r="AI95">
            <v>553</v>
          </cell>
          <cell r="AJ95">
            <v>7</v>
          </cell>
          <cell r="GK95" t="str">
            <v>10-15</v>
          </cell>
          <cell r="GL95">
            <v>0.13200000000000001</v>
          </cell>
          <cell r="GM95">
            <v>8.9999999999999993E-3</v>
          </cell>
        </row>
        <row r="104">
          <cell r="AH104" t="str">
            <v>0-10</v>
          </cell>
          <cell r="AI104">
            <v>555</v>
          </cell>
          <cell r="AJ104">
            <v>8</v>
          </cell>
        </row>
        <row r="105">
          <cell r="GK105" t="str">
            <v>0-20</v>
          </cell>
          <cell r="GL105">
            <v>3.5000000000000003E-2</v>
          </cell>
          <cell r="GM105">
            <v>6.3433514528112673E-3</v>
          </cell>
        </row>
        <row r="111">
          <cell r="GK111" t="str">
            <v>0-20</v>
          </cell>
          <cell r="GL111">
            <v>5.8000000000000003E-2</v>
          </cell>
          <cell r="GM111">
            <v>1.0511839550372958E-2</v>
          </cell>
        </row>
        <row r="115">
          <cell r="GK115" t="str">
            <v>0-20</v>
          </cell>
          <cell r="GL115">
            <v>0.26</v>
          </cell>
          <cell r="GM115">
            <v>4.7122039363740841E-2</v>
          </cell>
        </row>
        <row r="118">
          <cell r="GK118" t="str">
            <v>0-20</v>
          </cell>
          <cell r="GL118">
            <v>6.7000000000000004E-2</v>
          </cell>
          <cell r="GM118">
            <v>1.214298706681014E-2</v>
          </cell>
        </row>
        <row r="120">
          <cell r="GK120" t="str">
            <v>0-20</v>
          </cell>
          <cell r="GL120">
            <v>6.4000000000000001E-2</v>
          </cell>
          <cell r="GM120">
            <v>1.1599271227997745E-2</v>
          </cell>
        </row>
        <row r="122">
          <cell r="GK122" t="str">
            <v>0-20</v>
          </cell>
          <cell r="GL122">
            <v>0.13900000000000001</v>
          </cell>
          <cell r="GM122">
            <v>2.5192167198307604E-2</v>
          </cell>
        </row>
        <row r="123">
          <cell r="GK123" t="str">
            <v>0-10</v>
          </cell>
          <cell r="GL123">
            <v>3.5000000000000003E-2</v>
          </cell>
          <cell r="GM123">
            <v>6.3433514528112673E-3</v>
          </cell>
        </row>
        <row r="129">
          <cell r="GK129" t="str">
            <v>0-10</v>
          </cell>
          <cell r="GL129">
            <v>5.8000000000000003E-2</v>
          </cell>
          <cell r="GM129">
            <v>1.0511839550372958E-2</v>
          </cell>
        </row>
        <row r="133">
          <cell r="GK133" t="str">
            <v>0-10</v>
          </cell>
          <cell r="GL133">
            <v>6.7000000000000004E-2</v>
          </cell>
          <cell r="GM133">
            <v>1.214298706681014E-2</v>
          </cell>
        </row>
        <row r="135">
          <cell r="GK135" t="str">
            <v>0-10</v>
          </cell>
          <cell r="GL135">
            <v>6.4000000000000001E-2</v>
          </cell>
          <cell r="GM135">
            <v>1.1599271227997745E-2</v>
          </cell>
        </row>
        <row r="137">
          <cell r="GK137" t="str">
            <v>0-10</v>
          </cell>
          <cell r="GL137">
            <v>0.13900000000000001</v>
          </cell>
          <cell r="GM137">
            <v>2.5192167198307604E-2</v>
          </cell>
        </row>
        <row r="171">
          <cell r="AH171" t="str">
            <v>0-25</v>
          </cell>
          <cell r="AI171">
            <v>478.1</v>
          </cell>
          <cell r="AJ171">
            <v>15.06884202584923</v>
          </cell>
          <cell r="GK171" t="str">
            <v>0-10</v>
          </cell>
          <cell r="GL171">
            <v>0.15</v>
          </cell>
          <cell r="GM171">
            <v>6.9282032302755087E-3</v>
          </cell>
        </row>
        <row r="173">
          <cell r="AH173" t="str">
            <v>0-10</v>
          </cell>
          <cell r="AI173">
            <v>551.62412993039436</v>
          </cell>
          <cell r="AJ173">
            <v>12.840529569169325</v>
          </cell>
          <cell r="GK173" t="str">
            <v>0-10</v>
          </cell>
          <cell r="GL173">
            <v>0.1</v>
          </cell>
          <cell r="GM173">
            <v>8.0000000000000002E-3</v>
          </cell>
        </row>
        <row r="176">
          <cell r="AH176" t="str">
            <v>0-15</v>
          </cell>
          <cell r="AI176">
            <v>574.24593967517399</v>
          </cell>
          <cell r="AJ176">
            <v>47.424046407359093</v>
          </cell>
          <cell r="GK176" t="str">
            <v>0-15</v>
          </cell>
          <cell r="GL176">
            <v>5.0999999999999997E-2</v>
          </cell>
          <cell r="GM176">
            <v>9.2431692598107032E-3</v>
          </cell>
        </row>
        <row r="178">
          <cell r="GK178" t="str">
            <v>0-15</v>
          </cell>
          <cell r="GL178">
            <v>5.0999999999999997E-2</v>
          </cell>
          <cell r="GM178">
            <v>9.2431692598107032E-3</v>
          </cell>
        </row>
        <row r="198">
          <cell r="AH198" t="str">
            <v>0-5</v>
          </cell>
          <cell r="AI198">
            <v>499</v>
          </cell>
          <cell r="AJ198">
            <v>2</v>
          </cell>
          <cell r="GK198" t="str">
            <v>0-5</v>
          </cell>
          <cell r="GL198">
            <v>0.11</v>
          </cell>
          <cell r="GM198">
            <v>0.01</v>
          </cell>
        </row>
        <row r="200">
          <cell r="GK200" t="str">
            <v>0-25</v>
          </cell>
          <cell r="GL200">
            <v>0.14599999999999999</v>
          </cell>
          <cell r="GM200">
            <v>8.0000000000000002E-3</v>
          </cell>
        </row>
        <row r="262">
          <cell r="AH262" t="str">
            <v>0-10</v>
          </cell>
          <cell r="AI262">
            <v>519</v>
          </cell>
          <cell r="AJ262">
            <v>42.861565724508075</v>
          </cell>
          <cell r="GK262" t="str">
            <v>0-10</v>
          </cell>
          <cell r="GL262">
            <v>6.0900000000000003E-2</v>
          </cell>
          <cell r="GM262">
            <v>1.1037431527891604E-2</v>
          </cell>
        </row>
        <row r="278">
          <cell r="GK278" t="str">
            <v>0-5</v>
          </cell>
          <cell r="GL278">
            <v>0.2</v>
          </cell>
          <cell r="GM278">
            <v>3.4641016151377546E-2</v>
          </cell>
        </row>
        <row r="299">
          <cell r="AH299" t="str">
            <v>0-10</v>
          </cell>
          <cell r="AI299">
            <v>431</v>
          </cell>
          <cell r="AJ299">
            <v>3.4641016151377544</v>
          </cell>
          <cell r="GK299" t="str">
            <v>0-10</v>
          </cell>
          <cell r="GL299">
            <v>0.46</v>
          </cell>
          <cell r="GM299">
            <v>3.4641016151377546E-2</v>
          </cell>
        </row>
        <row r="315">
          <cell r="AH315" t="str">
            <v>6-15</v>
          </cell>
          <cell r="AI315">
            <v>485</v>
          </cell>
          <cell r="AJ315">
            <v>49.477267507411923</v>
          </cell>
          <cell r="GK315" t="str">
            <v>6-15</v>
          </cell>
          <cell r="GL315">
            <v>0.15</v>
          </cell>
          <cell r="GM315">
            <v>0.01</v>
          </cell>
        </row>
        <row r="317">
          <cell r="GK317" t="str">
            <v>6-15</v>
          </cell>
          <cell r="GL317">
            <v>0.18</v>
          </cell>
          <cell r="GM317">
            <v>0.02</v>
          </cell>
        </row>
        <row r="321">
          <cell r="GK321" t="str">
            <v>6-15</v>
          </cell>
          <cell r="GL321">
            <v>0.16499999999999998</v>
          </cell>
          <cell r="GM321">
            <v>1.1180339887498949E-2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22910-846D-4590-A6F6-46DF95A2B327}">
  <dimension ref="A1:BA486"/>
  <sheetViews>
    <sheetView tabSelected="1" workbookViewId="0">
      <pane xSplit="4" ySplit="1" topLeftCell="U2" activePane="bottomRight" state="frozen"/>
      <selection pane="topRight" activeCell="E1" sqref="E1"/>
      <selection pane="bottomLeft" activeCell="A2" sqref="A2"/>
      <selection pane="bottomRight" activeCell="Z250" sqref="Z250"/>
    </sheetView>
  </sheetViews>
  <sheetFormatPr defaultColWidth="8.88671875" defaultRowHeight="14.4"/>
  <cols>
    <col min="1" max="1" width="24.21875" style="1" customWidth="1"/>
    <col min="2" max="5" width="16.33203125" style="1" customWidth="1"/>
    <col min="6" max="7" width="16.33203125" style="7" customWidth="1"/>
    <col min="8" max="8" width="16.33203125" style="1" customWidth="1"/>
    <col min="9" max="9" width="17.88671875" style="1" customWidth="1"/>
    <col min="10" max="11" width="8.88671875" style="7"/>
    <col min="12" max="12" width="8.88671875" style="1"/>
    <col min="13" max="13" width="17.88671875" style="1" customWidth="1"/>
    <col min="14" max="15" width="8.88671875" style="7"/>
    <col min="16" max="16" width="8.88671875" style="1"/>
    <col min="17" max="17" width="17.88671875" style="1" customWidth="1"/>
    <col min="18" max="19" width="8.88671875" style="7"/>
    <col min="20" max="20" width="8.88671875" style="1"/>
    <col min="21" max="21" width="17.88671875" style="1" customWidth="1"/>
    <col min="22" max="23" width="8.88671875" style="7"/>
    <col min="24" max="24" width="8.88671875" style="1"/>
    <col min="25" max="25" width="17.88671875" style="1" customWidth="1"/>
    <col min="26" max="27" width="8.88671875" style="7"/>
    <col min="28" max="28" width="8.88671875" style="1"/>
    <col min="29" max="29" width="17.88671875" style="1" customWidth="1"/>
    <col min="30" max="31" width="8.88671875" style="7"/>
    <col min="32" max="32" width="8.88671875" style="1"/>
    <col min="33" max="33" width="17.88671875" style="1" customWidth="1"/>
    <col min="34" max="34" width="9.6640625" style="1" bestFit="1" customWidth="1"/>
    <col min="35" max="36" width="8.88671875" style="1"/>
    <col min="37" max="37" width="17.88671875" style="12" customWidth="1"/>
    <col min="38" max="38" width="11.33203125" style="1" customWidth="1"/>
    <col min="39" max="42" width="8.88671875" style="1"/>
    <col min="43" max="43" width="9.77734375" style="1" customWidth="1"/>
    <col min="44" max="16384" width="8.88671875" style="1"/>
  </cols>
  <sheetData>
    <row r="1" spans="1:53" ht="57.6">
      <c r="A1" s="8" t="s">
        <v>8</v>
      </c>
      <c r="B1" s="9" t="s">
        <v>9</v>
      </c>
      <c r="C1" s="9" t="s">
        <v>11</v>
      </c>
      <c r="D1" s="10" t="s">
        <v>10</v>
      </c>
      <c r="E1" s="2" t="s">
        <v>85</v>
      </c>
      <c r="F1" s="6" t="s">
        <v>86</v>
      </c>
      <c r="G1" s="6" t="s">
        <v>87</v>
      </c>
      <c r="H1" s="4" t="s">
        <v>88</v>
      </c>
      <c r="I1" s="2" t="s">
        <v>333</v>
      </c>
      <c r="J1" s="6" t="s">
        <v>86</v>
      </c>
      <c r="K1" s="6" t="s">
        <v>87</v>
      </c>
      <c r="L1" s="4" t="s">
        <v>88</v>
      </c>
      <c r="M1" s="2" t="s">
        <v>334</v>
      </c>
      <c r="N1" s="5" t="s">
        <v>0</v>
      </c>
      <c r="O1" s="5" t="s">
        <v>87</v>
      </c>
      <c r="P1" s="4" t="s">
        <v>88</v>
      </c>
      <c r="Q1" s="2" t="s">
        <v>1</v>
      </c>
      <c r="R1" s="5" t="s">
        <v>0</v>
      </c>
      <c r="S1" s="5" t="s">
        <v>87</v>
      </c>
      <c r="T1" s="4" t="s">
        <v>88</v>
      </c>
      <c r="U1" s="2" t="s">
        <v>335</v>
      </c>
      <c r="V1" s="5" t="s">
        <v>0</v>
      </c>
      <c r="W1" s="5" t="s">
        <v>87</v>
      </c>
      <c r="X1" s="4" t="s">
        <v>88</v>
      </c>
      <c r="Y1" s="2" t="s">
        <v>336</v>
      </c>
      <c r="Z1" s="6" t="s">
        <v>0</v>
      </c>
      <c r="AA1" s="5" t="s">
        <v>87</v>
      </c>
      <c r="AB1" s="4" t="s">
        <v>88</v>
      </c>
      <c r="AC1" s="2" t="s">
        <v>89</v>
      </c>
      <c r="AD1" s="5" t="s">
        <v>0</v>
      </c>
      <c r="AE1" s="5" t="s">
        <v>87</v>
      </c>
      <c r="AF1" s="4" t="s">
        <v>88</v>
      </c>
      <c r="AG1" s="2" t="s">
        <v>90</v>
      </c>
      <c r="AH1" s="3" t="s">
        <v>0</v>
      </c>
      <c r="AI1" s="3" t="s">
        <v>87</v>
      </c>
      <c r="AJ1" s="4" t="s">
        <v>88</v>
      </c>
      <c r="AK1" s="24" t="s">
        <v>92</v>
      </c>
      <c r="AN1" s="24" t="s">
        <v>329</v>
      </c>
      <c r="AO1" s="24"/>
      <c r="AP1" s="24" t="s">
        <v>330</v>
      </c>
      <c r="AQ1" s="24"/>
      <c r="AR1" s="24" t="s">
        <v>331</v>
      </c>
      <c r="AS1" s="24"/>
      <c r="AT1" s="1" t="s">
        <v>93</v>
      </c>
      <c r="AZ1" s="1">
        <v>137</v>
      </c>
      <c r="BA1" s="1">
        <v>95</v>
      </c>
    </row>
    <row r="2" spans="1:53">
      <c r="A2" s="1" t="s">
        <v>2</v>
      </c>
      <c r="B2" s="1" t="s">
        <v>3</v>
      </c>
      <c r="D2" s="1" t="s">
        <v>6</v>
      </c>
      <c r="M2" s="7">
        <f>N2*12/44</f>
        <v>83</v>
      </c>
      <c r="N2" s="7">
        <f>83*44/12</f>
        <v>304.33333333333331</v>
      </c>
      <c r="AK2" s="1"/>
      <c r="AT2" s="1" t="s">
        <v>142</v>
      </c>
    </row>
    <row r="3" spans="1:53">
      <c r="A3" s="1" t="s">
        <v>2</v>
      </c>
      <c r="B3" s="1" t="s">
        <v>3</v>
      </c>
      <c r="D3" s="1" t="s">
        <v>6</v>
      </c>
      <c r="M3" s="7">
        <f t="shared" ref="M3:M19" si="0">N3*12/44</f>
        <v>84</v>
      </c>
      <c r="N3" s="7">
        <f>84*44/12</f>
        <v>308</v>
      </c>
      <c r="AK3" s="1"/>
      <c r="AT3" s="1" t="s">
        <v>142</v>
      </c>
    </row>
    <row r="4" spans="1:53">
      <c r="A4" s="1" t="s">
        <v>2</v>
      </c>
      <c r="B4" s="1" t="s">
        <v>3</v>
      </c>
      <c r="D4" s="1" t="s">
        <v>6</v>
      </c>
      <c r="M4" s="7">
        <f t="shared" si="0"/>
        <v>100</v>
      </c>
      <c r="N4" s="7">
        <f>100*44/12</f>
        <v>366.66666666666669</v>
      </c>
      <c r="AK4" s="1"/>
      <c r="AT4" s="1" t="s">
        <v>142</v>
      </c>
    </row>
    <row r="5" spans="1:53">
      <c r="A5" s="1" t="s">
        <v>2</v>
      </c>
      <c r="B5" s="1" t="s">
        <v>3</v>
      </c>
      <c r="D5" s="1" t="s">
        <v>6</v>
      </c>
      <c r="M5" s="7">
        <f t="shared" si="0"/>
        <v>121</v>
      </c>
      <c r="N5" s="7">
        <f>121*44/12</f>
        <v>443.66666666666669</v>
      </c>
      <c r="AK5" s="1"/>
      <c r="AT5" s="1" t="s">
        <v>142</v>
      </c>
    </row>
    <row r="6" spans="1:53">
      <c r="A6" s="1" t="s">
        <v>2</v>
      </c>
      <c r="B6" s="1" t="s">
        <v>3</v>
      </c>
      <c r="D6" s="1" t="s">
        <v>6</v>
      </c>
      <c r="M6" s="7">
        <f t="shared" si="0"/>
        <v>150</v>
      </c>
      <c r="N6" s="7">
        <f>150*44/12</f>
        <v>550</v>
      </c>
      <c r="AK6" s="1"/>
      <c r="AT6" s="1" t="s">
        <v>142</v>
      </c>
    </row>
    <row r="7" spans="1:53">
      <c r="A7" s="1" t="s">
        <v>2</v>
      </c>
      <c r="B7" s="1" t="s">
        <v>3</v>
      </c>
      <c r="D7" s="1" t="s">
        <v>6</v>
      </c>
      <c r="M7" s="7">
        <f t="shared" si="0"/>
        <v>430</v>
      </c>
      <c r="N7" s="7">
        <f>430*44/12</f>
        <v>1576.6666666666667</v>
      </c>
      <c r="AK7" s="1"/>
      <c r="AT7" s="1" t="s">
        <v>142</v>
      </c>
    </row>
    <row r="8" spans="1:53">
      <c r="A8" s="1" t="s">
        <v>2</v>
      </c>
      <c r="B8" s="1" t="s">
        <v>3</v>
      </c>
      <c r="D8" s="1" t="s">
        <v>6</v>
      </c>
      <c r="M8" s="7">
        <f t="shared" si="0"/>
        <v>294</v>
      </c>
      <c r="N8" s="7">
        <f>294*44/12</f>
        <v>1078</v>
      </c>
      <c r="AK8" s="1"/>
      <c r="AT8" s="1" t="s">
        <v>142</v>
      </c>
    </row>
    <row r="9" spans="1:53">
      <c r="A9" s="1" t="s">
        <v>2</v>
      </c>
      <c r="B9" s="1" t="s">
        <v>3</v>
      </c>
      <c r="D9" s="1" t="s">
        <v>6</v>
      </c>
      <c r="M9" s="7">
        <f t="shared" si="0"/>
        <v>300</v>
      </c>
      <c r="N9" s="7">
        <f>300*44/12</f>
        <v>1100</v>
      </c>
      <c r="AK9" s="1"/>
      <c r="AT9" s="1" t="s">
        <v>142</v>
      </c>
    </row>
    <row r="10" spans="1:53">
      <c r="A10" s="1" t="s">
        <v>2</v>
      </c>
      <c r="B10" s="1" t="s">
        <v>3</v>
      </c>
      <c r="D10" s="1" t="s">
        <v>6</v>
      </c>
      <c r="M10" s="7">
        <f t="shared" si="0"/>
        <v>304</v>
      </c>
      <c r="N10" s="7">
        <f>304*44/12</f>
        <v>1114.6666666666667</v>
      </c>
      <c r="O10" s="7">
        <f>62*44/12</f>
        <v>227.33333333333334</v>
      </c>
      <c r="AK10" s="1"/>
      <c r="AT10" s="1" t="s">
        <v>142</v>
      </c>
    </row>
    <row r="11" spans="1:53">
      <c r="A11" s="1" t="s">
        <v>2</v>
      </c>
      <c r="B11" s="1" t="s">
        <v>3</v>
      </c>
      <c r="D11" s="1" t="s">
        <v>6</v>
      </c>
      <c r="M11" s="7">
        <f t="shared" si="0"/>
        <v>323</v>
      </c>
      <c r="N11" s="7">
        <f>323*44/12</f>
        <v>1184.3333333333333</v>
      </c>
      <c r="AK11" s="1"/>
      <c r="AT11" s="1" t="s">
        <v>142</v>
      </c>
    </row>
    <row r="12" spans="1:53">
      <c r="A12" s="1" t="s">
        <v>2</v>
      </c>
      <c r="B12" s="1" t="s">
        <v>3</v>
      </c>
      <c r="D12" s="1" t="s">
        <v>6</v>
      </c>
      <c r="M12" s="7">
        <f t="shared" si="0"/>
        <v>390</v>
      </c>
      <c r="N12" s="7">
        <f>390*44/12</f>
        <v>1430</v>
      </c>
      <c r="AK12" s="1"/>
      <c r="AT12" s="1" t="s">
        <v>142</v>
      </c>
    </row>
    <row r="13" spans="1:53">
      <c r="A13" s="1" t="s">
        <v>2</v>
      </c>
      <c r="B13" s="1" t="s">
        <v>3</v>
      </c>
      <c r="D13" s="1" t="s">
        <v>6</v>
      </c>
      <c r="M13" s="7">
        <f t="shared" si="0"/>
        <v>200</v>
      </c>
      <c r="N13" s="7">
        <f>200*44/12</f>
        <v>733.33333333333337</v>
      </c>
      <c r="AK13" s="1"/>
      <c r="AT13" s="1" t="s">
        <v>142</v>
      </c>
    </row>
    <row r="14" spans="1:53">
      <c r="A14" s="1" t="s">
        <v>2</v>
      </c>
      <c r="B14" s="1" t="s">
        <v>3</v>
      </c>
      <c r="D14" s="1" t="s">
        <v>6</v>
      </c>
      <c r="M14" s="7">
        <f t="shared" si="0"/>
        <v>400</v>
      </c>
      <c r="N14" s="7">
        <f>400*44/12</f>
        <v>1466.6666666666667</v>
      </c>
      <c r="AK14" s="1"/>
      <c r="AT14" s="1" t="s">
        <v>142</v>
      </c>
    </row>
    <row r="15" spans="1:53">
      <c r="A15" s="1" t="s">
        <v>2</v>
      </c>
      <c r="B15" s="1" t="s">
        <v>3</v>
      </c>
      <c r="D15" s="1" t="s">
        <v>6</v>
      </c>
      <c r="M15" s="7">
        <f t="shared" si="0"/>
        <v>500</v>
      </c>
      <c r="N15" s="7">
        <f>500*44/12</f>
        <v>1833.3333333333333</v>
      </c>
      <c r="AK15" s="1"/>
      <c r="AT15" s="1" t="s">
        <v>142</v>
      </c>
    </row>
    <row r="16" spans="1:53">
      <c r="A16" s="1" t="s">
        <v>4</v>
      </c>
      <c r="B16" s="1" t="s">
        <v>3</v>
      </c>
      <c r="D16" s="1" t="s">
        <v>5</v>
      </c>
      <c r="M16" s="7">
        <f t="shared" si="0"/>
        <v>120</v>
      </c>
      <c r="N16" s="7">
        <f>0.12*1000*44/12</f>
        <v>440</v>
      </c>
      <c r="AK16" s="1"/>
      <c r="AT16" s="1" t="s">
        <v>4</v>
      </c>
    </row>
    <row r="17" spans="1:46">
      <c r="A17" s="1" t="s">
        <v>4</v>
      </c>
      <c r="B17" s="1" t="s">
        <v>3</v>
      </c>
      <c r="D17" s="1" t="s">
        <v>6</v>
      </c>
      <c r="M17" s="7">
        <f t="shared" si="0"/>
        <v>310</v>
      </c>
      <c r="N17" s="7">
        <f>0.31*1000*44/12</f>
        <v>1136.6666666666667</v>
      </c>
      <c r="AK17" s="1"/>
      <c r="AT17" s="1" t="s">
        <v>4</v>
      </c>
    </row>
    <row r="18" spans="1:46">
      <c r="A18" s="1" t="s">
        <v>4</v>
      </c>
      <c r="B18" s="1" t="s">
        <v>3</v>
      </c>
      <c r="D18" s="1" t="s">
        <v>7</v>
      </c>
      <c r="M18" s="7">
        <f t="shared" si="0"/>
        <v>820</v>
      </c>
      <c r="N18" s="7">
        <f>0.82*1000*44/12</f>
        <v>3006.6666666666665</v>
      </c>
      <c r="AK18" s="1"/>
      <c r="AT18" s="1" t="s">
        <v>4</v>
      </c>
    </row>
    <row r="19" spans="1:46">
      <c r="A19" s="1" t="s">
        <v>340</v>
      </c>
      <c r="B19" s="1" t="s">
        <v>3</v>
      </c>
      <c r="C19" s="1" t="s">
        <v>197</v>
      </c>
      <c r="D19" s="1" t="s">
        <v>6</v>
      </c>
      <c r="M19" s="7">
        <f t="shared" si="0"/>
        <v>288</v>
      </c>
      <c r="N19" s="7">
        <v>1056</v>
      </c>
      <c r="P19" s="1">
        <v>3</v>
      </c>
      <c r="V19" s="7">
        <v>18124.333333333332</v>
      </c>
      <c r="W19" s="7">
        <v>3604.0199931619568</v>
      </c>
      <c r="X19" s="1">
        <v>3</v>
      </c>
      <c r="Z19" s="7">
        <v>7026.6666666666661</v>
      </c>
      <c r="AA19" s="7">
        <v>8721.5725391442757</v>
      </c>
      <c r="AB19" s="1">
        <v>3</v>
      </c>
      <c r="AK19" s="1">
        <v>4.8</v>
      </c>
      <c r="AT19" s="1" t="s">
        <v>94</v>
      </c>
    </row>
    <row r="20" spans="1:46">
      <c r="A20" s="1" t="s">
        <v>12</v>
      </c>
      <c r="B20" s="1" t="s">
        <v>3</v>
      </c>
      <c r="C20" s="1" t="s">
        <v>13</v>
      </c>
      <c r="D20" s="1" t="s">
        <v>5</v>
      </c>
      <c r="AK20" s="1"/>
      <c r="AT20" s="1" t="s">
        <v>95</v>
      </c>
    </row>
    <row r="21" spans="1:46">
      <c r="A21" s="1" t="s">
        <v>341</v>
      </c>
      <c r="B21" s="1" t="s">
        <v>3</v>
      </c>
      <c r="C21" s="1" t="s">
        <v>197</v>
      </c>
      <c r="D21" s="1" t="s">
        <v>6</v>
      </c>
      <c r="AK21" s="1"/>
      <c r="AT21" s="1" t="s">
        <v>318</v>
      </c>
    </row>
    <row r="22" spans="1:46">
      <c r="A22" s="1" t="s">
        <v>15</v>
      </c>
      <c r="B22" s="1" t="s">
        <v>3</v>
      </c>
      <c r="C22" s="1" t="s">
        <v>13</v>
      </c>
      <c r="D22" s="1" t="s">
        <v>6</v>
      </c>
      <c r="AK22" s="1"/>
      <c r="AT22" s="1" t="s">
        <v>96</v>
      </c>
    </row>
    <row r="23" spans="1:46">
      <c r="A23" s="1" t="s">
        <v>15</v>
      </c>
      <c r="B23" s="1" t="s">
        <v>3</v>
      </c>
      <c r="C23" s="1" t="s">
        <v>13</v>
      </c>
      <c r="D23" s="1" t="s">
        <v>6</v>
      </c>
      <c r="AK23" s="1"/>
      <c r="AT23" s="1" t="s">
        <v>96</v>
      </c>
    </row>
    <row r="24" spans="1:46">
      <c r="A24" s="1" t="s">
        <v>16</v>
      </c>
      <c r="B24" s="1" t="s">
        <v>3</v>
      </c>
      <c r="C24" s="1" t="s">
        <v>56</v>
      </c>
      <c r="D24" s="1" t="s">
        <v>17</v>
      </c>
      <c r="AK24" s="1"/>
      <c r="AT24" s="1" t="s">
        <v>97</v>
      </c>
    </row>
    <row r="25" spans="1:46">
      <c r="A25" s="1" t="s">
        <v>16</v>
      </c>
      <c r="B25" s="1" t="s">
        <v>3</v>
      </c>
      <c r="C25" s="1" t="s">
        <v>56</v>
      </c>
      <c r="D25" s="1" t="s">
        <v>17</v>
      </c>
      <c r="AK25" s="1"/>
      <c r="AT25" s="1" t="s">
        <v>97</v>
      </c>
    </row>
    <row r="26" spans="1:46">
      <c r="A26" s="1" t="s">
        <v>16</v>
      </c>
      <c r="B26" s="1" t="s">
        <v>3</v>
      </c>
      <c r="C26" s="1" t="s">
        <v>56</v>
      </c>
      <c r="D26" s="1" t="s">
        <v>17</v>
      </c>
      <c r="AK26" s="1"/>
      <c r="AT26" s="1" t="s">
        <v>97</v>
      </c>
    </row>
    <row r="27" spans="1:46">
      <c r="A27" s="1" t="s">
        <v>16</v>
      </c>
      <c r="B27" s="1" t="s">
        <v>3</v>
      </c>
      <c r="C27" s="1" t="s">
        <v>56</v>
      </c>
      <c r="D27" s="1" t="s">
        <v>17</v>
      </c>
      <c r="AK27" s="1"/>
      <c r="AT27" s="1" t="s">
        <v>97</v>
      </c>
    </row>
    <row r="28" spans="1:46">
      <c r="A28" s="1" t="s">
        <v>18</v>
      </c>
      <c r="B28" s="1" t="s">
        <v>3</v>
      </c>
      <c r="C28" s="1" t="s">
        <v>56</v>
      </c>
      <c r="D28" s="1" t="s">
        <v>5</v>
      </c>
      <c r="AK28" s="1"/>
      <c r="AT28" s="1" t="s">
        <v>98</v>
      </c>
    </row>
    <row r="29" spans="1:46">
      <c r="A29" s="1" t="s">
        <v>18</v>
      </c>
      <c r="B29" s="1" t="s">
        <v>3</v>
      </c>
      <c r="C29" s="1" t="s">
        <v>56</v>
      </c>
      <c r="D29" s="1" t="s">
        <v>5</v>
      </c>
      <c r="AK29" s="1"/>
      <c r="AT29" s="1" t="s">
        <v>98</v>
      </c>
    </row>
    <row r="30" spans="1:46">
      <c r="A30" s="1" t="s">
        <v>18</v>
      </c>
      <c r="B30" s="1" t="s">
        <v>3</v>
      </c>
      <c r="C30" s="1" t="s">
        <v>56</v>
      </c>
      <c r="D30" s="1" t="s">
        <v>5</v>
      </c>
      <c r="AK30" s="1"/>
      <c r="AT30" s="1" t="s">
        <v>98</v>
      </c>
    </row>
    <row r="31" spans="1:46">
      <c r="A31" s="1" t="s">
        <v>18</v>
      </c>
      <c r="B31" s="1" t="s">
        <v>3</v>
      </c>
      <c r="C31" s="1" t="s">
        <v>56</v>
      </c>
      <c r="D31" s="1" t="s">
        <v>5</v>
      </c>
      <c r="AK31" s="1"/>
      <c r="AT31" s="1" t="s">
        <v>98</v>
      </c>
    </row>
    <row r="32" spans="1:46">
      <c r="A32" s="1" t="s">
        <v>18</v>
      </c>
      <c r="B32" s="1" t="s">
        <v>3</v>
      </c>
      <c r="C32" s="1" t="s">
        <v>56</v>
      </c>
      <c r="D32" s="1" t="s">
        <v>5</v>
      </c>
      <c r="AK32" s="1"/>
      <c r="AT32" s="1" t="s">
        <v>98</v>
      </c>
    </row>
    <row r="33" spans="1:46">
      <c r="A33" s="1" t="s">
        <v>18</v>
      </c>
      <c r="B33" s="1" t="s">
        <v>3</v>
      </c>
      <c r="C33" s="1" t="s">
        <v>56</v>
      </c>
      <c r="D33" s="1" t="s">
        <v>5</v>
      </c>
      <c r="AK33" s="1"/>
      <c r="AT33" s="1" t="s">
        <v>98</v>
      </c>
    </row>
    <row r="34" spans="1:46">
      <c r="A34" s="1" t="s">
        <v>18</v>
      </c>
      <c r="B34" s="1" t="s">
        <v>3</v>
      </c>
      <c r="C34" s="1" t="s">
        <v>56</v>
      </c>
      <c r="D34" s="1" t="s">
        <v>5</v>
      </c>
      <c r="AK34" s="1"/>
      <c r="AT34" s="1" t="s">
        <v>98</v>
      </c>
    </row>
    <row r="35" spans="1:46">
      <c r="A35" s="1" t="s">
        <v>18</v>
      </c>
      <c r="B35" s="1" t="s">
        <v>3</v>
      </c>
      <c r="C35" s="1" t="s">
        <v>56</v>
      </c>
      <c r="D35" s="1" t="s">
        <v>5</v>
      </c>
      <c r="AK35" s="1"/>
      <c r="AT35" s="1" t="s">
        <v>98</v>
      </c>
    </row>
    <row r="36" spans="1:46">
      <c r="A36" s="1" t="s">
        <v>18</v>
      </c>
      <c r="B36" s="1" t="s">
        <v>3</v>
      </c>
      <c r="C36" s="1" t="s">
        <v>56</v>
      </c>
      <c r="D36" s="1" t="s">
        <v>5</v>
      </c>
      <c r="AK36" s="1"/>
      <c r="AT36" s="1" t="s">
        <v>98</v>
      </c>
    </row>
    <row r="37" spans="1:46">
      <c r="A37" s="1" t="s">
        <v>18</v>
      </c>
      <c r="B37" s="1" t="s">
        <v>3</v>
      </c>
      <c r="C37" s="1" t="s">
        <v>56</v>
      </c>
      <c r="D37" s="1" t="s">
        <v>5</v>
      </c>
      <c r="AK37" s="1"/>
      <c r="AT37" s="1" t="s">
        <v>98</v>
      </c>
    </row>
    <row r="38" spans="1:46">
      <c r="A38" s="1" t="s">
        <v>18</v>
      </c>
      <c r="B38" s="1" t="s">
        <v>3</v>
      </c>
      <c r="C38" s="1" t="s">
        <v>56</v>
      </c>
      <c r="D38" s="1" t="s">
        <v>5</v>
      </c>
      <c r="AK38" s="1"/>
      <c r="AT38" s="1" t="s">
        <v>98</v>
      </c>
    </row>
    <row r="39" spans="1:46">
      <c r="A39" s="1" t="s">
        <v>18</v>
      </c>
      <c r="B39" s="1" t="s">
        <v>3</v>
      </c>
      <c r="C39" s="1" t="s">
        <v>56</v>
      </c>
      <c r="D39" s="1" t="s">
        <v>5</v>
      </c>
      <c r="AK39" s="1"/>
      <c r="AT39" s="1" t="s">
        <v>98</v>
      </c>
    </row>
    <row r="40" spans="1:46">
      <c r="A40" s="1" t="s">
        <v>19</v>
      </c>
      <c r="B40" s="1" t="s">
        <v>3</v>
      </c>
      <c r="C40" s="1" t="s">
        <v>197</v>
      </c>
      <c r="D40" s="1" t="s">
        <v>6</v>
      </c>
      <c r="AK40" s="1"/>
      <c r="AT40" s="1" t="s">
        <v>99</v>
      </c>
    </row>
    <row r="41" spans="1:46">
      <c r="A41" s="1" t="s">
        <v>19</v>
      </c>
      <c r="B41" s="1" t="s">
        <v>3</v>
      </c>
      <c r="C41" s="1" t="s">
        <v>197</v>
      </c>
      <c r="D41" s="1" t="s">
        <v>6</v>
      </c>
      <c r="AK41" s="1"/>
      <c r="AT41" s="1" t="s">
        <v>99</v>
      </c>
    </row>
    <row r="42" spans="1:46">
      <c r="A42" s="1" t="s">
        <v>19</v>
      </c>
      <c r="B42" s="1" t="s">
        <v>3</v>
      </c>
      <c r="C42" s="1" t="s">
        <v>197</v>
      </c>
      <c r="D42" s="1" t="s">
        <v>6</v>
      </c>
      <c r="AK42" s="1"/>
      <c r="AT42" s="1" t="s">
        <v>99</v>
      </c>
    </row>
    <row r="43" spans="1:46">
      <c r="A43" s="1" t="s">
        <v>20</v>
      </c>
      <c r="B43" s="1" t="s">
        <v>3</v>
      </c>
      <c r="C43" s="1" t="s">
        <v>13</v>
      </c>
      <c r="D43" s="1" t="s">
        <v>5</v>
      </c>
      <c r="Z43" s="7">
        <f>22*34</f>
        <v>748</v>
      </c>
      <c r="AB43" s="1">
        <v>4</v>
      </c>
      <c r="AK43" s="12">
        <v>2.5</v>
      </c>
      <c r="AT43" s="1" t="s">
        <v>100</v>
      </c>
    </row>
    <row r="44" spans="1:46">
      <c r="A44" s="1" t="s">
        <v>20</v>
      </c>
      <c r="B44" s="1" t="s">
        <v>3</v>
      </c>
      <c r="C44" s="1" t="s">
        <v>13</v>
      </c>
      <c r="D44" s="1" t="s">
        <v>5</v>
      </c>
      <c r="AK44" s="1"/>
      <c r="AT44" s="1" t="s">
        <v>100</v>
      </c>
    </row>
    <row r="45" spans="1:46">
      <c r="A45" s="1" t="s">
        <v>20</v>
      </c>
      <c r="B45" s="1" t="s">
        <v>3</v>
      </c>
      <c r="C45" s="1" t="s">
        <v>13</v>
      </c>
      <c r="D45" s="1" t="s">
        <v>5</v>
      </c>
      <c r="AK45" s="1"/>
      <c r="AT45" s="1" t="s">
        <v>100</v>
      </c>
    </row>
    <row r="46" spans="1:46">
      <c r="A46" s="1" t="s">
        <v>20</v>
      </c>
      <c r="B46" s="1" t="s">
        <v>3</v>
      </c>
      <c r="C46" s="1" t="s">
        <v>13</v>
      </c>
      <c r="D46" s="1" t="s">
        <v>5</v>
      </c>
      <c r="AK46" s="1"/>
      <c r="AT46" s="1" t="s">
        <v>100</v>
      </c>
    </row>
    <row r="47" spans="1:46">
      <c r="A47" s="1" t="s">
        <v>21</v>
      </c>
      <c r="B47" s="1" t="s">
        <v>3</v>
      </c>
      <c r="C47" s="1" t="s">
        <v>171</v>
      </c>
      <c r="D47" s="1" t="s">
        <v>6</v>
      </c>
      <c r="AK47" s="1"/>
      <c r="AT47" s="1" t="s">
        <v>101</v>
      </c>
    </row>
    <row r="48" spans="1:46">
      <c r="A48" s="1" t="s">
        <v>21</v>
      </c>
      <c r="B48" s="1" t="s">
        <v>3</v>
      </c>
      <c r="C48" s="1" t="s">
        <v>171</v>
      </c>
      <c r="D48" s="1" t="s">
        <v>6</v>
      </c>
      <c r="AK48" s="1"/>
      <c r="AT48" s="1" t="s">
        <v>101</v>
      </c>
    </row>
    <row r="49" spans="1:46">
      <c r="A49" s="1" t="s">
        <v>21</v>
      </c>
      <c r="B49" s="1" t="s">
        <v>3</v>
      </c>
      <c r="C49" s="1" t="s">
        <v>171</v>
      </c>
      <c r="D49" s="1" t="s">
        <v>6</v>
      </c>
      <c r="AK49" s="1"/>
      <c r="AT49" s="1" t="s">
        <v>101</v>
      </c>
    </row>
    <row r="50" spans="1:46">
      <c r="A50" s="1" t="s">
        <v>22</v>
      </c>
      <c r="B50" s="1" t="s">
        <v>3</v>
      </c>
      <c r="C50" s="1" t="s">
        <v>23</v>
      </c>
      <c r="D50" s="1" t="s">
        <v>6</v>
      </c>
      <c r="AK50" s="1"/>
      <c r="AT50" s="1" t="s">
        <v>102</v>
      </c>
    </row>
    <row r="51" spans="1:46">
      <c r="A51" s="1" t="s">
        <v>22</v>
      </c>
      <c r="B51" s="1" t="s">
        <v>3</v>
      </c>
      <c r="C51" s="1" t="s">
        <v>23</v>
      </c>
      <c r="D51" s="1" t="s">
        <v>6</v>
      </c>
      <c r="AK51" s="1"/>
      <c r="AT51" s="1" t="s">
        <v>102</v>
      </c>
    </row>
    <row r="52" spans="1:46">
      <c r="A52" s="1" t="s">
        <v>24</v>
      </c>
      <c r="B52" s="1" t="s">
        <v>3</v>
      </c>
      <c r="C52" s="1" t="s">
        <v>171</v>
      </c>
      <c r="D52" s="1" t="s">
        <v>25</v>
      </c>
      <c r="AK52" s="1"/>
      <c r="AT52" s="1" t="s">
        <v>103</v>
      </c>
    </row>
    <row r="53" spans="1:46">
      <c r="A53" s="1" t="s">
        <v>24</v>
      </c>
      <c r="B53" s="1" t="s">
        <v>3</v>
      </c>
      <c r="C53" s="1" t="s">
        <v>23</v>
      </c>
      <c r="D53" s="1" t="s">
        <v>25</v>
      </c>
      <c r="I53" s="1" t="s">
        <v>91</v>
      </c>
      <c r="J53" s="7">
        <v>10743.333333333334</v>
      </c>
      <c r="L53" s="1">
        <v>3</v>
      </c>
      <c r="AK53" s="1"/>
      <c r="AT53" s="1" t="s">
        <v>103</v>
      </c>
    </row>
    <row r="54" spans="1:46">
      <c r="A54" s="1" t="s">
        <v>26</v>
      </c>
      <c r="B54" s="1" t="s">
        <v>3</v>
      </c>
      <c r="C54" s="1" t="s">
        <v>171</v>
      </c>
      <c r="D54" s="1" t="s">
        <v>25</v>
      </c>
      <c r="AK54" s="1"/>
      <c r="AT54" s="1" t="s">
        <v>104</v>
      </c>
    </row>
    <row r="55" spans="1:46">
      <c r="A55" s="1" t="s">
        <v>26</v>
      </c>
      <c r="B55" s="1" t="s">
        <v>3</v>
      </c>
      <c r="C55" s="1" t="s">
        <v>171</v>
      </c>
      <c r="D55" s="1" t="s">
        <v>25</v>
      </c>
      <c r="AK55" s="1"/>
      <c r="AT55" s="1" t="s">
        <v>104</v>
      </c>
    </row>
    <row r="56" spans="1:46">
      <c r="A56" s="1" t="s">
        <v>27</v>
      </c>
      <c r="B56" s="1" t="s">
        <v>3</v>
      </c>
      <c r="C56" s="1" t="s">
        <v>23</v>
      </c>
      <c r="D56" s="1" t="s">
        <v>7</v>
      </c>
      <c r="AK56" s="1"/>
      <c r="AT56" s="1" t="s">
        <v>105</v>
      </c>
    </row>
    <row r="57" spans="1:46">
      <c r="A57" s="1" t="s">
        <v>27</v>
      </c>
      <c r="B57" s="1" t="s">
        <v>3</v>
      </c>
      <c r="C57" s="1" t="s">
        <v>23</v>
      </c>
      <c r="D57" s="1" t="s">
        <v>7</v>
      </c>
      <c r="AK57" s="1"/>
      <c r="AT57" s="1" t="s">
        <v>105</v>
      </c>
    </row>
    <row r="58" spans="1:46">
      <c r="A58" s="1" t="s">
        <v>27</v>
      </c>
      <c r="B58" s="1" t="s">
        <v>3</v>
      </c>
      <c r="C58" s="1" t="s">
        <v>23</v>
      </c>
      <c r="D58" s="1" t="s">
        <v>7</v>
      </c>
      <c r="AK58" s="1"/>
      <c r="AT58" s="1" t="s">
        <v>105</v>
      </c>
    </row>
    <row r="59" spans="1:46">
      <c r="A59" s="1" t="s">
        <v>28</v>
      </c>
      <c r="B59" s="1" t="s">
        <v>3</v>
      </c>
      <c r="C59" s="1" t="s">
        <v>23</v>
      </c>
      <c r="D59" s="1" t="s">
        <v>5</v>
      </c>
      <c r="AK59" s="1"/>
      <c r="AT59" s="1" t="s">
        <v>106</v>
      </c>
    </row>
    <row r="60" spans="1:46">
      <c r="A60" s="1" t="s">
        <v>29</v>
      </c>
      <c r="B60" s="1" t="s">
        <v>3</v>
      </c>
      <c r="C60" s="1" t="s">
        <v>23</v>
      </c>
      <c r="D60" s="1" t="s">
        <v>7</v>
      </c>
      <c r="AK60" s="1"/>
      <c r="AT60" s="1" t="s">
        <v>107</v>
      </c>
    </row>
    <row r="61" spans="1:46">
      <c r="A61" s="1" t="s">
        <v>29</v>
      </c>
      <c r="B61" s="1" t="s">
        <v>3</v>
      </c>
      <c r="C61" s="1" t="s">
        <v>23</v>
      </c>
      <c r="D61" s="1" t="s">
        <v>7</v>
      </c>
      <c r="AK61" s="1"/>
      <c r="AT61" s="1" t="s">
        <v>107</v>
      </c>
    </row>
    <row r="62" spans="1:46">
      <c r="A62" s="1" t="s">
        <v>29</v>
      </c>
      <c r="B62" s="1" t="s">
        <v>3</v>
      </c>
      <c r="C62" s="1" t="s">
        <v>23</v>
      </c>
      <c r="D62" s="1" t="s">
        <v>7</v>
      </c>
      <c r="AK62" s="1"/>
      <c r="AT62" s="1" t="s">
        <v>107</v>
      </c>
    </row>
    <row r="63" spans="1:46">
      <c r="A63" s="1" t="s">
        <v>29</v>
      </c>
      <c r="B63" s="1" t="s">
        <v>3</v>
      </c>
      <c r="C63" s="1" t="s">
        <v>23</v>
      </c>
      <c r="D63" s="1" t="s">
        <v>7</v>
      </c>
      <c r="AK63" s="1"/>
      <c r="AT63" s="1" t="s">
        <v>107</v>
      </c>
    </row>
    <row r="64" spans="1:46">
      <c r="A64" s="1" t="s">
        <v>29</v>
      </c>
      <c r="B64" s="1" t="s">
        <v>3</v>
      </c>
      <c r="C64" s="1" t="s">
        <v>23</v>
      </c>
      <c r="D64" s="1" t="s">
        <v>7</v>
      </c>
      <c r="AK64" s="1"/>
      <c r="AT64" s="1" t="s">
        <v>107</v>
      </c>
    </row>
    <row r="65" spans="1:46">
      <c r="A65" s="1" t="s">
        <v>30</v>
      </c>
      <c r="B65" s="1" t="s">
        <v>3</v>
      </c>
      <c r="C65" s="1" t="s">
        <v>171</v>
      </c>
      <c r="D65" s="1" t="s">
        <v>6</v>
      </c>
      <c r="E65" s="1" t="s">
        <v>91</v>
      </c>
      <c r="F65" s="7">
        <f>-1570*44/12</f>
        <v>-5756.666666666667</v>
      </c>
      <c r="I65" s="1" t="s">
        <v>91</v>
      </c>
      <c r="J65" s="7">
        <f>(4000-1420)*44/12</f>
        <v>9460</v>
      </c>
      <c r="AK65" s="1"/>
      <c r="AT65" s="1" t="s">
        <v>108</v>
      </c>
    </row>
    <row r="66" spans="1:46">
      <c r="A66" s="1" t="s">
        <v>30</v>
      </c>
      <c r="B66" s="1" t="s">
        <v>3</v>
      </c>
      <c r="C66" s="1" t="s">
        <v>171</v>
      </c>
      <c r="D66" s="1" t="s">
        <v>6</v>
      </c>
      <c r="E66" s="1" t="s">
        <v>91</v>
      </c>
      <c r="F66" s="7">
        <f t="shared" ref="F66:F72" si="1">-1570*44/12</f>
        <v>-5756.666666666667</v>
      </c>
      <c r="I66" s="1" t="s">
        <v>91</v>
      </c>
      <c r="J66" s="7">
        <f t="shared" ref="J66:J68" si="2">(4000-1420)*44/12</f>
        <v>9460</v>
      </c>
      <c r="AK66" s="1"/>
      <c r="AT66" s="1" t="s">
        <v>108</v>
      </c>
    </row>
    <row r="67" spans="1:46">
      <c r="A67" s="1" t="s">
        <v>30</v>
      </c>
      <c r="B67" s="1" t="s">
        <v>3</v>
      </c>
      <c r="C67" s="1" t="s">
        <v>171</v>
      </c>
      <c r="D67" s="1" t="s">
        <v>6</v>
      </c>
      <c r="E67" s="1" t="s">
        <v>91</v>
      </c>
      <c r="F67" s="7">
        <f t="shared" si="1"/>
        <v>-5756.666666666667</v>
      </c>
      <c r="I67" s="1" t="s">
        <v>91</v>
      </c>
      <c r="J67" s="7">
        <f t="shared" si="2"/>
        <v>9460</v>
      </c>
      <c r="AK67" s="1"/>
      <c r="AT67" s="1" t="s">
        <v>108</v>
      </c>
    </row>
    <row r="68" spans="1:46">
      <c r="A68" s="1" t="s">
        <v>30</v>
      </c>
      <c r="B68" s="1" t="s">
        <v>3</v>
      </c>
      <c r="C68" s="1" t="s">
        <v>171</v>
      </c>
      <c r="D68" s="1" t="s">
        <v>6</v>
      </c>
      <c r="E68" s="1" t="s">
        <v>91</v>
      </c>
      <c r="F68" s="7">
        <f t="shared" si="1"/>
        <v>-5756.666666666667</v>
      </c>
      <c r="I68" s="1" t="s">
        <v>91</v>
      </c>
      <c r="J68" s="7">
        <f t="shared" si="2"/>
        <v>9460</v>
      </c>
      <c r="AK68" s="1"/>
      <c r="AT68" s="1" t="s">
        <v>108</v>
      </c>
    </row>
    <row r="69" spans="1:46">
      <c r="A69" s="1" t="s">
        <v>30</v>
      </c>
      <c r="B69" s="1" t="s">
        <v>3</v>
      </c>
      <c r="C69" s="1" t="s">
        <v>171</v>
      </c>
      <c r="D69" s="1" t="s">
        <v>6</v>
      </c>
      <c r="E69" s="1" t="s">
        <v>91</v>
      </c>
      <c r="F69" s="7">
        <f t="shared" si="1"/>
        <v>-5756.666666666667</v>
      </c>
      <c r="I69" s="1" t="s">
        <v>91</v>
      </c>
      <c r="J69" s="7">
        <f>4200*44/12</f>
        <v>15400</v>
      </c>
      <c r="AK69" s="1"/>
      <c r="AT69" s="1" t="s">
        <v>108</v>
      </c>
    </row>
    <row r="70" spans="1:46">
      <c r="A70" s="1" t="s">
        <v>30</v>
      </c>
      <c r="B70" s="1" t="s">
        <v>3</v>
      </c>
      <c r="C70" s="1" t="s">
        <v>171</v>
      </c>
      <c r="D70" s="1" t="s">
        <v>6</v>
      </c>
      <c r="E70" s="1" t="s">
        <v>91</v>
      </c>
      <c r="F70" s="7">
        <f t="shared" si="1"/>
        <v>-5756.666666666667</v>
      </c>
      <c r="I70" s="1" t="s">
        <v>91</v>
      </c>
      <c r="J70" s="7">
        <f t="shared" ref="J70:J72" si="3">4200*44/12</f>
        <v>15400</v>
      </c>
      <c r="AK70" s="1"/>
      <c r="AT70" s="1" t="s">
        <v>108</v>
      </c>
    </row>
    <row r="71" spans="1:46">
      <c r="A71" s="1" t="s">
        <v>30</v>
      </c>
      <c r="B71" s="1" t="s">
        <v>3</v>
      </c>
      <c r="C71" s="1" t="s">
        <v>171</v>
      </c>
      <c r="D71" s="1" t="s">
        <v>6</v>
      </c>
      <c r="E71" s="1" t="s">
        <v>91</v>
      </c>
      <c r="F71" s="7">
        <f t="shared" si="1"/>
        <v>-5756.666666666667</v>
      </c>
      <c r="I71" s="1" t="s">
        <v>91</v>
      </c>
      <c r="J71" s="7">
        <f t="shared" si="3"/>
        <v>15400</v>
      </c>
      <c r="AK71" s="1"/>
      <c r="AT71" s="1" t="s">
        <v>108</v>
      </c>
    </row>
    <row r="72" spans="1:46">
      <c r="A72" s="1" t="s">
        <v>30</v>
      </c>
      <c r="B72" s="1" t="s">
        <v>3</v>
      </c>
      <c r="C72" s="1" t="s">
        <v>171</v>
      </c>
      <c r="D72" s="1" t="s">
        <v>6</v>
      </c>
      <c r="E72" s="1" t="s">
        <v>91</v>
      </c>
      <c r="F72" s="7">
        <f t="shared" si="1"/>
        <v>-5756.666666666667</v>
      </c>
      <c r="I72" s="1" t="s">
        <v>91</v>
      </c>
      <c r="J72" s="7">
        <f t="shared" si="3"/>
        <v>15400</v>
      </c>
      <c r="AK72" s="1"/>
      <c r="AT72" s="1" t="s">
        <v>108</v>
      </c>
    </row>
    <row r="73" spans="1:46">
      <c r="A73" s="1" t="s">
        <v>31</v>
      </c>
      <c r="B73" s="1" t="s">
        <v>3</v>
      </c>
      <c r="C73" s="1" t="s">
        <v>23</v>
      </c>
      <c r="D73" s="1" t="s">
        <v>6</v>
      </c>
      <c r="I73" s="1" t="s">
        <v>91</v>
      </c>
      <c r="J73" s="7">
        <v>34833.333333333336</v>
      </c>
      <c r="AK73" s="1"/>
      <c r="AT73" s="1" t="s">
        <v>109</v>
      </c>
    </row>
    <row r="74" spans="1:46">
      <c r="A74" s="1" t="s">
        <v>31</v>
      </c>
      <c r="B74" s="1" t="s">
        <v>3</v>
      </c>
      <c r="C74" s="1" t="s">
        <v>23</v>
      </c>
      <c r="D74" s="1" t="s">
        <v>6</v>
      </c>
      <c r="I74" s="1" t="s">
        <v>91</v>
      </c>
      <c r="J74" s="7">
        <v>29333.333333333332</v>
      </c>
      <c r="AK74" s="1"/>
      <c r="AT74" s="1" t="s">
        <v>109</v>
      </c>
    </row>
    <row r="75" spans="1:46">
      <c r="A75" s="1" t="s">
        <v>32</v>
      </c>
      <c r="B75" s="1" t="s">
        <v>3</v>
      </c>
      <c r="C75" s="1" t="s">
        <v>23</v>
      </c>
      <c r="D75" s="1" t="s">
        <v>6</v>
      </c>
      <c r="I75" s="1" t="s">
        <v>91</v>
      </c>
      <c r="J75" s="7">
        <v>8360</v>
      </c>
      <c r="AK75" s="1"/>
      <c r="AT75" s="1" t="s">
        <v>110</v>
      </c>
    </row>
    <row r="76" spans="1:46">
      <c r="A76" s="1" t="s">
        <v>33</v>
      </c>
      <c r="B76" s="1" t="s">
        <v>3</v>
      </c>
      <c r="C76" s="1" t="s">
        <v>23</v>
      </c>
      <c r="D76" s="1" t="s">
        <v>5</v>
      </c>
      <c r="I76" s="1" t="s">
        <v>91</v>
      </c>
      <c r="J76" s="7">
        <v>4620</v>
      </c>
      <c r="AK76" s="1"/>
      <c r="AT76" s="1" t="s">
        <v>111</v>
      </c>
    </row>
    <row r="77" spans="1:46">
      <c r="A77" s="1" t="s">
        <v>33</v>
      </c>
      <c r="B77" s="1" t="s">
        <v>3</v>
      </c>
      <c r="C77" s="1" t="s">
        <v>23</v>
      </c>
      <c r="D77" s="1" t="s">
        <v>5</v>
      </c>
      <c r="I77" s="1" t="s">
        <v>91</v>
      </c>
      <c r="J77" s="7">
        <v>13676.666666666666</v>
      </c>
      <c r="AK77" s="1"/>
      <c r="AT77" s="1" t="s">
        <v>111</v>
      </c>
    </row>
    <row r="78" spans="1:46">
      <c r="A78" s="1" t="s">
        <v>34</v>
      </c>
      <c r="B78" s="1" t="s">
        <v>3</v>
      </c>
      <c r="C78" s="1" t="s">
        <v>23</v>
      </c>
      <c r="D78" s="1" t="s">
        <v>6</v>
      </c>
      <c r="I78" s="1" t="s">
        <v>91</v>
      </c>
      <c r="J78" s="7">
        <v>25666.666666666668</v>
      </c>
      <c r="AK78" s="1"/>
      <c r="AT78" s="1" t="s">
        <v>112</v>
      </c>
    </row>
    <row r="79" spans="1:46">
      <c r="A79" s="1" t="s">
        <v>34</v>
      </c>
      <c r="B79" s="1" t="s">
        <v>3</v>
      </c>
      <c r="C79" s="1" t="s">
        <v>23</v>
      </c>
      <c r="D79" s="1" t="s">
        <v>6</v>
      </c>
      <c r="I79" s="1" t="s">
        <v>91</v>
      </c>
      <c r="J79" s="7">
        <v>18333.333333333332</v>
      </c>
      <c r="AK79" s="1"/>
      <c r="AT79" s="1" t="s">
        <v>112</v>
      </c>
    </row>
    <row r="80" spans="1:46">
      <c r="A80" s="1" t="s">
        <v>35</v>
      </c>
      <c r="B80" s="1" t="s">
        <v>3</v>
      </c>
      <c r="C80" s="1" t="s">
        <v>13</v>
      </c>
      <c r="D80" s="1" t="s">
        <v>6</v>
      </c>
      <c r="AK80" s="1"/>
      <c r="AT80" s="1" t="s">
        <v>113</v>
      </c>
    </row>
    <row r="81" spans="1:46">
      <c r="A81" s="1" t="s">
        <v>35</v>
      </c>
      <c r="B81" s="1" t="s">
        <v>3</v>
      </c>
      <c r="C81" s="1" t="s">
        <v>13</v>
      </c>
      <c r="D81" s="1" t="s">
        <v>6</v>
      </c>
      <c r="AK81" s="1"/>
      <c r="AT81" s="1" t="s">
        <v>113</v>
      </c>
    </row>
    <row r="82" spans="1:46">
      <c r="A82" s="1" t="s">
        <v>35</v>
      </c>
      <c r="B82" s="1" t="s">
        <v>3</v>
      </c>
      <c r="C82" s="1" t="s">
        <v>13</v>
      </c>
      <c r="D82" s="1" t="s">
        <v>6</v>
      </c>
      <c r="AK82" s="1"/>
      <c r="AT82" s="1" t="s">
        <v>113</v>
      </c>
    </row>
    <row r="83" spans="1:46">
      <c r="A83" s="1" t="s">
        <v>36</v>
      </c>
      <c r="B83" s="1" t="s">
        <v>3</v>
      </c>
      <c r="C83" s="1" t="s">
        <v>23</v>
      </c>
      <c r="D83" s="1" t="s">
        <v>25</v>
      </c>
      <c r="AK83" s="1"/>
      <c r="AT83" s="1" t="s">
        <v>114</v>
      </c>
    </row>
    <row r="84" spans="1:46">
      <c r="A84" s="1" t="s">
        <v>36</v>
      </c>
      <c r="B84" s="1" t="s">
        <v>3</v>
      </c>
      <c r="C84" s="1" t="s">
        <v>23</v>
      </c>
      <c r="D84" s="1" t="s">
        <v>25</v>
      </c>
      <c r="I84" s="1" t="s">
        <v>91</v>
      </c>
      <c r="J84" s="7">
        <v>10743.333333333334</v>
      </c>
      <c r="K84" s="7">
        <v>2493.3333333333335</v>
      </c>
      <c r="L84" s="1">
        <v>4</v>
      </c>
      <c r="AK84" s="1"/>
      <c r="AT84" s="1" t="s">
        <v>114</v>
      </c>
    </row>
    <row r="85" spans="1:46">
      <c r="A85" s="1" t="s">
        <v>36</v>
      </c>
      <c r="B85" s="1" t="s">
        <v>3</v>
      </c>
      <c r="C85" s="1" t="s">
        <v>23</v>
      </c>
      <c r="D85" s="1" t="s">
        <v>25</v>
      </c>
      <c r="I85" s="1" t="s">
        <v>91</v>
      </c>
      <c r="J85" s="7">
        <v>26106.666666666668</v>
      </c>
      <c r="K85" s="7">
        <v>6013.333333333333</v>
      </c>
      <c r="L85" s="1">
        <v>4</v>
      </c>
      <c r="AK85" s="1"/>
      <c r="AT85" s="1" t="s">
        <v>114</v>
      </c>
    </row>
    <row r="86" spans="1:46">
      <c r="A86" s="1" t="s">
        <v>36</v>
      </c>
      <c r="B86" s="1" t="s">
        <v>3</v>
      </c>
      <c r="C86" s="1" t="s">
        <v>23</v>
      </c>
      <c r="D86" s="1" t="s">
        <v>25</v>
      </c>
      <c r="I86" s="1" t="s">
        <v>91</v>
      </c>
      <c r="J86" s="7">
        <v>26216.666666666668</v>
      </c>
      <c r="K86" s="7">
        <v>5500</v>
      </c>
      <c r="L86" s="1">
        <v>4</v>
      </c>
      <c r="AK86" s="1"/>
      <c r="AT86" s="1" t="s">
        <v>114</v>
      </c>
    </row>
    <row r="87" spans="1:46">
      <c r="A87" s="1" t="s">
        <v>36</v>
      </c>
      <c r="B87" s="1" t="s">
        <v>3</v>
      </c>
      <c r="C87" s="1" t="s">
        <v>23</v>
      </c>
      <c r="D87" s="1" t="s">
        <v>25</v>
      </c>
      <c r="I87" s="1" t="s">
        <v>91</v>
      </c>
      <c r="J87" s="7">
        <v>21816.666666666668</v>
      </c>
      <c r="K87" s="7">
        <v>5023.333333333333</v>
      </c>
      <c r="L87" s="1">
        <v>4</v>
      </c>
      <c r="AK87" s="1"/>
      <c r="AT87" s="1" t="s">
        <v>114</v>
      </c>
    </row>
    <row r="88" spans="1:46">
      <c r="A88" s="1" t="s">
        <v>37</v>
      </c>
      <c r="B88" s="1" t="s">
        <v>3</v>
      </c>
      <c r="C88" s="1" t="s">
        <v>23</v>
      </c>
      <c r="D88" s="1" t="s">
        <v>5</v>
      </c>
      <c r="I88" s="1" t="s">
        <v>91</v>
      </c>
      <c r="J88" s="7">
        <v>5127</v>
      </c>
      <c r="AK88" s="1"/>
      <c r="AT88" s="1" t="s">
        <v>115</v>
      </c>
    </row>
    <row r="89" spans="1:46">
      <c r="A89" s="1" t="s">
        <v>37</v>
      </c>
      <c r="B89" s="1" t="s">
        <v>3</v>
      </c>
      <c r="C89" s="1" t="s">
        <v>23</v>
      </c>
      <c r="D89" s="1" t="s">
        <v>5</v>
      </c>
      <c r="I89" s="1" t="s">
        <v>91</v>
      </c>
      <c r="J89" s="7">
        <v>2772</v>
      </c>
      <c r="AK89" s="1"/>
      <c r="AT89" s="1" t="s">
        <v>115</v>
      </c>
    </row>
    <row r="90" spans="1:46">
      <c r="A90" s="1" t="s">
        <v>37</v>
      </c>
      <c r="B90" s="1" t="s">
        <v>3</v>
      </c>
      <c r="C90" s="1" t="s">
        <v>23</v>
      </c>
      <c r="D90" s="1" t="s">
        <v>5</v>
      </c>
      <c r="I90" s="1" t="s">
        <v>91</v>
      </c>
      <c r="J90" s="7">
        <v>4989</v>
      </c>
      <c r="AK90" s="1"/>
      <c r="AT90" s="1" t="s">
        <v>115</v>
      </c>
    </row>
    <row r="91" spans="1:46">
      <c r="A91" s="1" t="s">
        <v>37</v>
      </c>
      <c r="B91" s="1" t="s">
        <v>3</v>
      </c>
      <c r="C91" s="1" t="s">
        <v>23</v>
      </c>
      <c r="D91" s="1" t="s">
        <v>5</v>
      </c>
      <c r="I91" s="1" t="s">
        <v>91</v>
      </c>
      <c r="J91" s="7">
        <v>6513</v>
      </c>
      <c r="AK91" s="1"/>
      <c r="AT91" s="1" t="s">
        <v>115</v>
      </c>
    </row>
    <row r="92" spans="1:46">
      <c r="A92" s="1" t="s">
        <v>37</v>
      </c>
      <c r="B92" s="1" t="s">
        <v>3</v>
      </c>
      <c r="C92" s="1" t="s">
        <v>23</v>
      </c>
      <c r="D92" s="1" t="s">
        <v>5</v>
      </c>
      <c r="I92" s="1" t="s">
        <v>91</v>
      </c>
      <c r="J92" s="7">
        <v>4157</v>
      </c>
      <c r="AK92" s="1"/>
      <c r="AT92" s="1" t="s">
        <v>115</v>
      </c>
    </row>
    <row r="93" spans="1:46">
      <c r="A93" s="1" t="s">
        <v>38</v>
      </c>
      <c r="B93" s="1" t="s">
        <v>3</v>
      </c>
      <c r="C93" s="1" t="s">
        <v>23</v>
      </c>
      <c r="D93" s="1" t="s">
        <v>6</v>
      </c>
      <c r="AK93" s="1"/>
      <c r="AT93" s="1" t="s">
        <v>116</v>
      </c>
    </row>
    <row r="94" spans="1:46">
      <c r="A94" s="1" t="s">
        <v>39</v>
      </c>
      <c r="B94" s="1" t="s">
        <v>3</v>
      </c>
      <c r="D94" s="1" t="s">
        <v>5</v>
      </c>
      <c r="AK94" s="1"/>
      <c r="AT94" s="1" t="s">
        <v>117</v>
      </c>
    </row>
    <row r="95" spans="1:46">
      <c r="A95" s="1" t="s">
        <v>39</v>
      </c>
      <c r="B95" s="1" t="s">
        <v>3</v>
      </c>
      <c r="D95" s="1" t="s">
        <v>5</v>
      </c>
      <c r="AK95" s="1"/>
      <c r="AT95" s="1" t="s">
        <v>117</v>
      </c>
    </row>
    <row r="96" spans="1:46">
      <c r="A96" s="1" t="s">
        <v>40</v>
      </c>
      <c r="B96" s="1" t="s">
        <v>3</v>
      </c>
      <c r="C96" s="1" t="s">
        <v>197</v>
      </c>
      <c r="D96" s="1" t="s">
        <v>6</v>
      </c>
      <c r="M96" s="7">
        <f>N96*12/44</f>
        <v>104</v>
      </c>
      <c r="N96" s="7">
        <v>381.33333333333331</v>
      </c>
      <c r="O96" s="7">
        <v>176</v>
      </c>
      <c r="P96" s="1">
        <v>4</v>
      </c>
      <c r="AK96" s="1"/>
      <c r="AT96" s="1" t="s">
        <v>118</v>
      </c>
    </row>
    <row r="97" spans="1:46">
      <c r="A97" s="1" t="s">
        <v>40</v>
      </c>
      <c r="B97" s="1" t="s">
        <v>3</v>
      </c>
      <c r="C97" s="1" t="s">
        <v>197</v>
      </c>
      <c r="D97" s="1" t="s">
        <v>6</v>
      </c>
      <c r="AK97" s="1"/>
      <c r="AT97" s="1" t="s">
        <v>118</v>
      </c>
    </row>
    <row r="98" spans="1:46">
      <c r="A98" s="1" t="s">
        <v>40</v>
      </c>
      <c r="B98" s="1" t="s">
        <v>3</v>
      </c>
      <c r="C98" s="1" t="s">
        <v>197</v>
      </c>
      <c r="D98" s="1" t="s">
        <v>6</v>
      </c>
      <c r="AK98" s="1"/>
      <c r="AT98" s="1" t="s">
        <v>118</v>
      </c>
    </row>
    <row r="99" spans="1:46">
      <c r="A99" s="1" t="s">
        <v>40</v>
      </c>
      <c r="B99" s="1" t="s">
        <v>3</v>
      </c>
      <c r="C99" s="1" t="s">
        <v>197</v>
      </c>
      <c r="D99" s="1" t="s">
        <v>6</v>
      </c>
      <c r="AK99" s="1"/>
      <c r="AT99" s="1" t="s">
        <v>118</v>
      </c>
    </row>
    <row r="100" spans="1:46">
      <c r="A100" s="1" t="s">
        <v>40</v>
      </c>
      <c r="B100" s="1" t="s">
        <v>3</v>
      </c>
      <c r="C100" s="1" t="s">
        <v>197</v>
      </c>
      <c r="D100" s="1" t="s">
        <v>6</v>
      </c>
      <c r="AK100" s="1"/>
      <c r="AT100" s="1" t="s">
        <v>118</v>
      </c>
    </row>
    <row r="101" spans="1:46">
      <c r="A101" s="1" t="s">
        <v>40</v>
      </c>
      <c r="B101" s="1" t="s">
        <v>3</v>
      </c>
      <c r="C101" s="1" t="s">
        <v>197</v>
      </c>
      <c r="D101" s="1" t="s">
        <v>6</v>
      </c>
      <c r="AK101" s="1"/>
      <c r="AT101" s="1" t="s">
        <v>118</v>
      </c>
    </row>
    <row r="102" spans="1:46">
      <c r="A102" s="1" t="s">
        <v>41</v>
      </c>
      <c r="B102" s="1" t="s">
        <v>3</v>
      </c>
      <c r="C102" s="1" t="s">
        <v>23</v>
      </c>
      <c r="D102" s="1" t="s">
        <v>6</v>
      </c>
      <c r="AK102" s="1"/>
      <c r="AT102" s="1" t="s">
        <v>119</v>
      </c>
    </row>
    <row r="103" spans="1:46">
      <c r="A103" s="1" t="s">
        <v>41</v>
      </c>
      <c r="B103" s="1" t="s">
        <v>3</v>
      </c>
      <c r="C103" s="1" t="s">
        <v>163</v>
      </c>
      <c r="D103" s="1" t="s">
        <v>6</v>
      </c>
      <c r="AK103" s="1"/>
      <c r="AT103" s="1" t="s">
        <v>119</v>
      </c>
    </row>
    <row r="104" spans="1:46">
      <c r="A104" s="1" t="s">
        <v>41</v>
      </c>
      <c r="B104" s="1" t="s">
        <v>3</v>
      </c>
      <c r="C104" s="1" t="s">
        <v>13</v>
      </c>
      <c r="D104" s="1" t="s">
        <v>6</v>
      </c>
      <c r="AK104" s="1"/>
      <c r="AT104" s="1" t="s">
        <v>119</v>
      </c>
    </row>
    <row r="105" spans="1:46">
      <c r="A105" s="1" t="s">
        <v>42</v>
      </c>
      <c r="B105" s="1" t="s">
        <v>3</v>
      </c>
      <c r="C105" s="1" t="s">
        <v>197</v>
      </c>
      <c r="D105" s="1" t="s">
        <v>6</v>
      </c>
      <c r="AK105" s="1"/>
      <c r="AT105" s="1" t="s">
        <v>120</v>
      </c>
    </row>
    <row r="106" spans="1:46">
      <c r="A106" s="1" t="s">
        <v>42</v>
      </c>
      <c r="B106" s="1" t="s">
        <v>3</v>
      </c>
      <c r="C106" s="1" t="s">
        <v>197</v>
      </c>
      <c r="D106" s="1" t="s">
        <v>6</v>
      </c>
      <c r="AK106" s="1"/>
      <c r="AT106" s="1" t="s">
        <v>120</v>
      </c>
    </row>
    <row r="107" spans="1:46">
      <c r="A107" s="1" t="s">
        <v>43</v>
      </c>
      <c r="B107" s="1" t="s">
        <v>3</v>
      </c>
      <c r="C107" s="1" t="s">
        <v>23</v>
      </c>
      <c r="D107" s="1" t="s">
        <v>7</v>
      </c>
      <c r="AK107" s="1"/>
      <c r="AT107" s="1" t="s">
        <v>121</v>
      </c>
    </row>
    <row r="108" spans="1:46">
      <c r="A108" s="1" t="s">
        <v>43</v>
      </c>
      <c r="B108" s="1" t="s">
        <v>3</v>
      </c>
      <c r="C108" s="1" t="s">
        <v>23</v>
      </c>
      <c r="D108" s="1" t="s">
        <v>7</v>
      </c>
      <c r="AK108" s="1"/>
      <c r="AT108" s="1" t="s">
        <v>121</v>
      </c>
    </row>
    <row r="109" spans="1:46">
      <c r="A109" s="1" t="s">
        <v>43</v>
      </c>
      <c r="B109" s="1" t="s">
        <v>3</v>
      </c>
      <c r="C109" s="1" t="s">
        <v>23</v>
      </c>
      <c r="D109" s="1" t="s">
        <v>7</v>
      </c>
      <c r="AK109" s="1"/>
      <c r="AT109" s="1" t="s">
        <v>121</v>
      </c>
    </row>
    <row r="110" spans="1:46">
      <c r="A110" s="1" t="s">
        <v>43</v>
      </c>
      <c r="B110" s="1" t="s">
        <v>3</v>
      </c>
      <c r="C110" s="1" t="s">
        <v>23</v>
      </c>
      <c r="D110" s="1" t="s">
        <v>7</v>
      </c>
      <c r="AK110" s="1"/>
      <c r="AT110" s="1" t="s">
        <v>121</v>
      </c>
    </row>
    <row r="111" spans="1:46">
      <c r="A111" s="1" t="s">
        <v>44</v>
      </c>
      <c r="B111" s="1" t="s">
        <v>3</v>
      </c>
      <c r="C111" s="1" t="s">
        <v>13</v>
      </c>
      <c r="D111" s="1" t="s">
        <v>5</v>
      </c>
      <c r="AK111" s="1"/>
      <c r="AT111" s="1" t="s">
        <v>122</v>
      </c>
    </row>
    <row r="112" spans="1:46">
      <c r="A112" s="1" t="s">
        <v>45</v>
      </c>
      <c r="B112" s="1" t="s">
        <v>3</v>
      </c>
      <c r="C112" s="1" t="s">
        <v>23</v>
      </c>
      <c r="D112" s="1" t="s">
        <v>46</v>
      </c>
      <c r="AK112" s="1"/>
      <c r="AT112" s="1" t="s">
        <v>123</v>
      </c>
    </row>
    <row r="113" spans="1:46">
      <c r="A113" s="1" t="s">
        <v>47</v>
      </c>
      <c r="B113" s="1" t="s">
        <v>3</v>
      </c>
      <c r="C113" s="1" t="s">
        <v>171</v>
      </c>
      <c r="D113" s="1" t="s">
        <v>6</v>
      </c>
      <c r="AK113" s="1"/>
      <c r="AT113" s="1" t="s">
        <v>124</v>
      </c>
    </row>
    <row r="114" spans="1:46">
      <c r="A114" s="1" t="s">
        <v>48</v>
      </c>
      <c r="B114" s="1" t="s">
        <v>3</v>
      </c>
      <c r="C114" s="1" t="s">
        <v>23</v>
      </c>
      <c r="D114" s="1" t="s">
        <v>6</v>
      </c>
      <c r="AK114" s="1"/>
      <c r="AT114" s="1" t="s">
        <v>125</v>
      </c>
    </row>
    <row r="115" spans="1:46">
      <c r="A115" s="1" t="s">
        <v>48</v>
      </c>
      <c r="B115" s="1" t="s">
        <v>3</v>
      </c>
      <c r="C115" s="1" t="s">
        <v>23</v>
      </c>
      <c r="D115" s="1" t="s">
        <v>6</v>
      </c>
      <c r="AK115" s="1"/>
      <c r="AT115" s="1" t="s">
        <v>125</v>
      </c>
    </row>
    <row r="116" spans="1:46">
      <c r="A116" s="1" t="s">
        <v>48</v>
      </c>
      <c r="B116" s="1" t="s">
        <v>3</v>
      </c>
      <c r="C116" s="1" t="s">
        <v>23</v>
      </c>
      <c r="D116" s="1" t="s">
        <v>6</v>
      </c>
      <c r="AK116" s="1"/>
      <c r="AT116" s="1" t="s">
        <v>125</v>
      </c>
    </row>
    <row r="117" spans="1:46">
      <c r="A117" s="1" t="s">
        <v>48</v>
      </c>
      <c r="B117" s="1" t="s">
        <v>3</v>
      </c>
      <c r="C117" s="1" t="s">
        <v>23</v>
      </c>
      <c r="D117" s="1" t="s">
        <v>6</v>
      </c>
      <c r="AK117" s="1"/>
      <c r="AT117" s="1" t="s">
        <v>125</v>
      </c>
    </row>
    <row r="118" spans="1:46">
      <c r="A118" s="1" t="s">
        <v>48</v>
      </c>
      <c r="B118" s="1" t="s">
        <v>3</v>
      </c>
      <c r="C118" s="1" t="s">
        <v>23</v>
      </c>
      <c r="D118" s="1" t="s">
        <v>6</v>
      </c>
      <c r="AK118" s="1"/>
      <c r="AT118" s="1" t="s">
        <v>125</v>
      </c>
    </row>
    <row r="119" spans="1:46">
      <c r="A119" s="1" t="s">
        <v>49</v>
      </c>
      <c r="B119" s="1" t="s">
        <v>3</v>
      </c>
      <c r="C119" s="1" t="s">
        <v>23</v>
      </c>
      <c r="D119" s="1" t="s">
        <v>6</v>
      </c>
      <c r="I119" s="1" t="s">
        <v>91</v>
      </c>
      <c r="J119" s="7">
        <v>15766.666666666666</v>
      </c>
      <c r="AK119" s="1"/>
      <c r="AT119" s="1" t="s">
        <v>126</v>
      </c>
    </row>
    <row r="120" spans="1:46">
      <c r="A120" s="1" t="s">
        <v>49</v>
      </c>
      <c r="B120" s="1" t="s">
        <v>3</v>
      </c>
      <c r="C120" s="1" t="s">
        <v>171</v>
      </c>
      <c r="D120" s="1" t="s">
        <v>6</v>
      </c>
      <c r="I120" s="1" t="s">
        <v>91</v>
      </c>
      <c r="J120" s="7">
        <v>9826.6666666666661</v>
      </c>
      <c r="AK120" s="1"/>
      <c r="AT120" s="1" t="s">
        <v>126</v>
      </c>
    </row>
    <row r="121" spans="1:46">
      <c r="A121" s="1" t="s">
        <v>50</v>
      </c>
      <c r="B121" s="1" t="s">
        <v>3</v>
      </c>
      <c r="C121" s="1" t="s">
        <v>23</v>
      </c>
      <c r="D121" s="1" t="s">
        <v>6</v>
      </c>
      <c r="AK121" s="1"/>
      <c r="AT121" s="1" t="s">
        <v>127</v>
      </c>
    </row>
    <row r="122" spans="1:46">
      <c r="A122" s="1" t="s">
        <v>50</v>
      </c>
      <c r="B122" s="1" t="s">
        <v>3</v>
      </c>
      <c r="C122" s="1" t="s">
        <v>23</v>
      </c>
      <c r="D122" s="1" t="s">
        <v>6</v>
      </c>
      <c r="AK122" s="1"/>
      <c r="AT122" s="1" t="s">
        <v>127</v>
      </c>
    </row>
    <row r="123" spans="1:46">
      <c r="A123" s="1" t="s">
        <v>50</v>
      </c>
      <c r="B123" s="1" t="s">
        <v>3</v>
      </c>
      <c r="C123" s="1" t="s">
        <v>23</v>
      </c>
      <c r="D123" s="1" t="s">
        <v>6</v>
      </c>
      <c r="AK123" s="1"/>
      <c r="AT123" s="1" t="s">
        <v>127</v>
      </c>
    </row>
    <row r="124" spans="1:46">
      <c r="A124" s="1" t="s">
        <v>50</v>
      </c>
      <c r="B124" s="1" t="s">
        <v>3</v>
      </c>
      <c r="C124" s="1" t="s">
        <v>23</v>
      </c>
      <c r="D124" s="1" t="s">
        <v>6</v>
      </c>
      <c r="AK124" s="1"/>
      <c r="AT124" s="1" t="s">
        <v>127</v>
      </c>
    </row>
    <row r="125" spans="1:46">
      <c r="A125" s="1" t="s">
        <v>50</v>
      </c>
      <c r="B125" s="1" t="s">
        <v>3</v>
      </c>
      <c r="C125" s="1" t="s">
        <v>23</v>
      </c>
      <c r="D125" s="1" t="s">
        <v>6</v>
      </c>
      <c r="AK125" s="1"/>
      <c r="AT125" s="1" t="s">
        <v>127</v>
      </c>
    </row>
    <row r="126" spans="1:46">
      <c r="A126" s="1" t="s">
        <v>50</v>
      </c>
      <c r="B126" s="1" t="s">
        <v>3</v>
      </c>
      <c r="C126" s="1" t="s">
        <v>23</v>
      </c>
      <c r="D126" s="1" t="s">
        <v>6</v>
      </c>
      <c r="AK126" s="1"/>
      <c r="AT126" s="1" t="s">
        <v>127</v>
      </c>
    </row>
    <row r="127" spans="1:46">
      <c r="A127" s="1" t="s">
        <v>50</v>
      </c>
      <c r="B127" s="1" t="s">
        <v>3</v>
      </c>
      <c r="C127" s="1" t="s">
        <v>23</v>
      </c>
      <c r="D127" s="1" t="s">
        <v>6</v>
      </c>
      <c r="AK127" s="1"/>
      <c r="AT127" s="1" t="s">
        <v>127</v>
      </c>
    </row>
    <row r="128" spans="1:46">
      <c r="A128" s="1" t="s">
        <v>50</v>
      </c>
      <c r="B128" s="1" t="s">
        <v>3</v>
      </c>
      <c r="C128" s="1" t="s">
        <v>23</v>
      </c>
      <c r="D128" s="1" t="s">
        <v>6</v>
      </c>
      <c r="AK128" s="1"/>
      <c r="AT128" s="1" t="s">
        <v>127</v>
      </c>
    </row>
    <row r="129" spans="1:46">
      <c r="A129" s="1" t="s">
        <v>51</v>
      </c>
      <c r="B129" s="1" t="s">
        <v>3</v>
      </c>
      <c r="C129" s="1" t="s">
        <v>23</v>
      </c>
      <c r="D129" s="1" t="s">
        <v>6</v>
      </c>
      <c r="AK129" s="1"/>
      <c r="AT129" s="1" t="s">
        <v>128</v>
      </c>
    </row>
    <row r="130" spans="1:46">
      <c r="A130" s="1" t="s">
        <v>51</v>
      </c>
      <c r="B130" s="1" t="s">
        <v>3</v>
      </c>
      <c r="C130" s="1" t="s">
        <v>23</v>
      </c>
      <c r="D130" s="1" t="s">
        <v>6</v>
      </c>
      <c r="AK130" s="1"/>
      <c r="AT130" s="1" t="s">
        <v>128</v>
      </c>
    </row>
    <row r="131" spans="1:46">
      <c r="A131" s="1" t="s">
        <v>52</v>
      </c>
      <c r="B131" s="1" t="s">
        <v>3</v>
      </c>
      <c r="C131" s="1" t="s">
        <v>319</v>
      </c>
      <c r="D131" s="1" t="s">
        <v>6</v>
      </c>
      <c r="AK131" s="1"/>
      <c r="AT131" s="1" t="s">
        <v>129</v>
      </c>
    </row>
    <row r="132" spans="1:46">
      <c r="A132" s="1" t="s">
        <v>52</v>
      </c>
      <c r="B132" s="1" t="s">
        <v>3</v>
      </c>
      <c r="C132" s="1" t="s">
        <v>319</v>
      </c>
      <c r="D132" s="1" t="s">
        <v>6</v>
      </c>
      <c r="AK132" s="1"/>
      <c r="AT132" s="1" t="s">
        <v>129</v>
      </c>
    </row>
    <row r="133" spans="1:46">
      <c r="A133" s="1" t="s">
        <v>53</v>
      </c>
      <c r="B133" s="1" t="s">
        <v>3</v>
      </c>
      <c r="D133" s="1" t="s">
        <v>6</v>
      </c>
      <c r="AK133" s="1"/>
      <c r="AT133" s="1" t="s">
        <v>130</v>
      </c>
    </row>
    <row r="134" spans="1:46">
      <c r="A134" s="1" t="s">
        <v>53</v>
      </c>
      <c r="B134" s="1" t="s">
        <v>3</v>
      </c>
      <c r="D134" s="1" t="s">
        <v>6</v>
      </c>
      <c r="AK134" s="1"/>
      <c r="AT134" s="1" t="s">
        <v>130</v>
      </c>
    </row>
    <row r="135" spans="1:46">
      <c r="A135" s="1" t="s">
        <v>53</v>
      </c>
      <c r="B135" s="1" t="s">
        <v>3</v>
      </c>
      <c r="D135" s="1" t="s">
        <v>6</v>
      </c>
      <c r="AK135" s="1"/>
      <c r="AT135" s="1" t="s">
        <v>130</v>
      </c>
    </row>
    <row r="136" spans="1:46">
      <c r="A136" s="1" t="s">
        <v>53</v>
      </c>
      <c r="B136" s="1" t="s">
        <v>3</v>
      </c>
      <c r="D136" s="1" t="s">
        <v>6</v>
      </c>
      <c r="AK136" s="1"/>
      <c r="AT136" s="1" t="s">
        <v>130</v>
      </c>
    </row>
    <row r="137" spans="1:46">
      <c r="A137" s="1" t="s">
        <v>53</v>
      </c>
      <c r="B137" s="1" t="s">
        <v>3</v>
      </c>
      <c r="D137" s="1" t="s">
        <v>6</v>
      </c>
      <c r="AK137" s="1"/>
      <c r="AT137" s="1" t="s">
        <v>130</v>
      </c>
    </row>
    <row r="138" spans="1:46">
      <c r="A138" s="1" t="s">
        <v>53</v>
      </c>
      <c r="B138" s="1" t="s">
        <v>3</v>
      </c>
      <c r="D138" s="1" t="s">
        <v>6</v>
      </c>
      <c r="AK138" s="1"/>
      <c r="AT138" s="1" t="s">
        <v>130</v>
      </c>
    </row>
    <row r="139" spans="1:46">
      <c r="A139" s="1" t="s">
        <v>54</v>
      </c>
      <c r="B139" s="1" t="s">
        <v>3</v>
      </c>
      <c r="C139" s="1" t="s">
        <v>23</v>
      </c>
      <c r="D139" s="1" t="s">
        <v>5</v>
      </c>
      <c r="I139" s="1" t="s">
        <v>91</v>
      </c>
      <c r="J139" s="7">
        <v>5133.333333333333</v>
      </c>
      <c r="AK139" s="1"/>
      <c r="AT139" s="1" t="s">
        <v>131</v>
      </c>
    </row>
    <row r="140" spans="1:46">
      <c r="A140" s="1" t="s">
        <v>54</v>
      </c>
      <c r="B140" s="1" t="s">
        <v>3</v>
      </c>
      <c r="C140" s="1" t="s">
        <v>23</v>
      </c>
      <c r="D140" s="1" t="s">
        <v>5</v>
      </c>
      <c r="I140" s="1" t="s">
        <v>91</v>
      </c>
      <c r="J140" s="7">
        <v>2772.1179624664896</v>
      </c>
      <c r="AK140" s="1"/>
      <c r="AT140" s="1" t="s">
        <v>131</v>
      </c>
    </row>
    <row r="141" spans="1:46">
      <c r="A141" s="1" t="s">
        <v>54</v>
      </c>
      <c r="B141" s="1" t="s">
        <v>3</v>
      </c>
      <c r="C141" s="1" t="s">
        <v>23</v>
      </c>
      <c r="D141" s="1" t="s">
        <v>5</v>
      </c>
      <c r="I141" s="1" t="s">
        <v>91</v>
      </c>
      <c r="J141" s="7">
        <v>4986.666666666667</v>
      </c>
      <c r="AK141" s="1"/>
      <c r="AT141" s="1" t="s">
        <v>131</v>
      </c>
    </row>
    <row r="142" spans="1:46">
      <c r="A142" s="1" t="s">
        <v>54</v>
      </c>
      <c r="B142" s="1" t="s">
        <v>3</v>
      </c>
      <c r="C142" s="1" t="s">
        <v>23</v>
      </c>
      <c r="D142" s="1" t="s">
        <v>5</v>
      </c>
      <c r="I142" s="1" t="s">
        <v>91</v>
      </c>
      <c r="J142" s="7">
        <v>6636.666666666667</v>
      </c>
      <c r="AK142" s="1"/>
      <c r="AT142" s="1" t="s">
        <v>131</v>
      </c>
    </row>
    <row r="143" spans="1:46">
      <c r="A143" s="1" t="s">
        <v>55</v>
      </c>
      <c r="B143" s="1" t="s">
        <v>3</v>
      </c>
      <c r="C143" s="1" t="s">
        <v>56</v>
      </c>
      <c r="D143" s="1" t="s">
        <v>25</v>
      </c>
      <c r="AK143" s="1"/>
      <c r="AT143" s="1" t="s">
        <v>132</v>
      </c>
    </row>
    <row r="144" spans="1:46">
      <c r="A144" s="1" t="s">
        <v>55</v>
      </c>
      <c r="B144" s="1" t="s">
        <v>3</v>
      </c>
      <c r="C144" s="1" t="s">
        <v>56</v>
      </c>
      <c r="D144" s="1" t="s">
        <v>25</v>
      </c>
      <c r="AK144" s="1"/>
      <c r="AT144" s="1" t="s">
        <v>132</v>
      </c>
    </row>
    <row r="145" spans="1:46">
      <c r="A145" s="1" t="s">
        <v>55</v>
      </c>
      <c r="B145" s="1" t="s">
        <v>3</v>
      </c>
      <c r="C145" s="1" t="s">
        <v>56</v>
      </c>
      <c r="D145" s="1" t="s">
        <v>25</v>
      </c>
      <c r="AK145" s="1"/>
      <c r="AT145" s="1" t="s">
        <v>132</v>
      </c>
    </row>
    <row r="146" spans="1:46">
      <c r="A146" s="1" t="s">
        <v>55</v>
      </c>
      <c r="B146" s="1" t="s">
        <v>3</v>
      </c>
      <c r="C146" s="1" t="s">
        <v>56</v>
      </c>
      <c r="D146" s="1" t="s">
        <v>25</v>
      </c>
      <c r="AK146" s="1"/>
      <c r="AT146" s="1" t="s">
        <v>132</v>
      </c>
    </row>
    <row r="147" spans="1:46">
      <c r="A147" s="1" t="s">
        <v>55</v>
      </c>
      <c r="B147" s="1" t="s">
        <v>3</v>
      </c>
      <c r="C147" s="1" t="s">
        <v>56</v>
      </c>
      <c r="D147" s="1" t="s">
        <v>25</v>
      </c>
      <c r="AK147" s="1"/>
      <c r="AT147" s="1" t="s">
        <v>132</v>
      </c>
    </row>
    <row r="148" spans="1:46">
      <c r="A148" s="1" t="s">
        <v>55</v>
      </c>
      <c r="B148" s="1" t="s">
        <v>3</v>
      </c>
      <c r="C148" s="1" t="s">
        <v>56</v>
      </c>
      <c r="D148" s="1" t="s">
        <v>25</v>
      </c>
      <c r="AK148" s="1"/>
      <c r="AT148" s="1" t="s">
        <v>132</v>
      </c>
    </row>
    <row r="149" spans="1:46">
      <c r="A149" s="1" t="s">
        <v>57</v>
      </c>
      <c r="B149" s="1" t="s">
        <v>3</v>
      </c>
      <c r="C149" s="1" t="s">
        <v>23</v>
      </c>
      <c r="D149" s="1" t="s">
        <v>6</v>
      </c>
      <c r="AK149" s="1"/>
      <c r="AT149" s="1" t="s">
        <v>133</v>
      </c>
    </row>
    <row r="150" spans="1:46">
      <c r="A150" s="1" t="s">
        <v>57</v>
      </c>
      <c r="B150" s="1" t="s">
        <v>3</v>
      </c>
      <c r="C150" s="1" t="s">
        <v>23</v>
      </c>
      <c r="D150" s="1" t="s">
        <v>6</v>
      </c>
      <c r="AK150" s="1"/>
      <c r="AT150" s="1" t="s">
        <v>133</v>
      </c>
    </row>
    <row r="151" spans="1:46">
      <c r="A151" s="1" t="s">
        <v>57</v>
      </c>
      <c r="B151" s="1" t="s">
        <v>3</v>
      </c>
      <c r="C151" s="1" t="s">
        <v>23</v>
      </c>
      <c r="D151" s="1" t="s">
        <v>6</v>
      </c>
      <c r="AK151" s="1"/>
      <c r="AT151" s="1" t="s">
        <v>133</v>
      </c>
    </row>
    <row r="152" spans="1:46">
      <c r="A152" s="1" t="s">
        <v>57</v>
      </c>
      <c r="B152" s="1" t="s">
        <v>3</v>
      </c>
      <c r="C152" s="1" t="s">
        <v>23</v>
      </c>
      <c r="D152" s="1" t="s">
        <v>6</v>
      </c>
      <c r="AK152" s="1"/>
      <c r="AT152" s="1" t="s">
        <v>133</v>
      </c>
    </row>
    <row r="153" spans="1:46">
      <c r="A153" s="1" t="s">
        <v>57</v>
      </c>
      <c r="B153" s="1" t="s">
        <v>3</v>
      </c>
      <c r="C153" s="1" t="s">
        <v>23</v>
      </c>
      <c r="D153" s="1" t="s">
        <v>6</v>
      </c>
      <c r="AK153" s="1"/>
      <c r="AT153" s="1" t="s">
        <v>133</v>
      </c>
    </row>
    <row r="154" spans="1:46">
      <c r="A154" s="1" t="s">
        <v>57</v>
      </c>
      <c r="B154" s="1" t="s">
        <v>3</v>
      </c>
      <c r="C154" s="1" t="s">
        <v>23</v>
      </c>
      <c r="D154" s="1" t="s">
        <v>6</v>
      </c>
      <c r="AK154" s="1"/>
      <c r="AT154" s="1" t="s">
        <v>133</v>
      </c>
    </row>
    <row r="155" spans="1:46">
      <c r="A155" s="1" t="s">
        <v>57</v>
      </c>
      <c r="B155" s="1" t="s">
        <v>3</v>
      </c>
      <c r="C155" s="1" t="s">
        <v>23</v>
      </c>
      <c r="D155" s="1" t="s">
        <v>6</v>
      </c>
      <c r="AK155" s="1"/>
      <c r="AT155" s="1" t="s">
        <v>133</v>
      </c>
    </row>
    <row r="156" spans="1:46">
      <c r="A156" s="1" t="s">
        <v>57</v>
      </c>
      <c r="B156" s="1" t="s">
        <v>3</v>
      </c>
      <c r="C156" s="1" t="s">
        <v>23</v>
      </c>
      <c r="D156" s="1" t="s">
        <v>6</v>
      </c>
      <c r="AK156" s="1"/>
      <c r="AT156" s="1" t="s">
        <v>133</v>
      </c>
    </row>
    <row r="157" spans="1:46">
      <c r="A157" s="1" t="s">
        <v>57</v>
      </c>
      <c r="B157" s="1" t="s">
        <v>3</v>
      </c>
      <c r="C157" s="1" t="s">
        <v>23</v>
      </c>
      <c r="D157" s="1" t="s">
        <v>6</v>
      </c>
      <c r="AK157" s="1"/>
      <c r="AT157" s="1" t="s">
        <v>133</v>
      </c>
    </row>
    <row r="158" spans="1:46">
      <c r="A158" s="1" t="s">
        <v>57</v>
      </c>
      <c r="B158" s="1" t="s">
        <v>3</v>
      </c>
      <c r="C158" s="1" t="s">
        <v>23</v>
      </c>
      <c r="D158" s="1" t="s">
        <v>6</v>
      </c>
      <c r="AK158" s="1"/>
      <c r="AT158" s="1" t="s">
        <v>133</v>
      </c>
    </row>
    <row r="159" spans="1:46">
      <c r="A159" s="1" t="s">
        <v>57</v>
      </c>
      <c r="B159" s="1" t="s">
        <v>3</v>
      </c>
      <c r="C159" s="1" t="s">
        <v>23</v>
      </c>
      <c r="D159" s="1" t="s">
        <v>6</v>
      </c>
      <c r="AK159" s="1"/>
      <c r="AT159" s="1" t="s">
        <v>133</v>
      </c>
    </row>
    <row r="160" spans="1:46">
      <c r="A160" s="1" t="s">
        <v>57</v>
      </c>
      <c r="B160" s="1" t="s">
        <v>3</v>
      </c>
      <c r="C160" s="1" t="s">
        <v>23</v>
      </c>
      <c r="D160" s="1" t="s">
        <v>6</v>
      </c>
      <c r="AK160" s="1"/>
      <c r="AT160" s="1" t="s">
        <v>133</v>
      </c>
    </row>
    <row r="161" spans="1:46">
      <c r="A161" s="1" t="s">
        <v>58</v>
      </c>
      <c r="B161" s="1" t="s">
        <v>3</v>
      </c>
      <c r="C161" s="1" t="s">
        <v>23</v>
      </c>
      <c r="D161" s="1" t="s">
        <v>6</v>
      </c>
      <c r="AK161" s="1"/>
      <c r="AT161" s="1" t="s">
        <v>134</v>
      </c>
    </row>
    <row r="162" spans="1:46">
      <c r="A162" s="1" t="s">
        <v>58</v>
      </c>
      <c r="B162" s="1" t="s">
        <v>3</v>
      </c>
      <c r="C162" s="1" t="s">
        <v>23</v>
      </c>
      <c r="D162" s="1" t="s">
        <v>6</v>
      </c>
      <c r="AK162" s="1"/>
      <c r="AT162" s="1" t="s">
        <v>134</v>
      </c>
    </row>
    <row r="163" spans="1:46">
      <c r="A163" s="1" t="s">
        <v>58</v>
      </c>
      <c r="B163" s="1" t="s">
        <v>3</v>
      </c>
      <c r="C163" s="1" t="s">
        <v>23</v>
      </c>
      <c r="D163" s="1" t="s">
        <v>6</v>
      </c>
      <c r="AK163" s="1"/>
      <c r="AT163" s="1" t="s">
        <v>134</v>
      </c>
    </row>
    <row r="164" spans="1:46">
      <c r="A164" s="1" t="s">
        <v>59</v>
      </c>
      <c r="B164" s="1" t="s">
        <v>3</v>
      </c>
      <c r="C164" s="1" t="s">
        <v>320</v>
      </c>
      <c r="AK164" s="1"/>
      <c r="AT164" s="1" t="s">
        <v>135</v>
      </c>
    </row>
    <row r="165" spans="1:46">
      <c r="A165" s="1" t="s">
        <v>60</v>
      </c>
      <c r="B165" s="1" t="s">
        <v>3</v>
      </c>
      <c r="C165" s="1" t="s">
        <v>13</v>
      </c>
      <c r="D165" s="1" t="s">
        <v>7</v>
      </c>
      <c r="AK165" s="1"/>
      <c r="AT165" s="1" t="s">
        <v>136</v>
      </c>
    </row>
    <row r="166" spans="1:46">
      <c r="A166" s="1" t="s">
        <v>60</v>
      </c>
      <c r="B166" s="1" t="s">
        <v>3</v>
      </c>
      <c r="C166" s="1" t="s">
        <v>13</v>
      </c>
      <c r="D166" s="1" t="s">
        <v>7</v>
      </c>
      <c r="AK166" s="1"/>
      <c r="AT166" s="1" t="s">
        <v>136</v>
      </c>
    </row>
    <row r="167" spans="1:46">
      <c r="A167" s="1" t="s">
        <v>60</v>
      </c>
      <c r="B167" s="1" t="s">
        <v>3</v>
      </c>
      <c r="C167" s="1" t="s">
        <v>13</v>
      </c>
      <c r="D167" s="1" t="s">
        <v>7</v>
      </c>
      <c r="AK167" s="1"/>
      <c r="AT167" s="1" t="s">
        <v>136</v>
      </c>
    </row>
    <row r="168" spans="1:46">
      <c r="A168" s="1" t="s">
        <v>60</v>
      </c>
      <c r="B168" s="1" t="s">
        <v>3</v>
      </c>
      <c r="C168" s="1" t="s">
        <v>13</v>
      </c>
      <c r="D168" s="1" t="s">
        <v>7</v>
      </c>
      <c r="AK168" s="1"/>
      <c r="AT168" s="1" t="s">
        <v>136</v>
      </c>
    </row>
    <row r="169" spans="1:46">
      <c r="A169" s="1" t="s">
        <v>60</v>
      </c>
      <c r="B169" s="1" t="s">
        <v>3</v>
      </c>
      <c r="C169" s="1" t="s">
        <v>13</v>
      </c>
      <c r="D169" s="1" t="s">
        <v>7</v>
      </c>
      <c r="AK169" s="1"/>
      <c r="AT169" s="1" t="s">
        <v>136</v>
      </c>
    </row>
    <row r="170" spans="1:46">
      <c r="A170" s="1" t="s">
        <v>60</v>
      </c>
      <c r="B170" s="1" t="s">
        <v>3</v>
      </c>
      <c r="C170" s="1" t="s">
        <v>13</v>
      </c>
      <c r="D170" s="1" t="s">
        <v>7</v>
      </c>
      <c r="AK170" s="1"/>
      <c r="AT170" s="1" t="s">
        <v>136</v>
      </c>
    </row>
    <row r="171" spans="1:46">
      <c r="A171" s="1" t="s">
        <v>60</v>
      </c>
      <c r="B171" s="1" t="s">
        <v>3</v>
      </c>
      <c r="C171" s="1" t="s">
        <v>61</v>
      </c>
      <c r="D171" s="1" t="s">
        <v>7</v>
      </c>
      <c r="AK171" s="1"/>
      <c r="AT171" s="1" t="s">
        <v>136</v>
      </c>
    </row>
    <row r="172" spans="1:46">
      <c r="A172" s="1" t="s">
        <v>60</v>
      </c>
      <c r="B172" s="1" t="s">
        <v>3</v>
      </c>
      <c r="C172" s="1" t="s">
        <v>61</v>
      </c>
      <c r="D172" s="1" t="s">
        <v>7</v>
      </c>
      <c r="AK172" s="1"/>
      <c r="AT172" s="1" t="s">
        <v>136</v>
      </c>
    </row>
    <row r="173" spans="1:46">
      <c r="A173" s="1" t="s">
        <v>60</v>
      </c>
      <c r="B173" s="1" t="s">
        <v>3</v>
      </c>
      <c r="C173" s="1" t="s">
        <v>61</v>
      </c>
      <c r="D173" s="1" t="s">
        <v>7</v>
      </c>
      <c r="AK173" s="1"/>
      <c r="AT173" s="1" t="s">
        <v>136</v>
      </c>
    </row>
    <row r="174" spans="1:46">
      <c r="A174" s="1" t="s">
        <v>60</v>
      </c>
      <c r="B174" s="1" t="s">
        <v>3</v>
      </c>
      <c r="C174" s="1" t="s">
        <v>61</v>
      </c>
      <c r="D174" s="1" t="s">
        <v>7</v>
      </c>
      <c r="AK174" s="1"/>
      <c r="AT174" s="1" t="s">
        <v>136</v>
      </c>
    </row>
    <row r="175" spans="1:46">
      <c r="A175" s="1" t="s">
        <v>60</v>
      </c>
      <c r="B175" s="1" t="s">
        <v>3</v>
      </c>
      <c r="C175" s="1" t="s">
        <v>61</v>
      </c>
      <c r="D175" s="1" t="s">
        <v>7</v>
      </c>
      <c r="AK175" s="1"/>
      <c r="AT175" s="1" t="s">
        <v>136</v>
      </c>
    </row>
    <row r="176" spans="1:46">
      <c r="A176" s="1" t="s">
        <v>62</v>
      </c>
      <c r="B176" s="1" t="s">
        <v>3</v>
      </c>
      <c r="C176" s="1" t="s">
        <v>171</v>
      </c>
      <c r="D176" s="1" t="s">
        <v>6</v>
      </c>
      <c r="E176" s="1" t="s">
        <v>91</v>
      </c>
      <c r="F176" s="7">
        <f>-2260*44/12</f>
        <v>-8286.6666666666661</v>
      </c>
      <c r="H176" s="1">
        <v>3</v>
      </c>
      <c r="I176" s="1" t="s">
        <v>91</v>
      </c>
      <c r="J176" s="7">
        <v>11623.333333333299</v>
      </c>
      <c r="L176" s="1">
        <v>3</v>
      </c>
      <c r="AK176" s="1"/>
      <c r="AT176" s="1" t="s">
        <v>137</v>
      </c>
    </row>
    <row r="177" spans="1:46">
      <c r="A177" s="1" t="s">
        <v>62</v>
      </c>
      <c r="B177" s="1" t="s">
        <v>3</v>
      </c>
      <c r="C177" s="1" t="s">
        <v>171</v>
      </c>
      <c r="D177" s="1" t="s">
        <v>6</v>
      </c>
      <c r="E177" s="1" t="s">
        <v>91</v>
      </c>
      <c r="F177" s="7">
        <f>-1810*44/12</f>
        <v>-6636.666666666667</v>
      </c>
      <c r="H177" s="1">
        <v>3</v>
      </c>
      <c r="I177" s="1" t="s">
        <v>91</v>
      </c>
      <c r="J177" s="7">
        <v>18883.333333333332</v>
      </c>
      <c r="L177" s="1">
        <v>3</v>
      </c>
      <c r="AK177" s="1"/>
      <c r="AT177" s="1" t="s">
        <v>137</v>
      </c>
    </row>
    <row r="178" spans="1:46">
      <c r="A178" s="1" t="s">
        <v>341</v>
      </c>
      <c r="B178" s="1" t="s">
        <v>3</v>
      </c>
      <c r="C178" s="1" t="s">
        <v>321</v>
      </c>
      <c r="D178" s="1" t="s">
        <v>6</v>
      </c>
      <c r="I178" s="1" t="s">
        <v>91</v>
      </c>
      <c r="J178" s="7">
        <v>4216.666666666667</v>
      </c>
      <c r="L178" s="1">
        <v>3</v>
      </c>
      <c r="M178" s="7">
        <f t="shared" ref="M178:M180" si="4">N178*12/44</f>
        <v>42</v>
      </c>
      <c r="N178" s="7">
        <v>154</v>
      </c>
      <c r="P178" s="1">
        <v>3</v>
      </c>
      <c r="V178" s="7">
        <v>13200</v>
      </c>
      <c r="X178" s="1">
        <v>3</v>
      </c>
      <c r="Z178" s="7">
        <f>0.061*1000</f>
        <v>61</v>
      </c>
      <c r="AB178" s="1">
        <v>3</v>
      </c>
      <c r="AD178" s="7">
        <f>0.04*1000</f>
        <v>40</v>
      </c>
      <c r="AF178" s="1">
        <v>3</v>
      </c>
      <c r="AK178" s="1"/>
      <c r="AT178" s="1" t="s">
        <v>138</v>
      </c>
    </row>
    <row r="179" spans="1:46">
      <c r="A179" s="1" t="s">
        <v>341</v>
      </c>
      <c r="B179" s="1" t="s">
        <v>3</v>
      </c>
      <c r="C179" s="1" t="s">
        <v>321</v>
      </c>
      <c r="D179" s="1" t="s">
        <v>6</v>
      </c>
      <c r="I179" s="1" t="s">
        <v>91</v>
      </c>
      <c r="J179" s="7">
        <v>733.33333333333337</v>
      </c>
      <c r="L179" s="1">
        <v>3</v>
      </c>
      <c r="M179" s="7">
        <f t="shared" si="4"/>
        <v>42</v>
      </c>
      <c r="N179" s="7">
        <v>154</v>
      </c>
      <c r="P179" s="1">
        <v>3</v>
      </c>
      <c r="V179" s="7">
        <v>15216.666666666666</v>
      </c>
      <c r="X179" s="1">
        <v>3</v>
      </c>
      <c r="Z179" s="7">
        <f>0.055*1000</f>
        <v>55</v>
      </c>
      <c r="AB179" s="1">
        <v>3</v>
      </c>
      <c r="AD179" s="7">
        <f>0.07*1000</f>
        <v>70</v>
      </c>
      <c r="AF179" s="1">
        <v>3</v>
      </c>
      <c r="AK179" s="1"/>
      <c r="AT179" s="1" t="s">
        <v>138</v>
      </c>
    </row>
    <row r="180" spans="1:46">
      <c r="A180" s="1" t="s">
        <v>341</v>
      </c>
      <c r="B180" s="1" t="s">
        <v>3</v>
      </c>
      <c r="C180" s="1" t="s">
        <v>319</v>
      </c>
      <c r="D180" s="1" t="s">
        <v>6</v>
      </c>
      <c r="L180" s="1">
        <v>3</v>
      </c>
      <c r="M180" s="7">
        <f t="shared" si="4"/>
        <v>41</v>
      </c>
      <c r="N180" s="7">
        <v>150.33333333333334</v>
      </c>
      <c r="P180" s="1">
        <v>3</v>
      </c>
      <c r="V180" s="7">
        <v>10926.666666666666</v>
      </c>
      <c r="X180" s="1">
        <v>3</v>
      </c>
      <c r="Z180" s="7">
        <f>0.029*1000</f>
        <v>29</v>
      </c>
      <c r="AB180" s="1">
        <v>3</v>
      </c>
      <c r="AD180" s="7">
        <f>0.17*1000</f>
        <v>170</v>
      </c>
      <c r="AF180" s="1">
        <v>3</v>
      </c>
      <c r="AK180" s="1"/>
      <c r="AT180" s="1" t="s">
        <v>138</v>
      </c>
    </row>
    <row r="181" spans="1:46">
      <c r="A181" s="1" t="s">
        <v>63</v>
      </c>
      <c r="B181" s="1" t="s">
        <v>3</v>
      </c>
      <c r="C181" s="1" t="s">
        <v>23</v>
      </c>
      <c r="D181" s="1" t="s">
        <v>6</v>
      </c>
      <c r="I181" s="1" t="s">
        <v>91</v>
      </c>
      <c r="J181" s="7">
        <v>17233.333333333332</v>
      </c>
      <c r="K181" s="7">
        <v>733.33333333333337</v>
      </c>
      <c r="L181" s="1">
        <v>3</v>
      </c>
      <c r="AK181" s="1"/>
      <c r="AT181" s="1" t="s">
        <v>139</v>
      </c>
    </row>
    <row r="182" spans="1:46">
      <c r="A182" s="1" t="s">
        <v>63</v>
      </c>
      <c r="B182" s="1" t="s">
        <v>3</v>
      </c>
      <c r="C182" s="1" t="s">
        <v>23</v>
      </c>
      <c r="D182" s="1" t="s">
        <v>6</v>
      </c>
      <c r="I182" s="1" t="s">
        <v>91</v>
      </c>
      <c r="J182" s="7">
        <v>19800</v>
      </c>
      <c r="K182" s="7">
        <v>733.33333333333337</v>
      </c>
      <c r="L182" s="1">
        <v>3</v>
      </c>
      <c r="AK182" s="1"/>
      <c r="AT182" s="1" t="s">
        <v>139</v>
      </c>
    </row>
    <row r="183" spans="1:46">
      <c r="A183" s="1" t="s">
        <v>64</v>
      </c>
      <c r="B183" s="1" t="s">
        <v>3</v>
      </c>
      <c r="C183" s="1" t="s">
        <v>65</v>
      </c>
      <c r="D183" s="1" t="s">
        <v>5</v>
      </c>
      <c r="AK183" s="1"/>
      <c r="AT183" s="1" t="s">
        <v>140</v>
      </c>
    </row>
    <row r="184" spans="1:46">
      <c r="A184" s="1" t="s">
        <v>64</v>
      </c>
      <c r="B184" s="1" t="s">
        <v>3</v>
      </c>
      <c r="C184" s="1" t="s">
        <v>65</v>
      </c>
      <c r="D184" s="1" t="s">
        <v>5</v>
      </c>
      <c r="AK184" s="1"/>
      <c r="AT184" s="1" t="s">
        <v>140</v>
      </c>
    </row>
    <row r="185" spans="1:46">
      <c r="A185" s="1" t="s">
        <v>66</v>
      </c>
      <c r="B185" s="1" t="s">
        <v>3</v>
      </c>
      <c r="C185" s="1" t="s">
        <v>23</v>
      </c>
      <c r="D185" s="1" t="s">
        <v>6</v>
      </c>
      <c r="AK185" s="1"/>
      <c r="AT185" s="1" t="s">
        <v>141</v>
      </c>
    </row>
    <row r="186" spans="1:46">
      <c r="A186" s="1" t="s">
        <v>66</v>
      </c>
      <c r="B186" s="1" t="s">
        <v>3</v>
      </c>
      <c r="C186" s="1" t="s">
        <v>23</v>
      </c>
      <c r="D186" s="1" t="s">
        <v>6</v>
      </c>
      <c r="I186" s="1" t="s">
        <v>91</v>
      </c>
      <c r="J186" s="7">
        <v>17966.666666666668</v>
      </c>
      <c r="K186" s="7">
        <v>2200</v>
      </c>
      <c r="L186" s="1">
        <v>3</v>
      </c>
      <c r="AK186" s="1"/>
      <c r="AT186" s="1" t="s">
        <v>141</v>
      </c>
    </row>
    <row r="187" spans="1:46">
      <c r="A187" s="1" t="s">
        <v>66</v>
      </c>
      <c r="B187" s="1" t="s">
        <v>3</v>
      </c>
      <c r="C187" s="1" t="s">
        <v>23</v>
      </c>
      <c r="D187" s="1" t="s">
        <v>6</v>
      </c>
      <c r="I187" s="1" t="s">
        <v>91</v>
      </c>
      <c r="J187" s="7">
        <v>13566.666666666666</v>
      </c>
      <c r="K187" s="7">
        <v>733.33333333333337</v>
      </c>
      <c r="L187" s="1">
        <v>3</v>
      </c>
      <c r="AK187" s="1"/>
      <c r="AT187" s="1" t="s">
        <v>141</v>
      </c>
    </row>
    <row r="188" spans="1:46">
      <c r="A188" s="1" t="s">
        <v>66</v>
      </c>
      <c r="B188" s="1" t="s">
        <v>3</v>
      </c>
      <c r="C188" s="1" t="s">
        <v>23</v>
      </c>
      <c r="D188" s="1" t="s">
        <v>6</v>
      </c>
      <c r="AK188" s="1"/>
      <c r="AT188" s="1" t="s">
        <v>141</v>
      </c>
    </row>
    <row r="189" spans="1:46">
      <c r="A189" s="1" t="s">
        <v>66</v>
      </c>
      <c r="B189" s="1" t="s">
        <v>3</v>
      </c>
      <c r="C189" s="1" t="s">
        <v>23</v>
      </c>
      <c r="D189" s="1" t="s">
        <v>6</v>
      </c>
      <c r="I189" s="1" t="s">
        <v>91</v>
      </c>
      <c r="J189" s="7">
        <v>21633.333333333332</v>
      </c>
      <c r="K189" s="7">
        <v>733.33333333333337</v>
      </c>
      <c r="L189" s="1">
        <v>3</v>
      </c>
      <c r="AK189" s="1"/>
      <c r="AT189" s="1" t="s">
        <v>141</v>
      </c>
    </row>
    <row r="190" spans="1:46">
      <c r="A190" s="1" t="s">
        <v>66</v>
      </c>
      <c r="B190" s="1" t="s">
        <v>3</v>
      </c>
      <c r="C190" s="1" t="s">
        <v>23</v>
      </c>
      <c r="D190" s="1" t="s">
        <v>6</v>
      </c>
      <c r="I190" s="1" t="s">
        <v>91</v>
      </c>
      <c r="J190" s="7">
        <v>16500</v>
      </c>
      <c r="K190" s="7">
        <v>733.33333333333337</v>
      </c>
      <c r="L190" s="1">
        <v>3</v>
      </c>
      <c r="AK190" s="1"/>
      <c r="AT190" s="1" t="s">
        <v>141</v>
      </c>
    </row>
    <row r="191" spans="1:46">
      <c r="A191" s="1" t="s">
        <v>66</v>
      </c>
      <c r="B191" s="1" t="s">
        <v>3</v>
      </c>
      <c r="C191" s="1" t="s">
        <v>23</v>
      </c>
      <c r="D191" s="1" t="s">
        <v>6</v>
      </c>
      <c r="AK191" s="1"/>
      <c r="AT191" s="1" t="s">
        <v>141</v>
      </c>
    </row>
    <row r="192" spans="1:46">
      <c r="A192" s="1" t="s">
        <v>66</v>
      </c>
      <c r="B192" s="1" t="s">
        <v>3</v>
      </c>
      <c r="C192" s="1" t="s">
        <v>23</v>
      </c>
      <c r="D192" s="1" t="s">
        <v>6</v>
      </c>
      <c r="I192" s="1" t="s">
        <v>91</v>
      </c>
      <c r="J192" s="7">
        <v>13566.666666666666</v>
      </c>
      <c r="K192" s="7">
        <v>733.33333333333337</v>
      </c>
      <c r="L192" s="1">
        <v>3</v>
      </c>
      <c r="AK192" s="1"/>
      <c r="AT192" s="1" t="s">
        <v>141</v>
      </c>
    </row>
    <row r="193" spans="1:46">
      <c r="A193" s="1" t="s">
        <v>66</v>
      </c>
      <c r="B193" s="1" t="s">
        <v>3</v>
      </c>
      <c r="C193" s="1" t="s">
        <v>23</v>
      </c>
      <c r="D193" s="1" t="s">
        <v>6</v>
      </c>
      <c r="I193" s="1" t="s">
        <v>91</v>
      </c>
      <c r="J193" s="7">
        <v>23833.333333333332</v>
      </c>
      <c r="K193" s="7">
        <v>2566.6666666666665</v>
      </c>
      <c r="L193" s="1">
        <v>3</v>
      </c>
      <c r="AK193" s="1"/>
      <c r="AT193" s="1" t="s">
        <v>141</v>
      </c>
    </row>
    <row r="194" spans="1:46">
      <c r="A194" s="1" t="s">
        <v>14</v>
      </c>
      <c r="B194" s="1" t="s">
        <v>3</v>
      </c>
      <c r="C194" s="1" t="s">
        <v>319</v>
      </c>
      <c r="D194" s="1" t="s">
        <v>6</v>
      </c>
      <c r="AK194" s="1"/>
      <c r="AT194" s="1" t="s">
        <v>205</v>
      </c>
    </row>
    <row r="195" spans="1:46">
      <c r="A195" s="1" t="s">
        <v>2</v>
      </c>
      <c r="B195" s="1" t="s">
        <v>3</v>
      </c>
      <c r="C195" s="1" t="s">
        <v>171</v>
      </c>
      <c r="D195" s="1" t="s">
        <v>6</v>
      </c>
      <c r="M195" s="7">
        <f t="shared" ref="M195:M196" si="5">N195*12/44</f>
        <v>309</v>
      </c>
      <c r="N195" s="7">
        <v>1133</v>
      </c>
      <c r="O195" s="7">
        <v>858</v>
      </c>
      <c r="P195" s="1">
        <v>3</v>
      </c>
      <c r="R195" s="7">
        <v>51.333333333333336</v>
      </c>
      <c r="S195" s="7">
        <v>40.333333333333336</v>
      </c>
      <c r="T195" s="1">
        <v>3</v>
      </c>
      <c r="V195" s="7">
        <v>168.66666666666666</v>
      </c>
      <c r="Z195" s="7">
        <f>41*16/12*34</f>
        <v>1858.6666666666665</v>
      </c>
      <c r="AD195" s="7">
        <v>378.2568</v>
      </c>
      <c r="AE195" s="7">
        <v>134.02800000000002</v>
      </c>
      <c r="AK195" s="1"/>
      <c r="AT195" s="1" t="s">
        <v>142</v>
      </c>
    </row>
    <row r="196" spans="1:46">
      <c r="A196" s="1" t="s">
        <v>2</v>
      </c>
      <c r="B196" s="1" t="s">
        <v>3</v>
      </c>
      <c r="C196" s="1" t="s">
        <v>171</v>
      </c>
      <c r="D196" s="1" t="s">
        <v>6</v>
      </c>
      <c r="M196" s="7">
        <f t="shared" si="5"/>
        <v>257</v>
      </c>
      <c r="N196" s="7">
        <v>942.33333333333337</v>
      </c>
      <c r="O196" s="7">
        <v>227.33333333333334</v>
      </c>
      <c r="P196" s="1">
        <v>3</v>
      </c>
      <c r="R196" s="7">
        <v>36.666666666666664</v>
      </c>
      <c r="S196" s="7">
        <v>7.333333333333333</v>
      </c>
      <c r="T196" s="1">
        <v>3</v>
      </c>
      <c r="AK196" s="1"/>
      <c r="AT196" s="1" t="s">
        <v>142</v>
      </c>
    </row>
    <row r="197" spans="1:46">
      <c r="A197" s="1" t="s">
        <v>67</v>
      </c>
      <c r="B197" s="1" t="s">
        <v>3</v>
      </c>
      <c r="C197" s="1" t="s">
        <v>23</v>
      </c>
      <c r="D197" s="1" t="s">
        <v>6</v>
      </c>
      <c r="AK197" s="1"/>
      <c r="AT197" s="1" t="s">
        <v>143</v>
      </c>
    </row>
    <row r="198" spans="1:46">
      <c r="A198" s="1" t="s">
        <v>67</v>
      </c>
      <c r="B198" s="1" t="s">
        <v>3</v>
      </c>
      <c r="C198" s="1" t="s">
        <v>23</v>
      </c>
      <c r="D198" s="1" t="s">
        <v>6</v>
      </c>
      <c r="AK198" s="1"/>
      <c r="AT198" s="1" t="s">
        <v>143</v>
      </c>
    </row>
    <row r="199" spans="1:46">
      <c r="A199" s="1" t="s">
        <v>67</v>
      </c>
      <c r="B199" s="1" t="s">
        <v>3</v>
      </c>
      <c r="C199" s="1" t="s">
        <v>23</v>
      </c>
      <c r="D199" s="1" t="s">
        <v>6</v>
      </c>
      <c r="AK199" s="1"/>
      <c r="AT199" s="1" t="s">
        <v>143</v>
      </c>
    </row>
    <row r="200" spans="1:46">
      <c r="A200" s="1" t="s">
        <v>67</v>
      </c>
      <c r="B200" s="1" t="s">
        <v>3</v>
      </c>
      <c r="C200" s="1" t="s">
        <v>23</v>
      </c>
      <c r="D200" s="1" t="s">
        <v>6</v>
      </c>
      <c r="AK200" s="1"/>
      <c r="AT200" s="1" t="s">
        <v>143</v>
      </c>
    </row>
    <row r="201" spans="1:46">
      <c r="A201" s="1" t="s">
        <v>67</v>
      </c>
      <c r="B201" s="1" t="s">
        <v>3</v>
      </c>
      <c r="C201" s="1" t="s">
        <v>23</v>
      </c>
      <c r="D201" s="1" t="s">
        <v>6</v>
      </c>
      <c r="AK201" s="1"/>
      <c r="AT201" s="1" t="s">
        <v>143</v>
      </c>
    </row>
    <row r="202" spans="1:46">
      <c r="A202" s="1" t="s">
        <v>67</v>
      </c>
      <c r="B202" s="1" t="s">
        <v>3</v>
      </c>
      <c r="C202" s="1" t="s">
        <v>23</v>
      </c>
      <c r="D202" s="1" t="s">
        <v>6</v>
      </c>
      <c r="AK202" s="1"/>
      <c r="AT202" s="1" t="s">
        <v>143</v>
      </c>
    </row>
    <row r="203" spans="1:46">
      <c r="A203" s="1" t="s">
        <v>67</v>
      </c>
      <c r="B203" s="1" t="s">
        <v>3</v>
      </c>
      <c r="C203" s="1" t="s">
        <v>23</v>
      </c>
      <c r="D203" s="1" t="s">
        <v>6</v>
      </c>
      <c r="AK203" s="1"/>
      <c r="AT203" s="1" t="s">
        <v>143</v>
      </c>
    </row>
    <row r="204" spans="1:46">
      <c r="A204" s="1" t="s">
        <v>67</v>
      </c>
      <c r="B204" s="1" t="s">
        <v>3</v>
      </c>
      <c r="C204" s="1" t="s">
        <v>23</v>
      </c>
      <c r="D204" s="1" t="s">
        <v>6</v>
      </c>
      <c r="AK204" s="1"/>
      <c r="AT204" s="1" t="s">
        <v>143</v>
      </c>
    </row>
    <row r="205" spans="1:46">
      <c r="A205" s="1" t="s">
        <v>67</v>
      </c>
      <c r="B205" s="1" t="s">
        <v>3</v>
      </c>
      <c r="C205" s="1" t="s">
        <v>23</v>
      </c>
      <c r="D205" s="1" t="s">
        <v>6</v>
      </c>
      <c r="AK205" s="1"/>
      <c r="AT205" s="1" t="s">
        <v>143</v>
      </c>
    </row>
    <row r="206" spans="1:46">
      <c r="A206" s="1" t="s">
        <v>67</v>
      </c>
      <c r="B206" s="1" t="s">
        <v>3</v>
      </c>
      <c r="C206" s="1" t="s">
        <v>23</v>
      </c>
      <c r="D206" s="1" t="s">
        <v>6</v>
      </c>
      <c r="AK206" s="1"/>
      <c r="AT206" s="1" t="s">
        <v>143</v>
      </c>
    </row>
    <row r="207" spans="1:46">
      <c r="A207" s="1" t="s">
        <v>67</v>
      </c>
      <c r="B207" s="1" t="s">
        <v>3</v>
      </c>
      <c r="C207" s="1" t="s">
        <v>23</v>
      </c>
      <c r="D207" s="1" t="s">
        <v>6</v>
      </c>
      <c r="AK207" s="1"/>
      <c r="AT207" s="1" t="s">
        <v>143</v>
      </c>
    </row>
    <row r="208" spans="1:46">
      <c r="A208" s="1" t="s">
        <v>67</v>
      </c>
      <c r="B208" s="1" t="s">
        <v>3</v>
      </c>
      <c r="C208" s="1" t="s">
        <v>23</v>
      </c>
      <c r="D208" s="1" t="s">
        <v>6</v>
      </c>
      <c r="AK208" s="1"/>
      <c r="AT208" s="1" t="s">
        <v>143</v>
      </c>
    </row>
    <row r="209" spans="1:46">
      <c r="A209" s="1" t="s">
        <v>67</v>
      </c>
      <c r="B209" s="1" t="s">
        <v>3</v>
      </c>
      <c r="C209" s="1" t="s">
        <v>23</v>
      </c>
      <c r="D209" s="1" t="s">
        <v>6</v>
      </c>
      <c r="AK209" s="1"/>
      <c r="AT209" s="1" t="s">
        <v>143</v>
      </c>
    </row>
    <row r="210" spans="1:46">
      <c r="A210" s="1" t="s">
        <v>67</v>
      </c>
      <c r="B210" s="1" t="s">
        <v>3</v>
      </c>
      <c r="C210" s="1" t="s">
        <v>23</v>
      </c>
      <c r="D210" s="1" t="s">
        <v>6</v>
      </c>
      <c r="AK210" s="1"/>
      <c r="AT210" s="1" t="s">
        <v>143</v>
      </c>
    </row>
    <row r="211" spans="1:46">
      <c r="A211" s="1" t="s">
        <v>67</v>
      </c>
      <c r="B211" s="1" t="s">
        <v>3</v>
      </c>
      <c r="C211" s="1" t="s">
        <v>23</v>
      </c>
      <c r="D211" s="1" t="s">
        <v>6</v>
      </c>
      <c r="AK211" s="1"/>
      <c r="AT211" s="1" t="s">
        <v>143</v>
      </c>
    </row>
    <row r="212" spans="1:46">
      <c r="A212" s="1" t="s">
        <v>67</v>
      </c>
      <c r="B212" s="1" t="s">
        <v>3</v>
      </c>
      <c r="C212" s="1" t="s">
        <v>23</v>
      </c>
      <c r="D212" s="1" t="s">
        <v>6</v>
      </c>
      <c r="AK212" s="1"/>
      <c r="AT212" s="1" t="s">
        <v>143</v>
      </c>
    </row>
    <row r="213" spans="1:46">
      <c r="A213" s="1" t="s">
        <v>67</v>
      </c>
      <c r="B213" s="1" t="s">
        <v>3</v>
      </c>
      <c r="C213" s="1" t="s">
        <v>23</v>
      </c>
      <c r="D213" s="1" t="s">
        <v>6</v>
      </c>
      <c r="AK213" s="1"/>
      <c r="AT213" s="1" t="s">
        <v>143</v>
      </c>
    </row>
    <row r="214" spans="1:46">
      <c r="A214" s="1" t="s">
        <v>67</v>
      </c>
      <c r="B214" s="1" t="s">
        <v>3</v>
      </c>
      <c r="C214" s="1" t="s">
        <v>23</v>
      </c>
      <c r="D214" s="1" t="s">
        <v>6</v>
      </c>
      <c r="AK214" s="1"/>
      <c r="AT214" s="1" t="s">
        <v>143</v>
      </c>
    </row>
    <row r="215" spans="1:46">
      <c r="A215" s="1" t="s">
        <v>67</v>
      </c>
      <c r="B215" s="1" t="s">
        <v>3</v>
      </c>
      <c r="C215" s="1" t="s">
        <v>23</v>
      </c>
      <c r="D215" s="1" t="s">
        <v>6</v>
      </c>
      <c r="AK215" s="1"/>
      <c r="AT215" s="1" t="s">
        <v>143</v>
      </c>
    </row>
    <row r="216" spans="1:46">
      <c r="A216" s="1" t="s">
        <v>67</v>
      </c>
      <c r="B216" s="1" t="s">
        <v>3</v>
      </c>
      <c r="C216" s="1" t="s">
        <v>23</v>
      </c>
      <c r="D216" s="1" t="s">
        <v>6</v>
      </c>
      <c r="AK216" s="1"/>
      <c r="AT216" s="1" t="s">
        <v>143</v>
      </c>
    </row>
    <row r="217" spans="1:46">
      <c r="A217" s="1" t="s">
        <v>67</v>
      </c>
      <c r="B217" s="1" t="s">
        <v>3</v>
      </c>
      <c r="C217" s="1" t="s">
        <v>23</v>
      </c>
      <c r="D217" s="1" t="s">
        <v>6</v>
      </c>
      <c r="AK217" s="1"/>
      <c r="AT217" s="1" t="s">
        <v>143</v>
      </c>
    </row>
    <row r="218" spans="1:46">
      <c r="A218" s="1" t="s">
        <v>67</v>
      </c>
      <c r="B218" s="1" t="s">
        <v>3</v>
      </c>
      <c r="C218" s="1" t="s">
        <v>23</v>
      </c>
      <c r="D218" s="1" t="s">
        <v>6</v>
      </c>
      <c r="AK218" s="1"/>
      <c r="AT218" s="1" t="s">
        <v>143</v>
      </c>
    </row>
    <row r="219" spans="1:46">
      <c r="A219" s="1" t="s">
        <v>67</v>
      </c>
      <c r="B219" s="1" t="s">
        <v>3</v>
      </c>
      <c r="C219" s="1" t="s">
        <v>23</v>
      </c>
      <c r="D219" s="1" t="s">
        <v>6</v>
      </c>
      <c r="AK219" s="1"/>
      <c r="AT219" s="1" t="s">
        <v>143</v>
      </c>
    </row>
    <row r="220" spans="1:46">
      <c r="A220" s="1" t="s">
        <v>67</v>
      </c>
      <c r="B220" s="1" t="s">
        <v>3</v>
      </c>
      <c r="C220" s="1" t="s">
        <v>23</v>
      </c>
      <c r="D220" s="1" t="s">
        <v>6</v>
      </c>
      <c r="AK220" s="1"/>
      <c r="AT220" s="1" t="s">
        <v>143</v>
      </c>
    </row>
    <row r="221" spans="1:46">
      <c r="A221" s="1" t="s">
        <v>67</v>
      </c>
      <c r="B221" s="1" t="s">
        <v>3</v>
      </c>
      <c r="C221" s="1" t="s">
        <v>23</v>
      </c>
      <c r="D221" s="1" t="s">
        <v>6</v>
      </c>
      <c r="AK221" s="1"/>
      <c r="AT221" s="1" t="s">
        <v>143</v>
      </c>
    </row>
    <row r="222" spans="1:46">
      <c r="A222" s="1" t="s">
        <v>68</v>
      </c>
      <c r="B222" s="1" t="s">
        <v>3</v>
      </c>
      <c r="C222" s="1" t="s">
        <v>23</v>
      </c>
      <c r="D222" s="1" t="s">
        <v>6</v>
      </c>
      <c r="AK222" s="1"/>
      <c r="AT222" s="1" t="s">
        <v>144</v>
      </c>
    </row>
    <row r="223" spans="1:46">
      <c r="A223" s="1" t="s">
        <v>68</v>
      </c>
      <c r="B223" s="1" t="s">
        <v>3</v>
      </c>
      <c r="C223" s="1" t="s">
        <v>23</v>
      </c>
      <c r="D223" s="1" t="s">
        <v>6</v>
      </c>
      <c r="AK223" s="1"/>
      <c r="AT223" s="1" t="s">
        <v>144</v>
      </c>
    </row>
    <row r="224" spans="1:46">
      <c r="A224" s="1" t="s">
        <v>69</v>
      </c>
      <c r="B224" s="1" t="s">
        <v>3</v>
      </c>
      <c r="C224" s="1" t="s">
        <v>322</v>
      </c>
      <c r="D224" s="1" t="s">
        <v>6</v>
      </c>
      <c r="M224" s="7">
        <f t="shared" ref="M224:M227" si="6">N224*12/44</f>
        <v>310.90909090909093</v>
      </c>
      <c r="N224" s="7">
        <v>1140</v>
      </c>
      <c r="Z224" s="7">
        <v>920</v>
      </c>
      <c r="AK224" s="1"/>
      <c r="AT224" s="1" t="s">
        <v>145</v>
      </c>
    </row>
    <row r="225" spans="1:46">
      <c r="A225" s="1" t="s">
        <v>69</v>
      </c>
      <c r="B225" s="1" t="s">
        <v>3</v>
      </c>
      <c r="C225" s="1" t="s">
        <v>322</v>
      </c>
      <c r="D225" s="1" t="s">
        <v>6</v>
      </c>
      <c r="M225" s="7">
        <f t="shared" si="6"/>
        <v>310.90909090909093</v>
      </c>
      <c r="N225" s="7">
        <v>1140</v>
      </c>
      <c r="Z225" s="7">
        <v>920</v>
      </c>
      <c r="AK225" s="1"/>
      <c r="AT225" s="1" t="s">
        <v>145</v>
      </c>
    </row>
    <row r="226" spans="1:46">
      <c r="A226" s="1" t="s">
        <v>69</v>
      </c>
      <c r="B226" s="1" t="s">
        <v>3</v>
      </c>
      <c r="C226" s="1" t="s">
        <v>197</v>
      </c>
      <c r="D226" s="1" t="s">
        <v>6</v>
      </c>
      <c r="M226" s="7">
        <f t="shared" si="6"/>
        <v>310.90909090909093</v>
      </c>
      <c r="N226" s="7">
        <v>1140</v>
      </c>
      <c r="Z226" s="7">
        <v>920</v>
      </c>
      <c r="AK226" s="1"/>
      <c r="AT226" s="1" t="s">
        <v>145</v>
      </c>
    </row>
    <row r="227" spans="1:46">
      <c r="A227" s="1" t="s">
        <v>69</v>
      </c>
      <c r="B227" s="1" t="s">
        <v>3</v>
      </c>
      <c r="C227" s="1" t="s">
        <v>197</v>
      </c>
      <c r="D227" s="1" t="s">
        <v>6</v>
      </c>
      <c r="M227" s="7">
        <f t="shared" si="6"/>
        <v>310.90909090909093</v>
      </c>
      <c r="N227" s="7">
        <v>1140</v>
      </c>
      <c r="Z227" s="7">
        <v>920</v>
      </c>
      <c r="AK227" s="1"/>
      <c r="AT227" s="1" t="s">
        <v>145</v>
      </c>
    </row>
    <row r="228" spans="1:46">
      <c r="A228" s="1" t="s">
        <v>70</v>
      </c>
      <c r="B228" s="1" t="s">
        <v>3</v>
      </c>
      <c r="C228" s="1" t="s">
        <v>23</v>
      </c>
      <c r="D228" s="1" t="s">
        <v>6</v>
      </c>
      <c r="E228" s="1" t="s">
        <v>91</v>
      </c>
      <c r="F228" s="7">
        <v>-2346.6666666666665</v>
      </c>
      <c r="I228" s="1" t="s">
        <v>91</v>
      </c>
      <c r="J228" s="7">
        <v>7516.666666666667</v>
      </c>
      <c r="K228" s="7">
        <v>2860</v>
      </c>
      <c r="AK228" s="1"/>
      <c r="AT228" s="1" t="s">
        <v>146</v>
      </c>
    </row>
    <row r="229" spans="1:46">
      <c r="A229" s="1" t="s">
        <v>70</v>
      </c>
      <c r="B229" s="1" t="s">
        <v>3</v>
      </c>
      <c r="C229" s="1" t="s">
        <v>23</v>
      </c>
      <c r="D229" s="1" t="s">
        <v>6</v>
      </c>
      <c r="E229" s="1" t="s">
        <v>91</v>
      </c>
      <c r="F229" s="7">
        <v>-2823.3333333333335</v>
      </c>
      <c r="I229" s="1" t="s">
        <v>91</v>
      </c>
      <c r="J229" s="7">
        <v>10156.666666666666</v>
      </c>
      <c r="K229" s="7">
        <v>1100</v>
      </c>
      <c r="AK229" s="1"/>
      <c r="AT229" s="1" t="s">
        <v>146</v>
      </c>
    </row>
    <row r="230" spans="1:46">
      <c r="A230" s="1" t="s">
        <v>70</v>
      </c>
      <c r="B230" s="1" t="s">
        <v>3</v>
      </c>
      <c r="C230" s="1" t="s">
        <v>23</v>
      </c>
      <c r="D230" s="1" t="s">
        <v>6</v>
      </c>
      <c r="E230" s="1" t="s">
        <v>91</v>
      </c>
      <c r="F230" s="7">
        <v>-2566.6666666666665</v>
      </c>
      <c r="I230" s="1" t="s">
        <v>91</v>
      </c>
      <c r="J230" s="7">
        <v>13053.333333333334</v>
      </c>
      <c r="K230" s="7">
        <v>2823.3333333333335</v>
      </c>
      <c r="AK230" s="1"/>
      <c r="AT230" s="1" t="s">
        <v>146</v>
      </c>
    </row>
    <row r="231" spans="1:46">
      <c r="A231" s="1" t="s">
        <v>70</v>
      </c>
      <c r="B231" s="1" t="s">
        <v>3</v>
      </c>
      <c r="C231" s="1" t="s">
        <v>23</v>
      </c>
      <c r="D231" s="1" t="s">
        <v>6</v>
      </c>
      <c r="E231" s="1" t="s">
        <v>91</v>
      </c>
      <c r="F231" s="7">
        <v>-2566.6666666666665</v>
      </c>
      <c r="I231" s="1" t="s">
        <v>91</v>
      </c>
      <c r="J231" s="7">
        <v>8800</v>
      </c>
      <c r="K231" s="7">
        <v>513.33333333333337</v>
      </c>
      <c r="AK231" s="1"/>
      <c r="AT231" s="1" t="s">
        <v>146</v>
      </c>
    </row>
    <row r="232" spans="1:46">
      <c r="A232" s="1" t="s">
        <v>70</v>
      </c>
      <c r="B232" s="1" t="s">
        <v>3</v>
      </c>
      <c r="C232" s="1" t="s">
        <v>23</v>
      </c>
      <c r="D232" s="1" t="s">
        <v>6</v>
      </c>
      <c r="AK232" s="1"/>
      <c r="AT232" s="1" t="s">
        <v>146</v>
      </c>
    </row>
    <row r="233" spans="1:46">
      <c r="A233" s="1" t="s">
        <v>70</v>
      </c>
      <c r="B233" s="1" t="s">
        <v>3</v>
      </c>
      <c r="C233" s="1" t="s">
        <v>23</v>
      </c>
      <c r="D233" s="1" t="s">
        <v>6</v>
      </c>
      <c r="I233" s="1" t="s">
        <v>91</v>
      </c>
      <c r="J233" s="7">
        <v>11550</v>
      </c>
      <c r="K233" s="7">
        <v>762.98390837844318</v>
      </c>
      <c r="AK233" s="1"/>
      <c r="AT233" s="1" t="s">
        <v>146</v>
      </c>
    </row>
    <row r="234" spans="1:46">
      <c r="A234" s="1" t="s">
        <v>70</v>
      </c>
      <c r="B234" s="1" t="s">
        <v>3</v>
      </c>
      <c r="C234" s="1" t="s">
        <v>23</v>
      </c>
      <c r="D234" s="1" t="s">
        <v>6</v>
      </c>
      <c r="I234" s="1" t="s">
        <v>91</v>
      </c>
      <c r="J234" s="7">
        <v>10926.66666666667</v>
      </c>
      <c r="K234" s="7">
        <v>657.95980964729995</v>
      </c>
      <c r="AK234" s="1"/>
      <c r="AT234" s="1" t="s">
        <v>146</v>
      </c>
    </row>
    <row r="235" spans="1:46">
      <c r="A235" s="1" t="s">
        <v>70</v>
      </c>
      <c r="B235" s="1" t="s">
        <v>3</v>
      </c>
      <c r="C235" s="1" t="s">
        <v>23</v>
      </c>
      <c r="D235" s="1" t="s">
        <v>6</v>
      </c>
      <c r="I235" s="1" t="s">
        <v>91</v>
      </c>
      <c r="J235" s="7">
        <v>8396.6666666666661</v>
      </c>
      <c r="K235" s="7">
        <v>466.69047558312133</v>
      </c>
      <c r="AK235" s="1"/>
      <c r="AT235" s="1" t="s">
        <v>146</v>
      </c>
    </row>
    <row r="236" spans="1:46">
      <c r="A236" s="1" t="s">
        <v>71</v>
      </c>
      <c r="B236" s="1" t="s">
        <v>3</v>
      </c>
      <c r="C236" s="1" t="s">
        <v>23</v>
      </c>
      <c r="D236" s="1" t="s">
        <v>6</v>
      </c>
      <c r="AK236" s="1"/>
      <c r="AT236" s="1" t="s">
        <v>147</v>
      </c>
    </row>
    <row r="237" spans="1:46">
      <c r="A237" s="1" t="s">
        <v>71</v>
      </c>
      <c r="B237" s="1" t="s">
        <v>3</v>
      </c>
      <c r="C237" s="1" t="s">
        <v>23</v>
      </c>
      <c r="D237" s="1" t="s">
        <v>6</v>
      </c>
      <c r="AK237" s="1"/>
      <c r="AT237" s="1" t="s">
        <v>147</v>
      </c>
    </row>
    <row r="238" spans="1:46">
      <c r="A238" s="1" t="s">
        <v>71</v>
      </c>
      <c r="B238" s="1" t="s">
        <v>3</v>
      </c>
      <c r="C238" s="1" t="s">
        <v>23</v>
      </c>
      <c r="D238" s="1" t="s">
        <v>6</v>
      </c>
      <c r="AK238" s="1"/>
      <c r="AT238" s="1" t="s">
        <v>147</v>
      </c>
    </row>
    <row r="239" spans="1:46">
      <c r="A239" s="1" t="s">
        <v>72</v>
      </c>
      <c r="B239" s="1" t="s">
        <v>3</v>
      </c>
      <c r="C239" s="1" t="s">
        <v>171</v>
      </c>
      <c r="D239" s="1" t="s">
        <v>6</v>
      </c>
      <c r="AK239" s="1"/>
      <c r="AT239" s="1" t="s">
        <v>148</v>
      </c>
    </row>
    <row r="240" spans="1:46">
      <c r="A240" s="1" t="s">
        <v>73</v>
      </c>
      <c r="B240" s="1" t="s">
        <v>3</v>
      </c>
      <c r="C240" s="1" t="s">
        <v>171</v>
      </c>
      <c r="D240" s="1" t="s">
        <v>6</v>
      </c>
      <c r="AK240" s="1"/>
      <c r="AT240" s="1" t="s">
        <v>149</v>
      </c>
    </row>
    <row r="241" spans="1:46">
      <c r="A241" s="1" t="s">
        <v>73</v>
      </c>
      <c r="B241" s="1" t="s">
        <v>3</v>
      </c>
      <c r="C241" s="1" t="s">
        <v>171</v>
      </c>
      <c r="D241" s="1" t="s">
        <v>6</v>
      </c>
      <c r="AK241" s="1"/>
      <c r="AT241" s="1" t="s">
        <v>149</v>
      </c>
    </row>
    <row r="242" spans="1:46">
      <c r="A242" s="1" t="s">
        <v>73</v>
      </c>
      <c r="B242" s="1" t="s">
        <v>3</v>
      </c>
      <c r="C242" s="1" t="s">
        <v>171</v>
      </c>
      <c r="D242" s="1" t="s">
        <v>6</v>
      </c>
      <c r="AK242" s="1"/>
      <c r="AT242" s="1" t="s">
        <v>149</v>
      </c>
    </row>
    <row r="243" spans="1:46">
      <c r="A243" s="1" t="s">
        <v>73</v>
      </c>
      <c r="B243" s="1" t="s">
        <v>3</v>
      </c>
      <c r="C243" s="1" t="s">
        <v>171</v>
      </c>
      <c r="D243" s="1" t="s">
        <v>6</v>
      </c>
      <c r="AK243" s="1"/>
      <c r="AT243" s="1" t="s">
        <v>149</v>
      </c>
    </row>
    <row r="244" spans="1:46">
      <c r="A244" s="1" t="s">
        <v>74</v>
      </c>
      <c r="B244" s="1" t="s">
        <v>3</v>
      </c>
      <c r="C244" s="1" t="s">
        <v>322</v>
      </c>
      <c r="D244" s="1" t="s">
        <v>6</v>
      </c>
      <c r="AK244" s="1"/>
      <c r="AT244" s="1" t="s">
        <v>150</v>
      </c>
    </row>
    <row r="245" spans="1:46">
      <c r="A245" s="1" t="s">
        <v>74</v>
      </c>
      <c r="B245" s="1" t="s">
        <v>3</v>
      </c>
      <c r="C245" s="1" t="s">
        <v>322</v>
      </c>
      <c r="D245" s="1" t="s">
        <v>6</v>
      </c>
      <c r="AK245" s="1"/>
      <c r="AT245" s="1" t="s">
        <v>150</v>
      </c>
    </row>
    <row r="246" spans="1:46">
      <c r="A246" s="1" t="s">
        <v>74</v>
      </c>
      <c r="B246" s="1" t="s">
        <v>3</v>
      </c>
      <c r="C246" s="1" t="s">
        <v>322</v>
      </c>
      <c r="D246" s="1" t="s">
        <v>6</v>
      </c>
      <c r="AK246" s="1"/>
      <c r="AT246" s="1" t="s">
        <v>150</v>
      </c>
    </row>
    <row r="247" spans="1:46">
      <c r="A247" s="1" t="s">
        <v>74</v>
      </c>
      <c r="B247" s="1" t="s">
        <v>3</v>
      </c>
      <c r="C247" s="1" t="s">
        <v>322</v>
      </c>
      <c r="D247" s="1" t="s">
        <v>6</v>
      </c>
      <c r="AK247" s="1"/>
      <c r="AT247" s="1" t="s">
        <v>150</v>
      </c>
    </row>
    <row r="248" spans="1:46">
      <c r="A248" s="1" t="s">
        <v>74</v>
      </c>
      <c r="B248" s="1" t="s">
        <v>3</v>
      </c>
      <c r="C248" s="1" t="s">
        <v>322</v>
      </c>
      <c r="D248" s="1" t="s">
        <v>6</v>
      </c>
      <c r="AK248" s="1"/>
      <c r="AT248" s="1" t="s">
        <v>150</v>
      </c>
    </row>
    <row r="249" spans="1:46">
      <c r="A249" s="1" t="s">
        <v>74</v>
      </c>
      <c r="B249" s="1" t="s">
        <v>3</v>
      </c>
      <c r="C249" s="1" t="s">
        <v>322</v>
      </c>
      <c r="D249" s="1" t="s">
        <v>6</v>
      </c>
      <c r="AK249" s="1"/>
      <c r="AT249" s="1" t="s">
        <v>150</v>
      </c>
    </row>
    <row r="250" spans="1:46">
      <c r="A250" s="1" t="s">
        <v>75</v>
      </c>
      <c r="B250" s="1" t="s">
        <v>3</v>
      </c>
      <c r="C250" s="1" t="s">
        <v>171</v>
      </c>
      <c r="D250" s="1" t="s">
        <v>6</v>
      </c>
      <c r="M250" s="7">
        <f t="shared" ref="M250:M251" si="7">N250*12/44</f>
        <v>186</v>
      </c>
      <c r="N250" s="7">
        <v>682</v>
      </c>
      <c r="O250" s="7">
        <v>586.66666666666663</v>
      </c>
      <c r="P250" s="1">
        <v>1</v>
      </c>
      <c r="R250" s="7">
        <v>38.866666666666667</v>
      </c>
      <c r="S250" s="7">
        <v>11.366666666666667</v>
      </c>
      <c r="T250" s="1">
        <v>1</v>
      </c>
      <c r="V250" s="7">
        <v>423</v>
      </c>
      <c r="W250" s="7">
        <v>114</v>
      </c>
      <c r="X250" s="1">
        <v>1</v>
      </c>
      <c r="Z250" s="7">
        <v>6.4</v>
      </c>
      <c r="AA250" s="7">
        <v>1.5</v>
      </c>
      <c r="AB250" s="1">
        <v>1</v>
      </c>
      <c r="AD250" s="7">
        <v>10.199999999999999</v>
      </c>
      <c r="AE250" s="7">
        <v>5.0999999999999996</v>
      </c>
      <c r="AF250" s="1">
        <v>1</v>
      </c>
      <c r="AK250" s="1"/>
      <c r="AT250" s="1" t="s">
        <v>151</v>
      </c>
    </row>
    <row r="251" spans="1:46">
      <c r="A251" s="1" t="s">
        <v>75</v>
      </c>
      <c r="B251" s="1" t="s">
        <v>3</v>
      </c>
      <c r="C251" s="1" t="s">
        <v>171</v>
      </c>
      <c r="D251" s="1" t="s">
        <v>6</v>
      </c>
      <c r="M251" s="7">
        <f t="shared" si="7"/>
        <v>322</v>
      </c>
      <c r="N251" s="7">
        <v>1180.6666666666667</v>
      </c>
      <c r="O251" s="7">
        <v>685.66666666666663</v>
      </c>
      <c r="P251" s="1">
        <v>1</v>
      </c>
      <c r="R251" s="7">
        <v>14.299999999999999</v>
      </c>
      <c r="S251" s="7">
        <v>7.7</v>
      </c>
      <c r="T251" s="1">
        <v>1</v>
      </c>
      <c r="V251" s="7">
        <v>509</v>
      </c>
      <c r="W251" s="7">
        <v>186</v>
      </c>
      <c r="X251" s="1">
        <v>1</v>
      </c>
      <c r="Z251" s="7">
        <v>6.6</v>
      </c>
      <c r="AA251" s="7">
        <v>1.8</v>
      </c>
      <c r="AB251" s="1">
        <v>1</v>
      </c>
      <c r="AD251" s="7">
        <v>18.8</v>
      </c>
      <c r="AE251" s="7">
        <v>1.6</v>
      </c>
      <c r="AF251" s="1">
        <v>1</v>
      </c>
      <c r="AK251" s="1"/>
      <c r="AT251" s="1" t="s">
        <v>151</v>
      </c>
    </row>
    <row r="252" spans="1:46">
      <c r="A252" s="1" t="s">
        <v>76</v>
      </c>
      <c r="B252" s="1" t="s">
        <v>3</v>
      </c>
      <c r="C252" s="1" t="s">
        <v>171</v>
      </c>
      <c r="D252" s="1" t="s">
        <v>6</v>
      </c>
      <c r="AK252" s="1"/>
      <c r="AT252" s="1" t="s">
        <v>152</v>
      </c>
    </row>
    <row r="253" spans="1:46">
      <c r="A253" s="1" t="s">
        <v>76</v>
      </c>
      <c r="B253" s="1" t="s">
        <v>3</v>
      </c>
      <c r="C253" s="1" t="s">
        <v>171</v>
      </c>
      <c r="D253" s="1" t="s">
        <v>6</v>
      </c>
      <c r="AK253" s="1"/>
      <c r="AT253" s="1" t="s">
        <v>152</v>
      </c>
    </row>
    <row r="254" spans="1:46">
      <c r="A254" s="1" t="s">
        <v>76</v>
      </c>
      <c r="B254" s="1" t="s">
        <v>3</v>
      </c>
      <c r="C254" s="1" t="s">
        <v>171</v>
      </c>
      <c r="D254" s="1" t="s">
        <v>6</v>
      </c>
      <c r="AK254" s="1"/>
      <c r="AT254" s="1" t="s">
        <v>152</v>
      </c>
    </row>
    <row r="255" spans="1:46">
      <c r="A255" s="1" t="s">
        <v>76</v>
      </c>
      <c r="B255" s="1" t="s">
        <v>3</v>
      </c>
      <c r="C255" s="1" t="s">
        <v>171</v>
      </c>
      <c r="D255" s="1" t="s">
        <v>6</v>
      </c>
      <c r="AK255" s="1"/>
      <c r="AT255" s="1" t="s">
        <v>152</v>
      </c>
    </row>
    <row r="256" spans="1:46">
      <c r="A256" s="1" t="s">
        <v>76</v>
      </c>
      <c r="B256" s="1" t="s">
        <v>3</v>
      </c>
      <c r="C256" s="1" t="s">
        <v>171</v>
      </c>
      <c r="D256" s="1" t="s">
        <v>6</v>
      </c>
      <c r="AK256" s="1"/>
      <c r="AT256" s="1" t="s">
        <v>152</v>
      </c>
    </row>
    <row r="257" spans="1:46">
      <c r="A257" s="1" t="s">
        <v>76</v>
      </c>
      <c r="B257" s="1" t="s">
        <v>3</v>
      </c>
      <c r="C257" s="1" t="s">
        <v>171</v>
      </c>
      <c r="D257" s="1" t="s">
        <v>6</v>
      </c>
      <c r="AK257" s="1"/>
      <c r="AT257" s="1" t="s">
        <v>152</v>
      </c>
    </row>
    <row r="258" spans="1:46">
      <c r="A258" s="1" t="s">
        <v>76</v>
      </c>
      <c r="B258" s="1" t="s">
        <v>3</v>
      </c>
      <c r="C258" s="1" t="s">
        <v>171</v>
      </c>
      <c r="D258" s="1" t="s">
        <v>6</v>
      </c>
      <c r="AK258" s="1"/>
      <c r="AT258" s="1" t="s">
        <v>152</v>
      </c>
    </row>
    <row r="259" spans="1:46">
      <c r="A259" s="1" t="s">
        <v>76</v>
      </c>
      <c r="B259" s="1" t="s">
        <v>3</v>
      </c>
      <c r="C259" s="1" t="s">
        <v>171</v>
      </c>
      <c r="D259" s="1" t="s">
        <v>6</v>
      </c>
      <c r="AK259" s="1"/>
      <c r="AT259" s="1" t="s">
        <v>152</v>
      </c>
    </row>
    <row r="260" spans="1:46">
      <c r="A260" s="1" t="s">
        <v>76</v>
      </c>
      <c r="B260" s="1" t="s">
        <v>3</v>
      </c>
      <c r="C260" s="1" t="s">
        <v>171</v>
      </c>
      <c r="D260" s="1" t="s">
        <v>6</v>
      </c>
      <c r="AK260" s="1"/>
      <c r="AT260" s="1" t="s">
        <v>152</v>
      </c>
    </row>
    <row r="261" spans="1:46">
      <c r="A261" s="1" t="s">
        <v>76</v>
      </c>
      <c r="B261" s="1" t="s">
        <v>3</v>
      </c>
      <c r="C261" s="1" t="s">
        <v>171</v>
      </c>
      <c r="D261" s="1" t="s">
        <v>6</v>
      </c>
      <c r="AK261" s="1"/>
      <c r="AT261" s="1" t="s">
        <v>152</v>
      </c>
    </row>
    <row r="262" spans="1:46">
      <c r="A262" s="1" t="s">
        <v>77</v>
      </c>
      <c r="B262" s="1" t="s">
        <v>3</v>
      </c>
      <c r="C262" s="1" t="s">
        <v>23</v>
      </c>
      <c r="D262" s="1" t="s">
        <v>46</v>
      </c>
      <c r="I262" s="1" t="s">
        <v>91</v>
      </c>
      <c r="J262" s="7">
        <v>57750</v>
      </c>
      <c r="K262" s="7">
        <v>3116.6666666666665</v>
      </c>
      <c r="L262" s="1">
        <v>4</v>
      </c>
      <c r="M262" s="7">
        <f>N262*12/44</f>
        <v>4830</v>
      </c>
      <c r="N262" s="7">
        <v>17710</v>
      </c>
      <c r="O262" s="7">
        <v>7406.666666666667</v>
      </c>
      <c r="P262" s="1">
        <v>1</v>
      </c>
      <c r="V262" s="7">
        <v>18663.333333333332</v>
      </c>
      <c r="W262" s="7">
        <v>9350</v>
      </c>
      <c r="X262" s="1">
        <v>1</v>
      </c>
      <c r="Z262" s="7">
        <v>775.2</v>
      </c>
      <c r="AA262" s="7">
        <v>380.8</v>
      </c>
      <c r="AB262" s="1">
        <v>1</v>
      </c>
      <c r="AK262" s="1"/>
      <c r="AT262" s="1" t="s">
        <v>337</v>
      </c>
    </row>
    <row r="263" spans="1:46">
      <c r="A263" s="1" t="s">
        <v>78</v>
      </c>
      <c r="B263" s="1" t="s">
        <v>3</v>
      </c>
      <c r="C263" s="1" t="s">
        <v>171</v>
      </c>
      <c r="D263" s="1" t="s">
        <v>6</v>
      </c>
      <c r="I263" s="1" t="s">
        <v>91</v>
      </c>
      <c r="J263" s="7">
        <v>6086.666666666667</v>
      </c>
      <c r="K263" s="7">
        <v>403.33333333333331</v>
      </c>
      <c r="L263" s="1">
        <v>3</v>
      </c>
      <c r="AK263" s="1"/>
      <c r="AT263" s="1" t="s">
        <v>153</v>
      </c>
    </row>
    <row r="264" spans="1:46">
      <c r="A264" s="1" t="s">
        <v>79</v>
      </c>
      <c r="B264" s="1" t="s">
        <v>3</v>
      </c>
      <c r="D264" s="1" t="s">
        <v>6</v>
      </c>
      <c r="AK264" s="1"/>
      <c r="AT264" s="1" t="s">
        <v>154</v>
      </c>
    </row>
    <row r="265" spans="1:46">
      <c r="A265" s="1" t="s">
        <v>80</v>
      </c>
      <c r="B265" s="1" t="s">
        <v>3</v>
      </c>
      <c r="C265" s="1" t="s">
        <v>23</v>
      </c>
      <c r="D265" s="1" t="s">
        <v>6</v>
      </c>
      <c r="I265" s="1" t="s">
        <v>91</v>
      </c>
      <c r="J265" s="7">
        <v>7076.666666666667</v>
      </c>
      <c r="AK265" s="1"/>
      <c r="AT265" s="1" t="s">
        <v>155</v>
      </c>
    </row>
    <row r="266" spans="1:46">
      <c r="A266" s="1" t="s">
        <v>80</v>
      </c>
      <c r="B266" s="1" t="s">
        <v>3</v>
      </c>
      <c r="C266" s="1" t="s">
        <v>23</v>
      </c>
      <c r="D266" s="1" t="s">
        <v>6</v>
      </c>
      <c r="I266" s="1" t="s">
        <v>91</v>
      </c>
      <c r="J266" s="7">
        <v>2713.3333333333335</v>
      </c>
      <c r="AK266" s="1"/>
      <c r="AT266" s="1" t="s">
        <v>155</v>
      </c>
    </row>
    <row r="267" spans="1:46">
      <c r="A267" s="1" t="s">
        <v>80</v>
      </c>
      <c r="B267" s="1" t="s">
        <v>3</v>
      </c>
      <c r="C267" s="1" t="s">
        <v>23</v>
      </c>
      <c r="D267" s="1" t="s">
        <v>6</v>
      </c>
      <c r="I267" s="1" t="s">
        <v>91</v>
      </c>
      <c r="J267" s="7">
        <v>2126.6666666666665</v>
      </c>
      <c r="AK267" s="1"/>
      <c r="AT267" s="1" t="s">
        <v>155</v>
      </c>
    </row>
    <row r="268" spans="1:46">
      <c r="A268" s="1" t="s">
        <v>80</v>
      </c>
      <c r="B268" s="1" t="s">
        <v>3</v>
      </c>
      <c r="C268" s="1" t="s">
        <v>23</v>
      </c>
      <c r="D268" s="1" t="s">
        <v>6</v>
      </c>
      <c r="I268" s="1" t="s">
        <v>91</v>
      </c>
      <c r="J268" s="7">
        <v>4950</v>
      </c>
      <c r="AK268" s="1"/>
      <c r="AT268" s="1" t="s">
        <v>155</v>
      </c>
    </row>
    <row r="269" spans="1:46">
      <c r="A269" s="1" t="s">
        <v>80</v>
      </c>
      <c r="B269" s="1" t="s">
        <v>3</v>
      </c>
      <c r="C269" s="1" t="s">
        <v>23</v>
      </c>
      <c r="D269" s="1" t="s">
        <v>6</v>
      </c>
      <c r="I269" s="1" t="s">
        <v>91</v>
      </c>
      <c r="J269" s="7">
        <v>8323.3333333333339</v>
      </c>
      <c r="AK269" s="1"/>
      <c r="AT269" s="1" t="s">
        <v>155</v>
      </c>
    </row>
    <row r="270" spans="1:46">
      <c r="A270" s="1" t="s">
        <v>80</v>
      </c>
      <c r="B270" s="1" t="s">
        <v>3</v>
      </c>
      <c r="C270" s="1" t="s">
        <v>23</v>
      </c>
      <c r="D270" s="1" t="s">
        <v>6</v>
      </c>
      <c r="I270" s="1" t="s">
        <v>91</v>
      </c>
      <c r="J270" s="7">
        <v>16756.666666666668</v>
      </c>
      <c r="AK270" s="1"/>
      <c r="AT270" s="1" t="s">
        <v>155</v>
      </c>
    </row>
    <row r="271" spans="1:46">
      <c r="A271" s="1" t="s">
        <v>80</v>
      </c>
      <c r="B271" s="1" t="s">
        <v>3</v>
      </c>
      <c r="C271" s="1" t="s">
        <v>23</v>
      </c>
      <c r="D271" s="1" t="s">
        <v>6</v>
      </c>
      <c r="I271" s="1" t="s">
        <v>91</v>
      </c>
      <c r="J271" s="7">
        <v>5316.666666666667</v>
      </c>
      <c r="AK271" s="1"/>
      <c r="AT271" s="1" t="s">
        <v>155</v>
      </c>
    </row>
    <row r="272" spans="1:46">
      <c r="A272" s="1" t="s">
        <v>80</v>
      </c>
      <c r="B272" s="1" t="s">
        <v>3</v>
      </c>
      <c r="C272" s="1" t="s">
        <v>23</v>
      </c>
      <c r="D272" s="1" t="s">
        <v>6</v>
      </c>
      <c r="I272" s="1" t="s">
        <v>91</v>
      </c>
      <c r="J272" s="7">
        <v>12100</v>
      </c>
      <c r="AK272" s="1"/>
      <c r="AT272" s="1" t="s">
        <v>155</v>
      </c>
    </row>
    <row r="273" spans="1:46">
      <c r="A273" s="1" t="s">
        <v>80</v>
      </c>
      <c r="B273" s="1" t="s">
        <v>3</v>
      </c>
      <c r="C273" s="1" t="s">
        <v>171</v>
      </c>
      <c r="D273" s="1" t="s">
        <v>6</v>
      </c>
      <c r="E273" s="1" t="s">
        <v>91</v>
      </c>
      <c r="F273" s="7">
        <v>-4620</v>
      </c>
      <c r="I273" s="1" t="s">
        <v>91</v>
      </c>
      <c r="J273" s="7">
        <v>10890</v>
      </c>
      <c r="AK273" s="1"/>
      <c r="AT273" s="1" t="s">
        <v>155</v>
      </c>
    </row>
    <row r="274" spans="1:46">
      <c r="A274" s="1" t="s">
        <v>80</v>
      </c>
      <c r="B274" s="1" t="s">
        <v>3</v>
      </c>
      <c r="C274" s="1" t="s">
        <v>171</v>
      </c>
      <c r="D274" s="1" t="s">
        <v>6</v>
      </c>
      <c r="E274" s="1" t="s">
        <v>91</v>
      </c>
      <c r="F274" s="7">
        <v>-9790</v>
      </c>
      <c r="I274" s="1" t="s">
        <v>91</v>
      </c>
      <c r="J274" s="7">
        <v>12613.333333333334</v>
      </c>
      <c r="AK274" s="1"/>
      <c r="AT274" s="1" t="s">
        <v>155</v>
      </c>
    </row>
    <row r="275" spans="1:46">
      <c r="A275" s="1" t="s">
        <v>80</v>
      </c>
      <c r="B275" s="1" t="s">
        <v>3</v>
      </c>
      <c r="C275" s="1" t="s">
        <v>171</v>
      </c>
      <c r="D275" s="1" t="s">
        <v>6</v>
      </c>
      <c r="E275" s="1" t="s">
        <v>91</v>
      </c>
      <c r="F275" s="7">
        <v>-4620</v>
      </c>
      <c r="I275" s="1" t="s">
        <v>91</v>
      </c>
      <c r="J275" s="7">
        <v>11916.666666666666</v>
      </c>
      <c r="AK275" s="1"/>
      <c r="AT275" s="1" t="s">
        <v>155</v>
      </c>
    </row>
    <row r="276" spans="1:46">
      <c r="A276" s="1" t="s">
        <v>80</v>
      </c>
      <c r="B276" s="1" t="s">
        <v>3</v>
      </c>
      <c r="C276" s="1" t="s">
        <v>171</v>
      </c>
      <c r="D276" s="1" t="s">
        <v>6</v>
      </c>
      <c r="E276" s="1" t="s">
        <v>91</v>
      </c>
      <c r="F276" s="7">
        <v>-9790</v>
      </c>
      <c r="I276" s="1" t="s">
        <v>91</v>
      </c>
      <c r="J276" s="7">
        <v>16683.333333333332</v>
      </c>
      <c r="AK276" s="1"/>
      <c r="AT276" s="1" t="s">
        <v>155</v>
      </c>
    </row>
    <row r="277" spans="1:46">
      <c r="A277" s="1" t="s">
        <v>80</v>
      </c>
      <c r="B277" s="1" t="s">
        <v>3</v>
      </c>
      <c r="C277" s="1" t="s">
        <v>171</v>
      </c>
      <c r="D277" s="1" t="s">
        <v>6</v>
      </c>
      <c r="E277" s="1" t="s">
        <v>91</v>
      </c>
      <c r="F277" s="7">
        <v>-2786.6666666666665</v>
      </c>
      <c r="I277" s="1" t="s">
        <v>91</v>
      </c>
      <c r="J277" s="7">
        <v>12540</v>
      </c>
      <c r="AK277" s="1"/>
      <c r="AT277" s="1" t="s">
        <v>155</v>
      </c>
    </row>
    <row r="278" spans="1:46">
      <c r="A278" s="1" t="s">
        <v>80</v>
      </c>
      <c r="B278" s="1" t="s">
        <v>3</v>
      </c>
      <c r="C278" s="1" t="s">
        <v>171</v>
      </c>
      <c r="D278" s="1" t="s">
        <v>6</v>
      </c>
      <c r="E278" s="1" t="s">
        <v>91</v>
      </c>
      <c r="F278" s="7">
        <v>-1943.3333333333333</v>
      </c>
      <c r="I278" s="1" t="s">
        <v>91</v>
      </c>
      <c r="J278" s="7">
        <v>19910</v>
      </c>
      <c r="AK278" s="1"/>
      <c r="AT278" s="1" t="s">
        <v>155</v>
      </c>
    </row>
    <row r="279" spans="1:46">
      <c r="A279" s="1" t="s">
        <v>80</v>
      </c>
      <c r="B279" s="1" t="s">
        <v>3</v>
      </c>
      <c r="C279" s="1" t="s">
        <v>171</v>
      </c>
      <c r="D279" s="1" t="s">
        <v>6</v>
      </c>
      <c r="E279" s="1" t="s">
        <v>91</v>
      </c>
      <c r="F279" s="7">
        <v>-2786.6666666666665</v>
      </c>
      <c r="I279" s="1" t="s">
        <v>91</v>
      </c>
      <c r="J279" s="7">
        <v>13933.333333333334</v>
      </c>
      <c r="AK279" s="1"/>
      <c r="AT279" s="1" t="s">
        <v>155</v>
      </c>
    </row>
    <row r="280" spans="1:46">
      <c r="A280" s="1" t="s">
        <v>80</v>
      </c>
      <c r="B280" s="1" t="s">
        <v>3</v>
      </c>
      <c r="C280" s="1" t="s">
        <v>171</v>
      </c>
      <c r="D280" s="1" t="s">
        <v>6</v>
      </c>
      <c r="E280" s="1" t="s">
        <v>91</v>
      </c>
      <c r="F280" s="7">
        <v>-1943.3333333333333</v>
      </c>
      <c r="I280" s="1" t="s">
        <v>91</v>
      </c>
      <c r="J280" s="7">
        <v>21743.333333333332</v>
      </c>
      <c r="AK280" s="1"/>
      <c r="AT280" s="1" t="s">
        <v>155</v>
      </c>
    </row>
    <row r="281" spans="1:46">
      <c r="A281" s="1" t="s">
        <v>81</v>
      </c>
      <c r="B281" s="1" t="s">
        <v>3</v>
      </c>
      <c r="C281" s="1" t="s">
        <v>171</v>
      </c>
      <c r="D281" s="1" t="s">
        <v>6</v>
      </c>
      <c r="I281" s="1" t="s">
        <v>91</v>
      </c>
      <c r="J281" s="7">
        <v>6380</v>
      </c>
      <c r="L281" s="1">
        <v>3</v>
      </c>
      <c r="AH281" s="23">
        <v>1632</v>
      </c>
      <c r="AK281" s="1"/>
      <c r="AT281" s="1" t="s">
        <v>156</v>
      </c>
    </row>
    <row r="282" spans="1:46">
      <c r="A282" s="1" t="s">
        <v>81</v>
      </c>
      <c r="B282" s="1" t="s">
        <v>3</v>
      </c>
      <c r="C282" s="1" t="s">
        <v>171</v>
      </c>
      <c r="D282" s="1" t="s">
        <v>6</v>
      </c>
      <c r="I282" s="1" t="s">
        <v>91</v>
      </c>
      <c r="J282" s="7">
        <v>5023.333333333333</v>
      </c>
      <c r="L282" s="1">
        <v>3</v>
      </c>
      <c r="AH282" s="23">
        <v>1632</v>
      </c>
      <c r="AK282" s="1"/>
      <c r="AT282" s="1" t="s">
        <v>156</v>
      </c>
    </row>
    <row r="283" spans="1:46">
      <c r="A283" s="1" t="s">
        <v>81</v>
      </c>
      <c r="B283" s="1" t="s">
        <v>3</v>
      </c>
      <c r="C283" s="1" t="s">
        <v>171</v>
      </c>
      <c r="D283" s="1" t="s">
        <v>6</v>
      </c>
      <c r="AK283" s="1"/>
      <c r="AT283" s="1" t="s">
        <v>156</v>
      </c>
    </row>
    <row r="284" spans="1:46">
      <c r="A284" s="1" t="s">
        <v>81</v>
      </c>
      <c r="B284" s="1" t="s">
        <v>3</v>
      </c>
      <c r="C284" s="1" t="s">
        <v>171</v>
      </c>
      <c r="D284" s="1" t="s">
        <v>6</v>
      </c>
      <c r="AK284" s="1"/>
      <c r="AT284" s="1" t="s">
        <v>156</v>
      </c>
    </row>
    <row r="285" spans="1:46">
      <c r="A285" s="1" t="s">
        <v>82</v>
      </c>
      <c r="B285" s="1" t="s">
        <v>3</v>
      </c>
      <c r="C285" s="1" t="s">
        <v>319</v>
      </c>
      <c r="D285" s="1" t="s">
        <v>25</v>
      </c>
      <c r="AK285" s="1"/>
      <c r="AT285" s="1" t="s">
        <v>157</v>
      </c>
    </row>
    <row r="286" spans="1:46">
      <c r="A286" s="1" t="s">
        <v>82</v>
      </c>
      <c r="B286" s="1" t="s">
        <v>3</v>
      </c>
      <c r="C286" s="1" t="s">
        <v>319</v>
      </c>
      <c r="D286" s="1" t="s">
        <v>25</v>
      </c>
      <c r="AK286" s="1"/>
      <c r="AT286" s="1" t="s">
        <v>157</v>
      </c>
    </row>
    <row r="287" spans="1:46">
      <c r="A287" s="1" t="s">
        <v>82</v>
      </c>
      <c r="B287" s="1" t="s">
        <v>3</v>
      </c>
      <c r="C287" s="1" t="s">
        <v>319</v>
      </c>
      <c r="D287" s="1" t="s">
        <v>25</v>
      </c>
      <c r="AK287" s="1"/>
      <c r="AT287" s="1" t="s">
        <v>157</v>
      </c>
    </row>
    <row r="288" spans="1:46">
      <c r="A288" s="1" t="s">
        <v>82</v>
      </c>
      <c r="B288" s="1" t="s">
        <v>3</v>
      </c>
      <c r="C288" s="1" t="s">
        <v>319</v>
      </c>
      <c r="D288" s="1" t="s">
        <v>25</v>
      </c>
      <c r="AK288" s="1"/>
      <c r="AT288" s="1" t="s">
        <v>157</v>
      </c>
    </row>
    <row r="289" spans="1:46">
      <c r="A289" s="1" t="s">
        <v>82</v>
      </c>
      <c r="B289" s="1" t="s">
        <v>3</v>
      </c>
      <c r="C289" s="1" t="s">
        <v>319</v>
      </c>
      <c r="D289" s="1" t="s">
        <v>25</v>
      </c>
      <c r="AK289" s="1"/>
      <c r="AT289" s="1" t="s">
        <v>157</v>
      </c>
    </row>
    <row r="290" spans="1:46">
      <c r="A290" s="1" t="s">
        <v>83</v>
      </c>
      <c r="B290" s="1" t="s">
        <v>3</v>
      </c>
      <c r="C290" s="1" t="s">
        <v>171</v>
      </c>
      <c r="D290" s="1" t="s">
        <v>6</v>
      </c>
      <c r="AH290" s="23">
        <v>13690.666666666668</v>
      </c>
      <c r="AK290" s="1"/>
      <c r="AT290" s="1" t="s">
        <v>158</v>
      </c>
    </row>
    <row r="291" spans="1:46">
      <c r="A291" s="1" t="s">
        <v>84</v>
      </c>
      <c r="B291" s="1" t="s">
        <v>3</v>
      </c>
      <c r="C291" s="1" t="s">
        <v>23</v>
      </c>
      <c r="D291" s="1" t="s">
        <v>6</v>
      </c>
      <c r="AK291" s="1"/>
      <c r="AT291" s="1" t="s">
        <v>159</v>
      </c>
    </row>
    <row r="292" spans="1:46">
      <c r="A292" s="1" t="s">
        <v>4</v>
      </c>
      <c r="B292" s="1" t="s">
        <v>160</v>
      </c>
      <c r="C292" s="1" t="s">
        <v>161</v>
      </c>
      <c r="D292" s="1" t="s">
        <v>6</v>
      </c>
      <c r="Z292" s="7">
        <f>0.435*1000*16/12*34</f>
        <v>19720</v>
      </c>
      <c r="AK292" s="1">
        <v>21</v>
      </c>
      <c r="AT292" s="1" t="s">
        <v>4</v>
      </c>
    </row>
    <row r="293" spans="1:46">
      <c r="A293" s="1" t="s">
        <v>4</v>
      </c>
      <c r="B293" s="1" t="s">
        <v>160</v>
      </c>
      <c r="C293" s="1" t="s">
        <v>161</v>
      </c>
      <c r="D293" s="1" t="s">
        <v>6</v>
      </c>
      <c r="Z293" s="7">
        <f>0.592*1000*16/12*34</f>
        <v>26837.333333333336</v>
      </c>
      <c r="AK293" s="1">
        <v>25</v>
      </c>
      <c r="AT293" s="1" t="s">
        <v>4</v>
      </c>
    </row>
    <row r="294" spans="1:46">
      <c r="A294" s="1" t="s">
        <v>4</v>
      </c>
      <c r="B294" s="1" t="s">
        <v>160</v>
      </c>
      <c r="C294" s="1" t="s">
        <v>161</v>
      </c>
      <c r="D294" s="1" t="s">
        <v>6</v>
      </c>
      <c r="Z294" s="7">
        <f>0.072*1000*16/12*34</f>
        <v>3264</v>
      </c>
      <c r="AK294" s="1">
        <v>6</v>
      </c>
      <c r="AT294" s="1" t="s">
        <v>4</v>
      </c>
    </row>
    <row r="295" spans="1:46">
      <c r="A295" s="1" t="s">
        <v>4</v>
      </c>
      <c r="B295" s="1" t="s">
        <v>160</v>
      </c>
      <c r="C295" s="1" t="s">
        <v>161</v>
      </c>
      <c r="D295" s="1" t="s">
        <v>6</v>
      </c>
      <c r="Z295" s="7">
        <f>0.58*1000*16/12*34</f>
        <v>26293.333333333336</v>
      </c>
      <c r="AK295" s="1">
        <v>4</v>
      </c>
      <c r="AT295" s="1" t="s">
        <v>4</v>
      </c>
    </row>
    <row r="296" spans="1:46">
      <c r="A296" s="1" t="s">
        <v>4</v>
      </c>
      <c r="B296" s="1" t="s">
        <v>160</v>
      </c>
      <c r="C296" s="1" t="s">
        <v>161</v>
      </c>
      <c r="D296" s="1" t="s">
        <v>298</v>
      </c>
      <c r="Z296" s="7">
        <f>0.45*1000*16/12*34</f>
        <v>20400</v>
      </c>
      <c r="AK296" s="12">
        <v>4</v>
      </c>
      <c r="AT296" s="1" t="s">
        <v>4</v>
      </c>
    </row>
    <row r="297" spans="1:46">
      <c r="A297" s="1" t="s">
        <v>4</v>
      </c>
      <c r="B297" s="1" t="s">
        <v>160</v>
      </c>
      <c r="C297" s="1" t="s">
        <v>161</v>
      </c>
      <c r="D297" s="1" t="s">
        <v>298</v>
      </c>
      <c r="Z297" s="7">
        <f>1.989*1000*16/12*34</f>
        <v>90168</v>
      </c>
      <c r="AK297" s="12">
        <v>4</v>
      </c>
      <c r="AT297" s="1" t="s">
        <v>4</v>
      </c>
    </row>
    <row r="298" spans="1:46">
      <c r="A298" s="1" t="s">
        <v>4</v>
      </c>
      <c r="B298" s="1" t="s">
        <v>160</v>
      </c>
      <c r="C298" s="1" t="s">
        <v>161</v>
      </c>
      <c r="D298" s="1" t="s">
        <v>6</v>
      </c>
      <c r="Z298" s="7">
        <f>1.704*1000*16/12*34</f>
        <v>77248</v>
      </c>
      <c r="AK298" s="1">
        <v>5</v>
      </c>
      <c r="AT298" s="1" t="s">
        <v>4</v>
      </c>
    </row>
    <row r="299" spans="1:46">
      <c r="A299" s="1" t="s">
        <v>4</v>
      </c>
      <c r="B299" s="1" t="s">
        <v>162</v>
      </c>
      <c r="C299" s="1" t="s">
        <v>161</v>
      </c>
      <c r="D299" s="1" t="s">
        <v>6</v>
      </c>
      <c r="Z299" s="7">
        <f>0.592*1000*16/12*34</f>
        <v>26837.333333333336</v>
      </c>
      <c r="AK299" s="1">
        <v>25</v>
      </c>
      <c r="AT299" s="1" t="s">
        <v>4</v>
      </c>
    </row>
    <row r="300" spans="1:46">
      <c r="A300" s="1" t="s">
        <v>4</v>
      </c>
      <c r="B300" s="1" t="s">
        <v>162</v>
      </c>
      <c r="C300" s="1" t="s">
        <v>161</v>
      </c>
      <c r="D300" s="1" t="s">
        <v>6</v>
      </c>
      <c r="Z300" s="7">
        <f>0.345*1000*16/12*34</f>
        <v>15640</v>
      </c>
      <c r="AK300" s="1">
        <v>6</v>
      </c>
      <c r="AT300" s="1" t="s">
        <v>4</v>
      </c>
    </row>
    <row r="301" spans="1:46">
      <c r="A301" s="1" t="s">
        <v>4</v>
      </c>
      <c r="B301" s="1" t="s">
        <v>162</v>
      </c>
      <c r="C301" s="1" t="s">
        <v>161</v>
      </c>
      <c r="D301" s="1" t="s">
        <v>6</v>
      </c>
      <c r="Z301" s="7">
        <f>0.085*1000*16/12*34</f>
        <v>3853.333333333333</v>
      </c>
      <c r="AK301" s="1">
        <v>25</v>
      </c>
      <c r="AT301" s="1" t="s">
        <v>4</v>
      </c>
    </row>
    <row r="302" spans="1:46">
      <c r="A302" s="1" t="s">
        <v>4</v>
      </c>
      <c r="B302" s="1" t="s">
        <v>162</v>
      </c>
      <c r="C302" s="1" t="s">
        <v>161</v>
      </c>
      <c r="D302" s="1" t="s">
        <v>6</v>
      </c>
      <c r="Z302" s="7">
        <f>0.375*1000*16/12*34</f>
        <v>17000</v>
      </c>
      <c r="AK302" s="1">
        <v>10</v>
      </c>
      <c r="AT302" s="1" t="s">
        <v>4</v>
      </c>
    </row>
    <row r="303" spans="1:46">
      <c r="A303" s="1" t="s">
        <v>4</v>
      </c>
      <c r="B303" s="1" t="s">
        <v>3</v>
      </c>
      <c r="C303" s="1" t="s">
        <v>13</v>
      </c>
      <c r="D303" s="1" t="s">
        <v>6</v>
      </c>
      <c r="Z303" s="7">
        <f>0.114*1000*16/12*34</f>
        <v>5168</v>
      </c>
      <c r="AK303" s="1">
        <v>3</v>
      </c>
      <c r="AT303" s="1" t="s">
        <v>4</v>
      </c>
    </row>
    <row r="304" spans="1:46">
      <c r="A304" s="1" t="s">
        <v>4</v>
      </c>
      <c r="B304" s="1" t="s">
        <v>3</v>
      </c>
      <c r="C304" s="1" t="s">
        <v>13</v>
      </c>
      <c r="D304" s="1" t="s">
        <v>5</v>
      </c>
      <c r="Z304" s="7">
        <f>0.783*1000*16/12*34</f>
        <v>35496</v>
      </c>
      <c r="AK304" s="12">
        <v>3</v>
      </c>
      <c r="AT304" s="1" t="s">
        <v>4</v>
      </c>
    </row>
    <row r="305" spans="1:46">
      <c r="A305" s="1" t="s">
        <v>4</v>
      </c>
      <c r="B305" s="1" t="s">
        <v>3</v>
      </c>
      <c r="C305" s="1" t="s">
        <v>13</v>
      </c>
      <c r="D305" s="1" t="s">
        <v>5</v>
      </c>
      <c r="Z305" s="7">
        <f>0.139*1000*16/12*34</f>
        <v>6301.3333333333339</v>
      </c>
      <c r="AK305" s="12">
        <v>2</v>
      </c>
      <c r="AT305" s="1" t="s">
        <v>4</v>
      </c>
    </row>
    <row r="306" spans="1:46">
      <c r="A306" s="1" t="s">
        <v>4</v>
      </c>
      <c r="B306" s="1" t="s">
        <v>3</v>
      </c>
      <c r="C306" s="1" t="s">
        <v>13</v>
      </c>
      <c r="D306" s="1" t="s">
        <v>5</v>
      </c>
      <c r="Z306" s="7">
        <f>0.088*1000*16/12*34</f>
        <v>3989.333333333333</v>
      </c>
      <c r="AK306" s="12">
        <v>4</v>
      </c>
      <c r="AT306" s="1" t="s">
        <v>4</v>
      </c>
    </row>
    <row r="307" spans="1:46">
      <c r="A307" s="1" t="s">
        <v>4</v>
      </c>
      <c r="B307" s="1" t="s">
        <v>3</v>
      </c>
      <c r="C307" s="1" t="s">
        <v>13</v>
      </c>
      <c r="D307" s="1" t="s">
        <v>6</v>
      </c>
      <c r="Z307" s="7">
        <f>0.028*1000*16/12*34</f>
        <v>1269.3333333333335</v>
      </c>
      <c r="AK307" s="1">
        <v>3</v>
      </c>
      <c r="AT307" s="1" t="s">
        <v>4</v>
      </c>
    </row>
    <row r="308" spans="1:46">
      <c r="A308" s="1" t="s">
        <v>4</v>
      </c>
      <c r="B308" s="1" t="s">
        <v>3</v>
      </c>
      <c r="C308" s="1" t="s">
        <v>13</v>
      </c>
      <c r="D308" s="1" t="s">
        <v>5</v>
      </c>
      <c r="Z308" s="7">
        <f>0.301*1000*16/12*34</f>
        <v>13645.333333333332</v>
      </c>
      <c r="AK308" s="12">
        <v>1</v>
      </c>
      <c r="AT308" s="1" t="s">
        <v>4</v>
      </c>
    </row>
    <row r="309" spans="1:46">
      <c r="A309" s="1" t="s">
        <v>4</v>
      </c>
      <c r="B309" s="1" t="s">
        <v>3</v>
      </c>
      <c r="C309" s="1" t="s">
        <v>13</v>
      </c>
      <c r="D309" s="1" t="s">
        <v>5</v>
      </c>
      <c r="Z309" s="7">
        <f>0.011*1000*16/12*34</f>
        <v>498.66666666666663</v>
      </c>
      <c r="AK309" s="12">
        <v>1</v>
      </c>
      <c r="AT309" s="1" t="s">
        <v>4</v>
      </c>
    </row>
    <row r="310" spans="1:46">
      <c r="A310" s="1" t="s">
        <v>4</v>
      </c>
      <c r="B310" s="1" t="s">
        <v>3</v>
      </c>
      <c r="C310" s="1" t="s">
        <v>13</v>
      </c>
      <c r="D310" s="1" t="s">
        <v>6</v>
      </c>
      <c r="Z310" s="7">
        <f>0.192*1000*16/12*34</f>
        <v>8704</v>
      </c>
      <c r="AK310" s="1">
        <v>3</v>
      </c>
      <c r="AT310" s="1" t="s">
        <v>4</v>
      </c>
    </row>
    <row r="311" spans="1:46">
      <c r="A311" s="1" t="s">
        <v>4</v>
      </c>
      <c r="B311" s="1" t="s">
        <v>3</v>
      </c>
      <c r="C311" s="1" t="s">
        <v>13</v>
      </c>
      <c r="D311" s="1" t="s">
        <v>6</v>
      </c>
      <c r="Z311" s="7">
        <f>0.013*1000*16/12*34</f>
        <v>589.33333333333326</v>
      </c>
      <c r="AK311" s="1">
        <v>2</v>
      </c>
      <c r="AT311" s="1" t="s">
        <v>4</v>
      </c>
    </row>
    <row r="312" spans="1:46">
      <c r="A312" s="1" t="s">
        <v>4</v>
      </c>
      <c r="B312" s="1" t="s">
        <v>3</v>
      </c>
      <c r="C312" s="1" t="s">
        <v>13</v>
      </c>
      <c r="D312" s="1" t="s">
        <v>5</v>
      </c>
      <c r="Z312" s="7">
        <f>0.053*1000*16/12*34</f>
        <v>2402.666666666667</v>
      </c>
      <c r="AK312" s="12">
        <v>3</v>
      </c>
      <c r="AT312" s="1" t="s">
        <v>4</v>
      </c>
    </row>
    <row r="313" spans="1:46">
      <c r="A313" s="1" t="s">
        <v>4</v>
      </c>
      <c r="B313" s="1" t="s">
        <v>3</v>
      </c>
      <c r="C313" s="1" t="s">
        <v>197</v>
      </c>
      <c r="D313" s="1" t="s">
        <v>5</v>
      </c>
      <c r="Z313" s="7">
        <f>0.133*1000*16/12*34</f>
        <v>6029.3333333333339</v>
      </c>
      <c r="AK313" s="12">
        <v>2</v>
      </c>
      <c r="AT313" s="1" t="s">
        <v>4</v>
      </c>
    </row>
    <row r="314" spans="1:46">
      <c r="A314" s="1" t="s">
        <v>4</v>
      </c>
      <c r="B314" s="1" t="s">
        <v>3</v>
      </c>
      <c r="C314" s="1" t="s">
        <v>197</v>
      </c>
      <c r="D314" s="1" t="s">
        <v>6</v>
      </c>
      <c r="Z314" s="7">
        <f>0.356*1000*16/12*34</f>
        <v>16138.666666666668</v>
      </c>
      <c r="AK314" s="1">
        <v>3</v>
      </c>
      <c r="AT314" s="1" t="s">
        <v>4</v>
      </c>
    </row>
    <row r="315" spans="1:46">
      <c r="A315" s="1" t="s">
        <v>4</v>
      </c>
      <c r="B315" s="1" t="s">
        <v>3</v>
      </c>
      <c r="C315" s="1" t="s">
        <v>197</v>
      </c>
      <c r="D315" s="1" t="s">
        <v>5</v>
      </c>
      <c r="Z315" s="7">
        <f>1.022*1000*16/12*34</f>
        <v>46330.666666666672</v>
      </c>
      <c r="AK315" s="12">
        <v>4</v>
      </c>
      <c r="AT315" s="1" t="s">
        <v>4</v>
      </c>
    </row>
    <row r="316" spans="1:46">
      <c r="A316" s="1" t="s">
        <v>4</v>
      </c>
      <c r="B316" s="1" t="s">
        <v>3</v>
      </c>
      <c r="C316" s="1" t="s">
        <v>197</v>
      </c>
      <c r="D316" s="1" t="s">
        <v>5</v>
      </c>
      <c r="Z316" s="7">
        <f>0.797*1000*16/12*34</f>
        <v>36130.666666666672</v>
      </c>
      <c r="AK316" s="12">
        <v>4</v>
      </c>
      <c r="AT316" s="1" t="s">
        <v>4</v>
      </c>
    </row>
    <row r="317" spans="1:46">
      <c r="A317" s="1" t="s">
        <v>4</v>
      </c>
      <c r="B317" s="1" t="s">
        <v>3</v>
      </c>
      <c r="C317" s="1" t="s">
        <v>319</v>
      </c>
      <c r="D317" s="1" t="s">
        <v>5</v>
      </c>
      <c r="Z317" s="7">
        <f>0.011*1000*16/12*34</f>
        <v>498.66666666666663</v>
      </c>
      <c r="AK317" s="12">
        <v>6</v>
      </c>
      <c r="AT317" s="1" t="s">
        <v>4</v>
      </c>
    </row>
    <row r="318" spans="1:46">
      <c r="A318" s="1" t="s">
        <v>4</v>
      </c>
      <c r="B318" s="1" t="s">
        <v>3</v>
      </c>
      <c r="C318" s="1" t="s">
        <v>319</v>
      </c>
      <c r="D318" s="1" t="s">
        <v>6</v>
      </c>
      <c r="Z318" s="7">
        <f>0.11*1000*16/12*34</f>
        <v>4986.6666666666661</v>
      </c>
      <c r="AK318" s="1">
        <v>5</v>
      </c>
      <c r="AT318" s="1" t="s">
        <v>4</v>
      </c>
    </row>
    <row r="319" spans="1:46">
      <c r="A319" s="1" t="s">
        <v>4</v>
      </c>
      <c r="B319" s="1" t="s">
        <v>3</v>
      </c>
      <c r="C319" s="1" t="s">
        <v>197</v>
      </c>
      <c r="D319" s="1" t="s">
        <v>6</v>
      </c>
      <c r="Z319" s="7">
        <f>0.07*1000*16/12*34</f>
        <v>3173.333333333333</v>
      </c>
      <c r="AK319" s="1">
        <v>3</v>
      </c>
      <c r="AT319" s="1" t="s">
        <v>4</v>
      </c>
    </row>
    <row r="320" spans="1:46">
      <c r="A320" s="1" t="s">
        <v>4</v>
      </c>
      <c r="B320" s="1" t="s">
        <v>3</v>
      </c>
      <c r="C320" s="1" t="s">
        <v>163</v>
      </c>
      <c r="D320" s="1" t="s">
        <v>7</v>
      </c>
      <c r="Z320" s="7">
        <f>0.449*1000*16/12*34</f>
        <v>20354.666666666664</v>
      </c>
      <c r="AK320" s="1">
        <v>2</v>
      </c>
      <c r="AT320" s="1" t="s">
        <v>4</v>
      </c>
    </row>
    <row r="321" spans="1:46">
      <c r="A321" s="1" t="s">
        <v>4</v>
      </c>
      <c r="B321" s="1" t="s">
        <v>3</v>
      </c>
      <c r="C321" s="1" t="s">
        <v>23</v>
      </c>
      <c r="D321" s="1" t="s">
        <v>7</v>
      </c>
      <c r="Z321" s="7">
        <f>2.939*1000*16/12*34</f>
        <v>133234.66666666666</v>
      </c>
      <c r="AK321" s="1">
        <v>2</v>
      </c>
      <c r="AT321" s="1" t="s">
        <v>4</v>
      </c>
    </row>
    <row r="322" spans="1:46">
      <c r="A322" s="1" t="s">
        <v>164</v>
      </c>
      <c r="B322" s="1" t="s">
        <v>3</v>
      </c>
      <c r="C322" s="1" t="s">
        <v>23</v>
      </c>
      <c r="D322" s="1" t="s">
        <v>6</v>
      </c>
      <c r="M322" s="7">
        <f t="shared" ref="M322:M327" si="8">N322*12/44</f>
        <v>310.90909090909093</v>
      </c>
      <c r="N322" s="1">
        <v>1140</v>
      </c>
      <c r="Z322" s="7">
        <v>1460</v>
      </c>
      <c r="AK322" s="1">
        <v>5</v>
      </c>
      <c r="AT322" s="1" t="s">
        <v>165</v>
      </c>
    </row>
    <row r="323" spans="1:46">
      <c r="A323" s="1" t="s">
        <v>164</v>
      </c>
      <c r="B323" s="1" t="s">
        <v>3</v>
      </c>
      <c r="C323" s="1" t="s">
        <v>23</v>
      </c>
      <c r="D323" s="1" t="s">
        <v>6</v>
      </c>
      <c r="M323" s="7">
        <f t="shared" si="8"/>
        <v>310.90909090909093</v>
      </c>
      <c r="N323" s="1">
        <v>1140</v>
      </c>
      <c r="Z323" s="7">
        <v>1460</v>
      </c>
      <c r="AK323" s="1">
        <v>5</v>
      </c>
      <c r="AT323" s="1" t="s">
        <v>165</v>
      </c>
    </row>
    <row r="324" spans="1:46">
      <c r="A324" s="1" t="s">
        <v>164</v>
      </c>
      <c r="B324" s="1" t="s">
        <v>162</v>
      </c>
      <c r="C324" s="1" t="s">
        <v>171</v>
      </c>
      <c r="D324" s="1" t="s">
        <v>6</v>
      </c>
      <c r="M324" s="7">
        <f t="shared" si="8"/>
        <v>310.90909090909093</v>
      </c>
      <c r="N324" s="1">
        <v>1140</v>
      </c>
      <c r="Z324" s="7">
        <v>660</v>
      </c>
      <c r="AK324" s="1">
        <v>5</v>
      </c>
      <c r="AT324" s="1" t="s">
        <v>165</v>
      </c>
    </row>
    <row r="325" spans="1:46">
      <c r="A325" s="1" t="s">
        <v>164</v>
      </c>
      <c r="B325" s="1" t="s">
        <v>160</v>
      </c>
      <c r="C325" s="1" t="s">
        <v>161</v>
      </c>
      <c r="D325" s="1" t="s">
        <v>6</v>
      </c>
      <c r="M325" s="7">
        <f t="shared" si="8"/>
        <v>310.90909090909093</v>
      </c>
      <c r="N325" s="1">
        <v>1140</v>
      </c>
      <c r="Z325" s="7">
        <v>1460</v>
      </c>
      <c r="AK325" s="1">
        <v>5</v>
      </c>
      <c r="AT325" s="1" t="s">
        <v>165</v>
      </c>
    </row>
    <row r="326" spans="1:46">
      <c r="A326" s="1" t="s">
        <v>164</v>
      </c>
      <c r="B326" s="1" t="s">
        <v>162</v>
      </c>
      <c r="C326" s="1" t="s">
        <v>161</v>
      </c>
      <c r="D326" s="1" t="s">
        <v>6</v>
      </c>
      <c r="M326" s="7">
        <f t="shared" si="8"/>
        <v>310.90909090909093</v>
      </c>
      <c r="N326" s="1">
        <v>1140</v>
      </c>
      <c r="Z326" s="7">
        <v>660</v>
      </c>
      <c r="AK326" s="1">
        <v>5</v>
      </c>
      <c r="AT326" s="1" t="s">
        <v>165</v>
      </c>
    </row>
    <row r="327" spans="1:46">
      <c r="A327" s="1" t="s">
        <v>164</v>
      </c>
      <c r="B327" s="1" t="s">
        <v>160</v>
      </c>
      <c r="C327" s="1" t="s">
        <v>161</v>
      </c>
      <c r="D327" s="1" t="s">
        <v>6</v>
      </c>
      <c r="M327" s="7">
        <f t="shared" si="8"/>
        <v>310.90909090909093</v>
      </c>
      <c r="N327" s="1">
        <v>1140</v>
      </c>
      <c r="Z327" s="7">
        <v>1460</v>
      </c>
      <c r="AK327" s="1">
        <v>5</v>
      </c>
      <c r="AT327" s="1" t="s">
        <v>165</v>
      </c>
    </row>
    <row r="328" spans="1:46">
      <c r="A328" s="1" t="s">
        <v>166</v>
      </c>
      <c r="B328" s="1" t="s">
        <v>3</v>
      </c>
      <c r="C328" s="1" t="s">
        <v>13</v>
      </c>
      <c r="D328" s="1" t="s">
        <v>6</v>
      </c>
      <c r="V328" s="7">
        <f>AVERAGEA(160,170)*10^4*24*365/10^6</f>
        <v>14454</v>
      </c>
      <c r="X328" s="1">
        <v>2</v>
      </c>
      <c r="Z328" s="7">
        <f>AVERAGE(520,400)*10^4*24*365/10^9*34</f>
        <v>1370.0640000000001</v>
      </c>
      <c r="AB328" s="1">
        <v>2</v>
      </c>
      <c r="AD328" s="7">
        <f>AVERAGE(20,0)*10^4*24*365/10^9*298</f>
        <v>261.048</v>
      </c>
      <c r="AF328" s="1">
        <v>2</v>
      </c>
      <c r="AK328" s="1">
        <v>1</v>
      </c>
      <c r="AT328" s="1" t="s">
        <v>168</v>
      </c>
    </row>
    <row r="329" spans="1:46">
      <c r="A329" s="1" t="s">
        <v>166</v>
      </c>
      <c r="B329" s="1" t="s">
        <v>3</v>
      </c>
      <c r="C329" s="1" t="s">
        <v>13</v>
      </c>
      <c r="D329" s="1" t="s">
        <v>6</v>
      </c>
      <c r="V329" s="7">
        <f>AVERAGEA(130,150)*10^4*24*365/10^6</f>
        <v>12264</v>
      </c>
      <c r="X329" s="1">
        <v>2</v>
      </c>
      <c r="Z329" s="7">
        <f>AVERAGE(300,420)*10^4*24*365/10^9*34</f>
        <v>1072.2240000000002</v>
      </c>
      <c r="AB329" s="1">
        <v>2</v>
      </c>
      <c r="AD329" s="7">
        <f>AVERAGE(20,-10)*10^4*24*365/10^9*298</f>
        <v>130.524</v>
      </c>
      <c r="AF329" s="1">
        <v>2</v>
      </c>
      <c r="AK329" s="1">
        <v>1</v>
      </c>
      <c r="AT329" s="1" t="s">
        <v>169</v>
      </c>
    </row>
    <row r="330" spans="1:46">
      <c r="A330" s="1" t="s">
        <v>170</v>
      </c>
      <c r="B330" s="1" t="s">
        <v>3</v>
      </c>
      <c r="C330" s="1" t="s">
        <v>171</v>
      </c>
      <c r="D330" s="1" t="s">
        <v>6</v>
      </c>
      <c r="AH330" s="23">
        <f>175*34</f>
        <v>5950</v>
      </c>
      <c r="AJ330" s="1">
        <v>1</v>
      </c>
      <c r="AK330" s="1"/>
      <c r="AT330" s="1" t="s">
        <v>172</v>
      </c>
    </row>
    <row r="331" spans="1:46">
      <c r="A331" s="11" t="s">
        <v>338</v>
      </c>
      <c r="B331" s="1" t="s">
        <v>167</v>
      </c>
      <c r="C331" s="1" t="s">
        <v>13</v>
      </c>
      <c r="D331" s="1" t="s">
        <v>174</v>
      </c>
      <c r="M331" s="7">
        <f t="shared" ref="M331:M335" si="9">N331*12/44</f>
        <v>900</v>
      </c>
      <c r="N331" s="7">
        <f>900*44/12</f>
        <v>3300</v>
      </c>
      <c r="AK331" s="1"/>
      <c r="AT331" s="1" t="s">
        <v>176</v>
      </c>
    </row>
    <row r="332" spans="1:46">
      <c r="A332" s="1" t="s">
        <v>173</v>
      </c>
      <c r="B332" s="1" t="s">
        <v>167</v>
      </c>
      <c r="C332" s="1" t="s">
        <v>23</v>
      </c>
      <c r="D332" s="1" t="s">
        <v>174</v>
      </c>
      <c r="M332" s="7">
        <f t="shared" si="9"/>
        <v>900</v>
      </c>
      <c r="N332" s="7">
        <f t="shared" ref="N332:N334" si="10">900*44/12</f>
        <v>3300</v>
      </c>
      <c r="AK332" s="1"/>
      <c r="AT332" s="1" t="s">
        <v>176</v>
      </c>
    </row>
    <row r="333" spans="1:46">
      <c r="A333" s="1" t="s">
        <v>173</v>
      </c>
      <c r="B333" s="1" t="s">
        <v>167</v>
      </c>
      <c r="C333" s="1" t="s">
        <v>23</v>
      </c>
      <c r="D333" s="1" t="s">
        <v>174</v>
      </c>
      <c r="M333" s="7">
        <f t="shared" si="9"/>
        <v>900</v>
      </c>
      <c r="N333" s="7">
        <f t="shared" si="10"/>
        <v>3300</v>
      </c>
      <c r="AK333" s="1"/>
      <c r="AT333" s="1" t="s">
        <v>176</v>
      </c>
    </row>
    <row r="334" spans="1:46">
      <c r="A334" s="1" t="s">
        <v>173</v>
      </c>
      <c r="B334" s="1" t="s">
        <v>167</v>
      </c>
      <c r="C334" s="1" t="s">
        <v>23</v>
      </c>
      <c r="D334" s="1" t="s">
        <v>174</v>
      </c>
      <c r="F334" s="1"/>
      <c r="G334" s="1"/>
      <c r="J334" s="1"/>
      <c r="K334" s="1"/>
      <c r="M334" s="7">
        <f t="shared" si="9"/>
        <v>900</v>
      </c>
      <c r="N334" s="7">
        <f t="shared" si="10"/>
        <v>3300</v>
      </c>
      <c r="O334" s="1"/>
      <c r="R334" s="1"/>
      <c r="S334" s="1"/>
      <c r="V334" s="1"/>
      <c r="W334" s="1"/>
      <c r="AK334" s="1"/>
      <c r="AT334" s="1" t="s">
        <v>176</v>
      </c>
    </row>
    <row r="335" spans="1:46">
      <c r="A335" s="1" t="s">
        <v>175</v>
      </c>
      <c r="B335" s="1" t="s">
        <v>167</v>
      </c>
      <c r="C335" s="1" t="s">
        <v>23</v>
      </c>
      <c r="D335" s="1" t="s">
        <v>174</v>
      </c>
      <c r="F335" s="1"/>
      <c r="G335" s="1"/>
      <c r="J335" s="1"/>
      <c r="K335" s="1"/>
      <c r="M335" s="7">
        <f t="shared" si="9"/>
        <v>900</v>
      </c>
      <c r="N335" s="7">
        <f>900*44/12</f>
        <v>3300</v>
      </c>
      <c r="O335" s="1"/>
      <c r="R335" s="1"/>
      <c r="S335" s="1"/>
      <c r="V335" s="1"/>
      <c r="W335" s="1"/>
      <c r="AK335" s="1"/>
      <c r="AT335" s="1" t="s">
        <v>176</v>
      </c>
    </row>
    <row r="336" spans="1:46">
      <c r="A336" s="1" t="s">
        <v>177</v>
      </c>
      <c r="B336" s="1" t="s">
        <v>167</v>
      </c>
      <c r="C336" s="1" t="s">
        <v>13</v>
      </c>
      <c r="D336" s="1" t="s">
        <v>5</v>
      </c>
      <c r="Z336" s="7">
        <f>75.83*10^4*365/10^6*34</f>
        <v>9410.5029999999988</v>
      </c>
      <c r="AA336" s="7">
        <f>23.74*10^4*365/10^6*34</f>
        <v>2946.1339999999996</v>
      </c>
      <c r="AK336" s="12">
        <v>3</v>
      </c>
      <c r="AT336" s="1" t="s">
        <v>178</v>
      </c>
    </row>
    <row r="337" spans="1:46">
      <c r="A337" s="1" t="s">
        <v>339</v>
      </c>
      <c r="B337" s="1" t="s">
        <v>167</v>
      </c>
      <c r="C337" s="1" t="s">
        <v>23</v>
      </c>
      <c r="D337" s="1" t="s">
        <v>174</v>
      </c>
      <c r="Z337" s="7">
        <f>320*34*10^4/10^3</f>
        <v>108800</v>
      </c>
      <c r="AK337" s="1">
        <v>3.7</v>
      </c>
      <c r="AT337" s="1" t="s">
        <v>182</v>
      </c>
    </row>
    <row r="338" spans="1:46">
      <c r="A338" s="1" t="s">
        <v>29</v>
      </c>
      <c r="B338" s="1" t="s">
        <v>167</v>
      </c>
      <c r="C338" s="1" t="s">
        <v>23</v>
      </c>
      <c r="D338" s="1" t="s">
        <v>174</v>
      </c>
      <c r="Z338" s="7">
        <f>320*34*10^4/10^3</f>
        <v>108800</v>
      </c>
      <c r="AK338" s="1">
        <v>4.3</v>
      </c>
      <c r="AT338" s="1" t="s">
        <v>182</v>
      </c>
    </row>
    <row r="339" spans="1:46">
      <c r="A339" s="1" t="s">
        <v>180</v>
      </c>
      <c r="B339" s="1" t="s">
        <v>167</v>
      </c>
      <c r="C339" s="1" t="s">
        <v>13</v>
      </c>
      <c r="D339" s="1" t="s">
        <v>5</v>
      </c>
      <c r="Z339" s="7">
        <f>20.1*10^4*365/10^6*34</f>
        <v>2494.41</v>
      </c>
      <c r="AK339" s="1"/>
      <c r="AT339" s="1" t="s">
        <v>181</v>
      </c>
    </row>
    <row r="340" spans="1:46">
      <c r="A340" s="1" t="s">
        <v>179</v>
      </c>
      <c r="B340" s="1" t="s">
        <v>167</v>
      </c>
      <c r="C340" s="1" t="s">
        <v>13</v>
      </c>
      <c r="D340" s="1" t="s">
        <v>5</v>
      </c>
      <c r="Z340" s="7">
        <f>139.8*10^4*365/10^6*34</f>
        <v>17349.18</v>
      </c>
      <c r="AK340" s="1"/>
      <c r="AT340" s="1" t="s">
        <v>181</v>
      </c>
    </row>
    <row r="341" spans="1:46">
      <c r="A341" s="1" t="s">
        <v>179</v>
      </c>
      <c r="B341" s="1" t="s">
        <v>167</v>
      </c>
      <c r="C341" s="1" t="s">
        <v>13</v>
      </c>
      <c r="D341" s="1" t="s">
        <v>5</v>
      </c>
      <c r="Z341" s="7">
        <f>82.9*10^4*365/10^6*34</f>
        <v>10287.89</v>
      </c>
      <c r="AK341" s="1"/>
      <c r="AT341" s="1" t="s">
        <v>181</v>
      </c>
    </row>
    <row r="342" spans="1:46">
      <c r="A342" s="1" t="s">
        <v>183</v>
      </c>
      <c r="B342" s="1" t="s">
        <v>167</v>
      </c>
      <c r="C342" s="1" t="s">
        <v>184</v>
      </c>
      <c r="D342" s="1" t="s">
        <v>185</v>
      </c>
      <c r="Z342" s="7">
        <f>SUM(102.5,8.2)*10^4/10^3*34</f>
        <v>37638</v>
      </c>
      <c r="AK342" s="1">
        <v>1.52</v>
      </c>
      <c r="AT342" s="1" t="s">
        <v>186</v>
      </c>
    </row>
    <row r="343" spans="1:46">
      <c r="A343" s="1" t="s">
        <v>183</v>
      </c>
      <c r="B343" s="1" t="s">
        <v>167</v>
      </c>
      <c r="C343" s="1" t="s">
        <v>184</v>
      </c>
      <c r="D343" s="1" t="s">
        <v>185</v>
      </c>
      <c r="Z343" s="7">
        <f>SUM(108.8,14)*10^4/10^3*34</f>
        <v>41752</v>
      </c>
      <c r="AK343" s="1">
        <v>1.52</v>
      </c>
      <c r="AT343" s="1" t="s">
        <v>186</v>
      </c>
    </row>
    <row r="344" spans="1:46">
      <c r="A344" s="1" t="s">
        <v>187</v>
      </c>
      <c r="B344" s="1" t="s">
        <v>167</v>
      </c>
      <c r="C344" s="1" t="s">
        <v>184</v>
      </c>
      <c r="D344" s="1" t="s">
        <v>5</v>
      </c>
      <c r="Z344" s="7">
        <f>32.5/0.8*34</f>
        <v>1381.25</v>
      </c>
      <c r="AA344" s="7">
        <f>12.1/0.8*34</f>
        <v>514.24999999999989</v>
      </c>
      <c r="AB344" s="1">
        <v>5</v>
      </c>
      <c r="AK344" s="12">
        <v>5</v>
      </c>
      <c r="AT344" s="1" t="s">
        <v>188</v>
      </c>
    </row>
    <row r="345" spans="1:46">
      <c r="A345" s="1" t="s">
        <v>199</v>
      </c>
      <c r="B345" s="1" t="s">
        <v>167</v>
      </c>
      <c r="C345" s="1" t="s">
        <v>23</v>
      </c>
      <c r="D345" s="1" t="s">
        <v>200</v>
      </c>
      <c r="AD345" s="7">
        <f>16.7*10^4*24*365/10^9*298</f>
        <v>435.95015999999998</v>
      </c>
      <c r="AK345" s="1"/>
      <c r="AT345" s="1" t="s">
        <v>201</v>
      </c>
    </row>
    <row r="346" spans="1:46">
      <c r="A346" s="1" t="s">
        <v>203</v>
      </c>
      <c r="B346" s="1" t="s">
        <v>167</v>
      </c>
      <c r="C346" s="1" t="s">
        <v>23</v>
      </c>
      <c r="D346" s="1" t="s">
        <v>202</v>
      </c>
      <c r="AD346" s="7">
        <f>1.5*10^4*365/10^6*298</f>
        <v>1631.55</v>
      </c>
      <c r="AK346" s="1"/>
      <c r="AT346" s="1" t="s">
        <v>204</v>
      </c>
    </row>
    <row r="347" spans="1:46">
      <c r="A347" s="1" t="s">
        <v>209</v>
      </c>
      <c r="B347" s="1" t="s">
        <v>3</v>
      </c>
      <c r="C347" s="1" t="s">
        <v>207</v>
      </c>
      <c r="D347" s="1" t="s">
        <v>206</v>
      </c>
      <c r="Z347" s="7">
        <f>2754*10^4*24*365/10^9*34</f>
        <v>8202.5136000000002</v>
      </c>
      <c r="AA347" s="7">
        <f>642*10^4*24*365/10^9*34</f>
        <v>1912.1327999999999</v>
      </c>
      <c r="AD347" s="7">
        <f>13*10^4*24*365/10^9*298</f>
        <v>339.36240000000004</v>
      </c>
      <c r="AE347" s="7">
        <f>5*10^4*24*365/10^9*298</f>
        <v>130.524</v>
      </c>
      <c r="AK347" s="1">
        <v>2.4</v>
      </c>
      <c r="AT347" s="1" t="s">
        <v>208</v>
      </c>
    </row>
    <row r="348" spans="1:46">
      <c r="A348" s="1" t="s">
        <v>209</v>
      </c>
      <c r="B348" s="1" t="s">
        <v>3</v>
      </c>
      <c r="C348" s="1" t="s">
        <v>207</v>
      </c>
      <c r="D348" s="1" t="s">
        <v>206</v>
      </c>
      <c r="Z348" s="7">
        <f>127*10^4*24*365/10^9*34</f>
        <v>378.2568</v>
      </c>
      <c r="AA348" s="7">
        <f>45*10^4*24*365/10^9*34</f>
        <v>134.02800000000002</v>
      </c>
      <c r="AD348" s="7">
        <f>40*10^4*24*365/10^9*298</f>
        <v>1044.192</v>
      </c>
      <c r="AE348" s="7">
        <f>19*10^4*24*365/10^9*298</f>
        <v>495.99120000000005</v>
      </c>
      <c r="AK348" s="1">
        <v>2.4</v>
      </c>
      <c r="AT348" s="1" t="s">
        <v>208</v>
      </c>
    </row>
    <row r="349" spans="1:46">
      <c r="A349" s="1" t="s">
        <v>210</v>
      </c>
      <c r="B349" s="1" t="s">
        <v>3</v>
      </c>
      <c r="C349" s="1" t="s">
        <v>171</v>
      </c>
      <c r="D349" s="1" t="s">
        <v>200</v>
      </c>
      <c r="V349" s="7">
        <f>1.3*10^4/10^3*365*44/12</f>
        <v>17398.333333333332</v>
      </c>
      <c r="W349" s="7">
        <f>0.2*10^4/10^3*365*44/12</f>
        <v>2676.6666666666665</v>
      </c>
      <c r="X349" s="7">
        <v>5</v>
      </c>
      <c r="Z349" s="7">
        <f>466.4*10^4*365/10^6*34</f>
        <v>57880.24</v>
      </c>
      <c r="AA349" s="7">
        <f>78.4*10^4*365/10^6*34</f>
        <v>9729.44</v>
      </c>
      <c r="AB349" s="7">
        <v>5</v>
      </c>
      <c r="AD349" s="7">
        <f>2.6*10^4*365/10^6*298</f>
        <v>2828.02</v>
      </c>
      <c r="AE349" s="7">
        <f>0.9*10^4*365/10^6*298</f>
        <v>978.93000000000006</v>
      </c>
      <c r="AF349" s="1">
        <v>5</v>
      </c>
      <c r="AH349" s="23">
        <f>250*16/12*34</f>
        <v>11333.333333333332</v>
      </c>
      <c r="AK349" s="1">
        <v>5</v>
      </c>
      <c r="AT349" s="1" t="s">
        <v>211</v>
      </c>
    </row>
    <row r="350" spans="1:46">
      <c r="A350" s="1" t="s">
        <v>212</v>
      </c>
      <c r="B350" s="1" t="s">
        <v>3</v>
      </c>
      <c r="C350" s="1" t="s">
        <v>171</v>
      </c>
      <c r="D350" s="1" t="s">
        <v>206</v>
      </c>
      <c r="I350" s="1" t="s">
        <v>91</v>
      </c>
      <c r="J350" s="7">
        <f>4048*44/12</f>
        <v>14842.666666666666</v>
      </c>
      <c r="AK350" s="1"/>
      <c r="AT350" s="1" t="s">
        <v>213</v>
      </c>
    </row>
    <row r="351" spans="1:46">
      <c r="A351" s="1" t="s">
        <v>212</v>
      </c>
      <c r="B351" s="1" t="s">
        <v>3</v>
      </c>
      <c r="C351" s="1" t="s">
        <v>171</v>
      </c>
      <c r="D351" s="1" t="s">
        <v>206</v>
      </c>
      <c r="I351" s="1" t="s">
        <v>91</v>
      </c>
      <c r="J351" s="7">
        <f>3520*44/12</f>
        <v>12906.666666666666</v>
      </c>
      <c r="AK351" s="1"/>
      <c r="AT351" s="1" t="s">
        <v>213</v>
      </c>
    </row>
    <row r="352" spans="1:46">
      <c r="A352" s="1" t="s">
        <v>214</v>
      </c>
      <c r="B352" s="1" t="s">
        <v>3</v>
      </c>
      <c r="C352" s="1" t="s">
        <v>171</v>
      </c>
      <c r="D352" s="1" t="s">
        <v>206</v>
      </c>
      <c r="V352" s="7">
        <f>11700</f>
        <v>11700</v>
      </c>
      <c r="W352" s="7">
        <v>3400</v>
      </c>
      <c r="X352" s="1">
        <v>3</v>
      </c>
      <c r="Z352" s="7">
        <f>183*34</f>
        <v>6222</v>
      </c>
      <c r="AA352" s="7">
        <f>2440*34</f>
        <v>82960</v>
      </c>
      <c r="AB352" s="1">
        <v>3</v>
      </c>
      <c r="AK352" s="1">
        <v>1.7</v>
      </c>
      <c r="AT352" s="1" t="s">
        <v>215</v>
      </c>
    </row>
    <row r="353" spans="1:46">
      <c r="A353" s="1" t="s">
        <v>214</v>
      </c>
      <c r="B353" s="1" t="s">
        <v>3</v>
      </c>
      <c r="C353" s="1" t="s">
        <v>23</v>
      </c>
      <c r="D353" s="1" t="s">
        <v>206</v>
      </c>
      <c r="V353" s="7">
        <v>14400</v>
      </c>
      <c r="W353" s="7">
        <v>3120</v>
      </c>
      <c r="X353" s="1">
        <v>3</v>
      </c>
      <c r="Z353" s="7">
        <f>272*34</f>
        <v>9248</v>
      </c>
      <c r="AA353" s="7">
        <f>973*34</f>
        <v>33082</v>
      </c>
      <c r="AB353" s="1">
        <v>3</v>
      </c>
      <c r="AK353" s="1">
        <v>2</v>
      </c>
      <c r="AT353" s="1" t="s">
        <v>215</v>
      </c>
    </row>
    <row r="354" spans="1:46">
      <c r="A354" s="1" t="s">
        <v>216</v>
      </c>
      <c r="B354" s="1" t="s">
        <v>3</v>
      </c>
      <c r="C354" s="1" t="s">
        <v>171</v>
      </c>
      <c r="D354" s="1" t="s">
        <v>185</v>
      </c>
      <c r="Z354" s="7">
        <f>450*10^4/10^6*34</f>
        <v>153</v>
      </c>
      <c r="AB354" s="1">
        <v>3</v>
      </c>
      <c r="AH354" s="23">
        <f>(274*365/1000*65/50+170*365/1000*20/50+48*365/1000*10/50)*34</f>
        <v>5383.4579999999996</v>
      </c>
      <c r="AK354" s="1">
        <v>21</v>
      </c>
      <c r="AT354" s="1" t="s">
        <v>217</v>
      </c>
    </row>
    <row r="355" spans="1:46">
      <c r="A355" s="1" t="s">
        <v>216</v>
      </c>
      <c r="B355" s="1" t="s">
        <v>3</v>
      </c>
      <c r="C355" s="1" t="s">
        <v>171</v>
      </c>
      <c r="D355" s="1" t="s">
        <v>185</v>
      </c>
      <c r="Z355" s="7">
        <f>470*10^4/10^6*34</f>
        <v>159.80000000000001</v>
      </c>
      <c r="AB355" s="1">
        <v>3</v>
      </c>
      <c r="AK355" s="1">
        <v>21</v>
      </c>
      <c r="AT355" s="1" t="s">
        <v>217</v>
      </c>
    </row>
    <row r="356" spans="1:46">
      <c r="A356" s="1" t="s">
        <v>223</v>
      </c>
      <c r="B356" s="1" t="s">
        <v>3</v>
      </c>
      <c r="C356" s="1" t="s">
        <v>224</v>
      </c>
      <c r="D356" s="1" t="s">
        <v>222</v>
      </c>
      <c r="AD356" s="7">
        <v>632.2100938556739</v>
      </c>
      <c r="AK356" s="1"/>
      <c r="AT356" s="1" t="s">
        <v>225</v>
      </c>
    </row>
    <row r="357" spans="1:46">
      <c r="A357" s="1" t="s">
        <v>223</v>
      </c>
      <c r="B357" s="1" t="s">
        <v>3</v>
      </c>
      <c r="C357" s="1" t="s">
        <v>224</v>
      </c>
      <c r="D357" s="1" t="s">
        <v>222</v>
      </c>
      <c r="AD357" s="7">
        <v>579.28930924420865</v>
      </c>
      <c r="AK357" s="1"/>
      <c r="AT357" s="1" t="s">
        <v>225</v>
      </c>
    </row>
    <row r="358" spans="1:46">
      <c r="A358" s="1" t="s">
        <v>223</v>
      </c>
      <c r="B358" s="1" t="s">
        <v>3</v>
      </c>
      <c r="C358" s="1" t="s">
        <v>224</v>
      </c>
      <c r="D358" s="1" t="s">
        <v>222</v>
      </c>
      <c r="AD358" s="7">
        <v>500.18722683703027</v>
      </c>
      <c r="AK358" s="1"/>
      <c r="AT358" s="1" t="s">
        <v>225</v>
      </c>
    </row>
    <row r="359" spans="1:46">
      <c r="A359" s="1" t="s">
        <v>223</v>
      </c>
      <c r="B359" s="1" t="s">
        <v>3</v>
      </c>
      <c r="C359" s="1" t="s">
        <v>224</v>
      </c>
      <c r="D359" s="1" t="s">
        <v>222</v>
      </c>
      <c r="AD359" s="7">
        <v>421.07621340552834</v>
      </c>
      <c r="AK359" s="1"/>
      <c r="AT359" s="1" t="s">
        <v>225</v>
      </c>
    </row>
    <row r="360" spans="1:46">
      <c r="A360" s="1" t="s">
        <v>223</v>
      </c>
      <c r="B360" s="1" t="s">
        <v>3</v>
      </c>
      <c r="C360" s="1" t="s">
        <v>224</v>
      </c>
      <c r="D360" s="1" t="s">
        <v>222</v>
      </c>
      <c r="AD360" s="7">
        <v>406.32662674012624</v>
      </c>
      <c r="AK360" s="1"/>
      <c r="AT360" s="1" t="s">
        <v>225</v>
      </c>
    </row>
    <row r="361" spans="1:46">
      <c r="A361" s="1" t="s">
        <v>223</v>
      </c>
      <c r="B361" s="1" t="s">
        <v>3</v>
      </c>
      <c r="C361" s="1" t="s">
        <v>224</v>
      </c>
      <c r="D361" s="1" t="s">
        <v>222</v>
      </c>
      <c r="AD361" s="7">
        <v>331.49357395817242</v>
      </c>
      <c r="AK361" s="1"/>
      <c r="AT361" s="1" t="s">
        <v>225</v>
      </c>
    </row>
    <row r="362" spans="1:46">
      <c r="A362" s="1" t="s">
        <v>223</v>
      </c>
      <c r="B362" s="1" t="s">
        <v>3</v>
      </c>
      <c r="C362" s="1" t="s">
        <v>224</v>
      </c>
      <c r="D362" s="1" t="s">
        <v>222</v>
      </c>
      <c r="AD362" s="7">
        <v>311.34071757883237</v>
      </c>
      <c r="AK362" s="1"/>
      <c r="AT362" s="1" t="s">
        <v>225</v>
      </c>
    </row>
    <row r="363" spans="1:46">
      <c r="A363" s="1" t="s">
        <v>223</v>
      </c>
      <c r="B363" s="1" t="s">
        <v>3</v>
      </c>
      <c r="C363" s="1" t="s">
        <v>224</v>
      </c>
      <c r="D363" s="1" t="s">
        <v>222</v>
      </c>
      <c r="AD363" s="7">
        <v>301.20400497500003</v>
      </c>
      <c r="AK363" s="1"/>
      <c r="AT363" s="1" t="s">
        <v>225</v>
      </c>
    </row>
    <row r="364" spans="1:46">
      <c r="A364" s="1" t="s">
        <v>223</v>
      </c>
      <c r="B364" s="1" t="s">
        <v>3</v>
      </c>
      <c r="C364" s="1" t="s">
        <v>224</v>
      </c>
      <c r="D364" s="1" t="s">
        <v>222</v>
      </c>
      <c r="AD364" s="7">
        <v>299.11861079615028</v>
      </c>
      <c r="AK364" s="1"/>
      <c r="AT364" s="1" t="s">
        <v>225</v>
      </c>
    </row>
    <row r="365" spans="1:46">
      <c r="A365" s="1" t="s">
        <v>223</v>
      </c>
      <c r="B365" s="1" t="s">
        <v>3</v>
      </c>
      <c r="C365" s="1" t="s">
        <v>224</v>
      </c>
      <c r="D365" s="1" t="s">
        <v>222</v>
      </c>
      <c r="AD365" s="7">
        <v>303.11970969176105</v>
      </c>
      <c r="AK365" s="1"/>
      <c r="AT365" s="1" t="s">
        <v>225</v>
      </c>
    </row>
    <row r="366" spans="1:46">
      <c r="A366" s="1" t="s">
        <v>223</v>
      </c>
      <c r="B366" s="1" t="s">
        <v>3</v>
      </c>
      <c r="C366" s="1" t="s">
        <v>224</v>
      </c>
      <c r="D366" s="1" t="s">
        <v>222</v>
      </c>
      <c r="AD366" s="7">
        <v>276.76425692179367</v>
      </c>
      <c r="AK366" s="1"/>
      <c r="AT366" s="1" t="s">
        <v>225</v>
      </c>
    </row>
    <row r="367" spans="1:46">
      <c r="A367" s="1" t="s">
        <v>223</v>
      </c>
      <c r="B367" s="1" t="s">
        <v>3</v>
      </c>
      <c r="C367" s="1" t="s">
        <v>224</v>
      </c>
      <c r="D367" s="1" t="s">
        <v>222</v>
      </c>
      <c r="AD367" s="7">
        <v>286.82059030674156</v>
      </c>
      <c r="AK367" s="1"/>
      <c r="AT367" s="1" t="s">
        <v>225</v>
      </c>
    </row>
    <row r="368" spans="1:46">
      <c r="A368" s="1" t="s">
        <v>223</v>
      </c>
      <c r="B368" s="1" t="s">
        <v>3</v>
      </c>
      <c r="C368" s="1" t="s">
        <v>224</v>
      </c>
      <c r="D368" s="1" t="s">
        <v>222</v>
      </c>
      <c r="AD368" s="7">
        <v>260.57230982862211</v>
      </c>
      <c r="AK368" s="1"/>
      <c r="AT368" s="1" t="s">
        <v>225</v>
      </c>
    </row>
    <row r="369" spans="1:46">
      <c r="A369" s="1" t="s">
        <v>223</v>
      </c>
      <c r="B369" s="1" t="s">
        <v>3</v>
      </c>
      <c r="C369" s="1" t="s">
        <v>224</v>
      </c>
      <c r="D369" s="1" t="s">
        <v>222</v>
      </c>
      <c r="AD369" s="7">
        <v>254.35631690151394</v>
      </c>
      <c r="AK369" s="1"/>
      <c r="AT369" s="1" t="s">
        <v>225</v>
      </c>
    </row>
    <row r="370" spans="1:46">
      <c r="A370" s="1" t="s">
        <v>223</v>
      </c>
      <c r="B370" s="1" t="s">
        <v>3</v>
      </c>
      <c r="C370" s="1" t="s">
        <v>224</v>
      </c>
      <c r="D370" s="1" t="s">
        <v>222</v>
      </c>
      <c r="AD370" s="7">
        <v>207.86586980085016</v>
      </c>
      <c r="AK370" s="1"/>
      <c r="AT370" s="1" t="s">
        <v>225</v>
      </c>
    </row>
    <row r="371" spans="1:46">
      <c r="A371" s="1" t="s">
        <v>223</v>
      </c>
      <c r="B371" s="1" t="s">
        <v>3</v>
      </c>
      <c r="C371" s="1" t="s">
        <v>224</v>
      </c>
      <c r="D371" s="1" t="s">
        <v>222</v>
      </c>
      <c r="AD371" s="7">
        <v>199.50196552464786</v>
      </c>
      <c r="AK371" s="1"/>
      <c r="AT371" s="1" t="s">
        <v>225</v>
      </c>
    </row>
    <row r="372" spans="1:46">
      <c r="A372" s="1" t="s">
        <v>223</v>
      </c>
      <c r="B372" s="1" t="s">
        <v>3</v>
      </c>
      <c r="C372" s="1" t="s">
        <v>224</v>
      </c>
      <c r="D372" s="1" t="s">
        <v>222</v>
      </c>
      <c r="AD372" s="7">
        <v>183.26089779771314</v>
      </c>
      <c r="AK372" s="1"/>
      <c r="AT372" s="1" t="s">
        <v>225</v>
      </c>
    </row>
    <row r="373" spans="1:46">
      <c r="A373" s="1" t="s">
        <v>223</v>
      </c>
      <c r="B373" s="1" t="s">
        <v>3</v>
      </c>
      <c r="C373" s="1" t="s">
        <v>224</v>
      </c>
      <c r="D373" s="1" t="s">
        <v>222</v>
      </c>
      <c r="AD373" s="7">
        <v>187.48080678917697</v>
      </c>
      <c r="AK373" s="1"/>
      <c r="AT373" s="1" t="s">
        <v>225</v>
      </c>
    </row>
    <row r="374" spans="1:46">
      <c r="A374" s="1" t="s">
        <v>223</v>
      </c>
      <c r="B374" s="1" t="s">
        <v>3</v>
      </c>
      <c r="C374" s="1" t="s">
        <v>224</v>
      </c>
      <c r="D374" s="1" t="s">
        <v>222</v>
      </c>
      <c r="AD374" s="7">
        <v>199.39479323280116</v>
      </c>
      <c r="AK374" s="1"/>
      <c r="AT374" s="1" t="s">
        <v>225</v>
      </c>
    </row>
    <row r="375" spans="1:46">
      <c r="A375" s="1" t="s">
        <v>223</v>
      </c>
      <c r="B375" s="1" t="s">
        <v>3</v>
      </c>
      <c r="C375" s="1" t="s">
        <v>224</v>
      </c>
      <c r="D375" s="1" t="s">
        <v>222</v>
      </c>
      <c r="AD375" s="7">
        <v>156.94563463718958</v>
      </c>
      <c r="AK375" s="1"/>
      <c r="AT375" s="1" t="s">
        <v>225</v>
      </c>
    </row>
    <row r="376" spans="1:46">
      <c r="A376" s="1" t="s">
        <v>223</v>
      </c>
      <c r="B376" s="1" t="s">
        <v>3</v>
      </c>
      <c r="C376" s="1" t="s">
        <v>224</v>
      </c>
      <c r="D376" s="1" t="s">
        <v>222</v>
      </c>
      <c r="AD376" s="7">
        <v>160.84402675311298</v>
      </c>
      <c r="AK376" s="1"/>
      <c r="AT376" s="1" t="s">
        <v>225</v>
      </c>
    </row>
    <row r="377" spans="1:46">
      <c r="A377" s="1" t="s">
        <v>223</v>
      </c>
      <c r="B377" s="1" t="s">
        <v>3</v>
      </c>
      <c r="C377" s="1" t="s">
        <v>224</v>
      </c>
      <c r="D377" s="1" t="s">
        <v>222</v>
      </c>
      <c r="AD377" s="7">
        <v>116.24249129624734</v>
      </c>
      <c r="AK377" s="1"/>
      <c r="AT377" s="1" t="s">
        <v>225</v>
      </c>
    </row>
    <row r="378" spans="1:46">
      <c r="A378" s="1" t="s">
        <v>223</v>
      </c>
      <c r="B378" s="1" t="s">
        <v>3</v>
      </c>
      <c r="C378" s="1" t="s">
        <v>224</v>
      </c>
      <c r="D378" s="1" t="s">
        <v>222</v>
      </c>
      <c r="AD378" s="7">
        <v>79.853032702134342</v>
      </c>
      <c r="AK378" s="1"/>
      <c r="AT378" s="1" t="s">
        <v>225</v>
      </c>
    </row>
    <row r="379" spans="1:46">
      <c r="A379" s="1" t="s">
        <v>223</v>
      </c>
      <c r="B379" s="1" t="s">
        <v>3</v>
      </c>
      <c r="C379" s="1" t="s">
        <v>224</v>
      </c>
      <c r="D379" s="1" t="s">
        <v>222</v>
      </c>
      <c r="AD379" s="7">
        <v>41.092387150913289</v>
      </c>
      <c r="AK379" s="1"/>
      <c r="AT379" s="1" t="s">
        <v>225</v>
      </c>
    </row>
    <row r="380" spans="1:46">
      <c r="A380" s="1" t="s">
        <v>223</v>
      </c>
      <c r="B380" s="1" t="s">
        <v>3</v>
      </c>
      <c r="C380" s="1" t="s">
        <v>224</v>
      </c>
      <c r="D380" s="1" t="s">
        <v>222</v>
      </c>
      <c r="AD380" s="7">
        <v>36.988581475616925</v>
      </c>
      <c r="AK380" s="1"/>
      <c r="AT380" s="1" t="s">
        <v>225</v>
      </c>
    </row>
    <row r="381" spans="1:46">
      <c r="A381" s="1" t="s">
        <v>226</v>
      </c>
      <c r="B381" s="1" t="s">
        <v>3</v>
      </c>
      <c r="C381" s="1" t="s">
        <v>227</v>
      </c>
      <c r="D381" s="1" t="s">
        <v>222</v>
      </c>
      <c r="M381" s="7">
        <f t="shared" ref="M381:M387" si="11">N381*12/44</f>
        <v>73.7</v>
      </c>
      <c r="N381" s="7">
        <f>73.7*44/12</f>
        <v>270.23333333333335</v>
      </c>
      <c r="V381" s="7">
        <v>1110</v>
      </c>
      <c r="W381" s="7">
        <v>50</v>
      </c>
      <c r="X381" s="1">
        <v>2</v>
      </c>
      <c r="Z381" s="7">
        <f>0.6*34</f>
        <v>20.399999999999999</v>
      </c>
      <c r="AA381" s="7">
        <f>0.5*34</f>
        <v>17</v>
      </c>
      <c r="AB381" s="1">
        <v>2</v>
      </c>
      <c r="AD381" s="7">
        <f>0.1*298</f>
        <v>29.8</v>
      </c>
      <c r="AE381" s="7">
        <f>0.03*298</f>
        <v>8.94</v>
      </c>
      <c r="AF381" s="1">
        <v>2</v>
      </c>
      <c r="AK381" s="12">
        <v>6</v>
      </c>
      <c r="AT381" s="1" t="s">
        <v>228</v>
      </c>
    </row>
    <row r="382" spans="1:46">
      <c r="A382" s="1" t="s">
        <v>226</v>
      </c>
      <c r="B382" s="1" t="s">
        <v>3</v>
      </c>
      <c r="C382" s="1" t="s">
        <v>227</v>
      </c>
      <c r="D382" s="1" t="s">
        <v>222</v>
      </c>
      <c r="M382" s="7">
        <f t="shared" si="11"/>
        <v>43</v>
      </c>
      <c r="N382" s="7">
        <f>43*44/12</f>
        <v>157.66666666666666</v>
      </c>
      <c r="V382" s="7">
        <v>3910</v>
      </c>
      <c r="W382" s="7">
        <v>1140</v>
      </c>
      <c r="X382" s="1">
        <v>2</v>
      </c>
      <c r="Z382" s="7">
        <f>-0.1*34</f>
        <v>-3.4000000000000004</v>
      </c>
      <c r="AA382" s="7">
        <f>0.1*34</f>
        <v>3.4000000000000004</v>
      </c>
      <c r="AB382" s="1">
        <v>2</v>
      </c>
      <c r="AD382" s="7">
        <f>0.07*298</f>
        <v>20.860000000000003</v>
      </c>
      <c r="AE382" s="7">
        <f>0.06*298</f>
        <v>17.88</v>
      </c>
      <c r="AF382" s="1">
        <v>2</v>
      </c>
      <c r="AK382" s="12">
        <v>6</v>
      </c>
      <c r="AT382" s="1" t="s">
        <v>228</v>
      </c>
    </row>
    <row r="383" spans="1:46">
      <c r="A383" s="1" t="s">
        <v>226</v>
      </c>
      <c r="B383" s="1" t="s">
        <v>3</v>
      </c>
      <c r="C383" s="1" t="s">
        <v>227</v>
      </c>
      <c r="D383" s="1" t="s">
        <v>222</v>
      </c>
      <c r="M383" s="7">
        <f t="shared" si="11"/>
        <v>58.6</v>
      </c>
      <c r="N383" s="7">
        <f>58.6*44/12</f>
        <v>214.86666666666667</v>
      </c>
      <c r="V383" s="7">
        <v>3510</v>
      </c>
      <c r="W383" s="7">
        <v>550</v>
      </c>
      <c r="X383" s="1">
        <v>2</v>
      </c>
      <c r="Z383" s="7">
        <f>0*34</f>
        <v>0</v>
      </c>
      <c r="AA383" s="7">
        <f>0.1*34</f>
        <v>3.4000000000000004</v>
      </c>
      <c r="AB383" s="1">
        <v>2</v>
      </c>
      <c r="AD383" s="7">
        <f>0.11*298</f>
        <v>32.78</v>
      </c>
      <c r="AE383" s="7">
        <f>0.04*298</f>
        <v>11.92</v>
      </c>
      <c r="AF383" s="1">
        <v>2</v>
      </c>
      <c r="AK383" s="12">
        <v>6</v>
      </c>
      <c r="AT383" s="1" t="s">
        <v>228</v>
      </c>
    </row>
    <row r="384" spans="1:46">
      <c r="A384" s="1" t="s">
        <v>226</v>
      </c>
      <c r="B384" s="1" t="s">
        <v>3</v>
      </c>
      <c r="C384" s="1" t="s">
        <v>227</v>
      </c>
      <c r="D384" s="1" t="s">
        <v>222</v>
      </c>
      <c r="M384" s="7">
        <f t="shared" si="11"/>
        <v>82.1</v>
      </c>
      <c r="N384" s="7">
        <f>82.1*44/12</f>
        <v>301.0333333333333</v>
      </c>
      <c r="V384" s="7">
        <v>8400</v>
      </c>
      <c r="W384" s="7">
        <v>1530</v>
      </c>
      <c r="X384" s="1">
        <v>2</v>
      </c>
      <c r="Z384" s="7">
        <f>27.5*34</f>
        <v>935</v>
      </c>
      <c r="AA384" s="7">
        <f>19.1*34</f>
        <v>649.40000000000009</v>
      </c>
      <c r="AB384" s="1">
        <v>2</v>
      </c>
      <c r="AD384" s="7">
        <f>0.04*298</f>
        <v>11.92</v>
      </c>
      <c r="AE384" s="7">
        <f>0.11*298</f>
        <v>32.78</v>
      </c>
      <c r="AF384" s="1">
        <v>2</v>
      </c>
      <c r="AK384" s="12">
        <v>6</v>
      </c>
      <c r="AT384" s="1" t="s">
        <v>228</v>
      </c>
    </row>
    <row r="385" spans="1:46">
      <c r="A385" s="1" t="s">
        <v>226</v>
      </c>
      <c r="B385" s="1" t="s">
        <v>3</v>
      </c>
      <c r="C385" s="1" t="s">
        <v>227</v>
      </c>
      <c r="D385" s="1" t="s">
        <v>222</v>
      </c>
      <c r="M385" s="7">
        <f t="shared" si="11"/>
        <v>17.3</v>
      </c>
      <c r="N385" s="7">
        <f>17.3*44/12</f>
        <v>63.433333333333337</v>
      </c>
      <c r="V385" s="7">
        <v>5990</v>
      </c>
      <c r="W385" s="7">
        <v>370</v>
      </c>
      <c r="X385" s="1">
        <v>2</v>
      </c>
      <c r="Z385" s="7">
        <f>6.9*34</f>
        <v>234.60000000000002</v>
      </c>
      <c r="AA385" s="7">
        <f>2.8*34</f>
        <v>95.199999999999989</v>
      </c>
      <c r="AB385" s="1">
        <v>2</v>
      </c>
      <c r="AD385" s="7">
        <f>0.03*298</f>
        <v>8.94</v>
      </c>
      <c r="AE385" s="7">
        <f>0.01*298</f>
        <v>2.98</v>
      </c>
      <c r="AF385" s="1">
        <v>2</v>
      </c>
      <c r="AK385" s="12">
        <v>6</v>
      </c>
      <c r="AT385" s="1" t="s">
        <v>228</v>
      </c>
    </row>
    <row r="386" spans="1:46">
      <c r="A386" s="1" t="s">
        <v>226</v>
      </c>
      <c r="B386" s="1" t="s">
        <v>3</v>
      </c>
      <c r="C386" s="1" t="s">
        <v>227</v>
      </c>
      <c r="D386" s="1" t="s">
        <v>222</v>
      </c>
      <c r="M386" s="7">
        <f t="shared" si="11"/>
        <v>114.6</v>
      </c>
      <c r="N386" s="7">
        <f>114.6*44/12</f>
        <v>420.2</v>
      </c>
      <c r="V386" s="7">
        <v>5190</v>
      </c>
      <c r="W386" s="7">
        <v>890</v>
      </c>
      <c r="X386" s="1">
        <v>2</v>
      </c>
      <c r="Z386" s="7">
        <f>5.2*34</f>
        <v>176.8</v>
      </c>
      <c r="AA386" s="7">
        <f>1.4*34</f>
        <v>47.599999999999994</v>
      </c>
      <c r="AB386" s="1">
        <v>2</v>
      </c>
      <c r="AD386" s="7">
        <f>0.37*298</f>
        <v>110.26</v>
      </c>
      <c r="AE386" s="7">
        <f>0.19*298</f>
        <v>56.62</v>
      </c>
      <c r="AF386" s="1">
        <v>2</v>
      </c>
      <c r="AK386" s="12">
        <v>6</v>
      </c>
      <c r="AT386" s="1" t="s">
        <v>228</v>
      </c>
    </row>
    <row r="387" spans="1:46">
      <c r="A387" s="1" t="s">
        <v>226</v>
      </c>
      <c r="B387" s="1" t="s">
        <v>3</v>
      </c>
      <c r="C387" s="1" t="s">
        <v>227</v>
      </c>
      <c r="D387" s="1" t="s">
        <v>222</v>
      </c>
      <c r="M387" s="7">
        <f t="shared" si="11"/>
        <v>39.200000000000003</v>
      </c>
      <c r="N387" s="7">
        <f>39.2*44/12</f>
        <v>143.73333333333335</v>
      </c>
      <c r="V387" s="7">
        <v>4480</v>
      </c>
      <c r="W387" s="7">
        <v>480</v>
      </c>
      <c r="X387" s="1">
        <v>2</v>
      </c>
      <c r="Z387" s="7">
        <f>0.9*34</f>
        <v>30.6</v>
      </c>
      <c r="AA387" s="7">
        <f>0.5*34</f>
        <v>17</v>
      </c>
      <c r="AB387" s="1">
        <v>2</v>
      </c>
      <c r="AD387" s="7">
        <f>0.12*298</f>
        <v>35.76</v>
      </c>
      <c r="AE387" s="7">
        <f>0.05*298</f>
        <v>14.9</v>
      </c>
      <c r="AF387" s="1">
        <v>2</v>
      </c>
      <c r="AK387" s="12">
        <v>6</v>
      </c>
      <c r="AT387" s="1" t="s">
        <v>228</v>
      </c>
    </row>
    <row r="388" spans="1:46">
      <c r="A388" s="1" t="s">
        <v>226</v>
      </c>
      <c r="B388" s="1" t="s">
        <v>3</v>
      </c>
      <c r="C388" s="1" t="s">
        <v>227</v>
      </c>
      <c r="D388" s="1" t="s">
        <v>222</v>
      </c>
      <c r="V388" s="7">
        <v>2810</v>
      </c>
      <c r="W388" s="7">
        <v>340</v>
      </c>
      <c r="X388" s="1">
        <v>2</v>
      </c>
      <c r="Z388" s="7">
        <f>0.4*34</f>
        <v>13.600000000000001</v>
      </c>
      <c r="AA388" s="7">
        <f>0.3*34</f>
        <v>10.199999999999999</v>
      </c>
      <c r="AB388" s="1">
        <v>2</v>
      </c>
      <c r="AD388" s="7">
        <f>0.03*298</f>
        <v>8.94</v>
      </c>
      <c r="AE388" s="7">
        <f>0.1*298</f>
        <v>29.8</v>
      </c>
      <c r="AF388" s="1">
        <v>2</v>
      </c>
      <c r="AK388" s="12">
        <v>6</v>
      </c>
      <c r="AT388" s="1" t="s">
        <v>228</v>
      </c>
    </row>
    <row r="389" spans="1:46">
      <c r="A389" s="1" t="s">
        <v>229</v>
      </c>
      <c r="B389" s="1" t="s">
        <v>3</v>
      </c>
      <c r="D389" s="1" t="s">
        <v>230</v>
      </c>
      <c r="M389" s="7">
        <f t="shared" ref="M389:M438" si="12">N389*12/44</f>
        <v>6</v>
      </c>
      <c r="N389" s="7">
        <f>6*44/12</f>
        <v>22</v>
      </c>
      <c r="R389" s="7">
        <f>1*44/12</f>
        <v>3.6666666666666665</v>
      </c>
      <c r="AK389" s="1"/>
      <c r="AT389" s="1" t="s">
        <v>231</v>
      </c>
    </row>
    <row r="390" spans="1:46">
      <c r="A390" s="1" t="s">
        <v>229</v>
      </c>
      <c r="B390" s="1" t="s">
        <v>3</v>
      </c>
      <c r="D390" s="1" t="s">
        <v>230</v>
      </c>
      <c r="M390" s="7">
        <f t="shared" si="12"/>
        <v>15</v>
      </c>
      <c r="N390" s="7">
        <f>15*44/12</f>
        <v>55</v>
      </c>
      <c r="R390" s="7">
        <f>8*44/12</f>
        <v>29.333333333333332</v>
      </c>
      <c r="AK390" s="1"/>
      <c r="AT390" s="1" t="s">
        <v>231</v>
      </c>
    </row>
    <row r="391" spans="1:46">
      <c r="A391" s="1" t="s">
        <v>229</v>
      </c>
      <c r="B391" s="1" t="s">
        <v>3</v>
      </c>
      <c r="D391" s="1" t="s">
        <v>230</v>
      </c>
      <c r="M391" s="7">
        <f t="shared" si="12"/>
        <v>13</v>
      </c>
      <c r="N391" s="7">
        <f>13*44/12</f>
        <v>47.666666666666664</v>
      </c>
      <c r="R391" s="7">
        <f>3*44/12</f>
        <v>11</v>
      </c>
      <c r="AK391" s="1"/>
      <c r="AT391" s="1" t="s">
        <v>231</v>
      </c>
    </row>
    <row r="392" spans="1:46">
      <c r="A392" s="1" t="s">
        <v>229</v>
      </c>
      <c r="B392" s="1" t="s">
        <v>3</v>
      </c>
      <c r="D392" s="1" t="s">
        <v>230</v>
      </c>
      <c r="M392" s="7">
        <f t="shared" si="12"/>
        <v>18</v>
      </c>
      <c r="N392" s="7">
        <f>18*44/12</f>
        <v>66</v>
      </c>
      <c r="R392" s="7">
        <f>1*44/12</f>
        <v>3.6666666666666665</v>
      </c>
      <c r="AK392" s="1"/>
      <c r="AT392" s="1" t="s">
        <v>231</v>
      </c>
    </row>
    <row r="393" spans="1:46">
      <c r="A393" s="1" t="s">
        <v>229</v>
      </c>
      <c r="B393" s="1" t="s">
        <v>3</v>
      </c>
      <c r="D393" s="1" t="s">
        <v>230</v>
      </c>
      <c r="M393" s="7">
        <f t="shared" si="12"/>
        <v>6</v>
      </c>
      <c r="N393" s="7">
        <f t="shared" ref="N393" si="13">6*44/12</f>
        <v>22</v>
      </c>
      <c r="R393" s="7">
        <f>4*44/12</f>
        <v>14.666666666666666</v>
      </c>
      <c r="AK393" s="1"/>
      <c r="AT393" s="1" t="s">
        <v>231</v>
      </c>
    </row>
    <row r="394" spans="1:46">
      <c r="A394" s="1" t="s">
        <v>229</v>
      </c>
      <c r="B394" s="1" t="s">
        <v>3</v>
      </c>
      <c r="D394" s="1" t="s">
        <v>230</v>
      </c>
      <c r="M394" s="7">
        <f t="shared" si="12"/>
        <v>13</v>
      </c>
      <c r="N394" s="7">
        <f>13*44/12</f>
        <v>47.666666666666664</v>
      </c>
      <c r="R394" s="7">
        <f>12*44/12</f>
        <v>44</v>
      </c>
      <c r="AK394" s="1"/>
      <c r="AT394" s="1" t="s">
        <v>231</v>
      </c>
    </row>
    <row r="395" spans="1:46">
      <c r="A395" s="1" t="s">
        <v>229</v>
      </c>
      <c r="B395" s="1" t="s">
        <v>3</v>
      </c>
      <c r="D395" s="1" t="s">
        <v>230</v>
      </c>
      <c r="M395" s="7">
        <f t="shared" si="12"/>
        <v>9</v>
      </c>
      <c r="N395" s="7">
        <f>9*44/12</f>
        <v>33</v>
      </c>
      <c r="R395" s="7">
        <f>3*44/12</f>
        <v>11</v>
      </c>
      <c r="AK395" s="1"/>
      <c r="AT395" s="1" t="s">
        <v>231</v>
      </c>
    </row>
    <row r="396" spans="1:46">
      <c r="A396" s="1" t="s">
        <v>229</v>
      </c>
      <c r="B396" s="1" t="s">
        <v>3</v>
      </c>
      <c r="D396" s="1" t="s">
        <v>230</v>
      </c>
      <c r="M396" s="7">
        <f t="shared" si="12"/>
        <v>4</v>
      </c>
      <c r="N396" s="7">
        <f>4*44/12</f>
        <v>14.666666666666666</v>
      </c>
      <c r="R396" s="7">
        <f>2*44/12</f>
        <v>7.333333333333333</v>
      </c>
      <c r="AK396" s="1"/>
      <c r="AT396" s="1" t="s">
        <v>231</v>
      </c>
    </row>
    <row r="397" spans="1:46">
      <c r="A397" s="1" t="s">
        <v>232</v>
      </c>
      <c r="B397" s="1" t="s">
        <v>3</v>
      </c>
      <c r="D397" s="1" t="s">
        <v>222</v>
      </c>
      <c r="M397" s="7">
        <f t="shared" si="12"/>
        <v>61.414999999999992</v>
      </c>
      <c r="N397" s="7">
        <f>71*44/12*0.865</f>
        <v>225.1883333333333</v>
      </c>
      <c r="O397" s="7">
        <f>11*44/12*0.865</f>
        <v>34.888333333333335</v>
      </c>
      <c r="R397" s="7">
        <f>71*44/12*0.135</f>
        <v>35.145000000000003</v>
      </c>
      <c r="S397" s="7">
        <f>11*44/12*0.135</f>
        <v>5.4450000000000003</v>
      </c>
      <c r="V397" s="7">
        <f>17100*44/12</f>
        <v>62700</v>
      </c>
      <c r="Z397" s="7">
        <f>401*16/12*34</f>
        <v>18178.666666666664</v>
      </c>
      <c r="AK397" s="12">
        <v>4.4000000000000004</v>
      </c>
      <c r="AT397" s="1" t="s">
        <v>233</v>
      </c>
    </row>
    <row r="398" spans="1:46">
      <c r="A398" s="1" t="s">
        <v>234</v>
      </c>
      <c r="B398" s="1" t="s">
        <v>3</v>
      </c>
      <c r="C398" s="1" t="s">
        <v>56</v>
      </c>
      <c r="D398" s="1" t="s">
        <v>230</v>
      </c>
      <c r="M398" s="7">
        <f t="shared" si="12"/>
        <v>87.63000000000001</v>
      </c>
      <c r="N398" s="7">
        <f>127*10^4/10^6*(230-161)*44/12</f>
        <v>321.31</v>
      </c>
      <c r="O398" s="7">
        <f>130*10^4/10^6*(230-161)*44/12</f>
        <v>328.90000000000003</v>
      </c>
      <c r="AK398" s="1"/>
      <c r="AT398" s="1" t="s">
        <v>235</v>
      </c>
    </row>
    <row r="399" spans="1:46">
      <c r="A399" s="1" t="s">
        <v>234</v>
      </c>
      <c r="B399" s="1" t="s">
        <v>3</v>
      </c>
      <c r="C399" s="1" t="s">
        <v>56</v>
      </c>
      <c r="D399" s="1" t="s">
        <v>230</v>
      </c>
      <c r="M399" s="7">
        <f t="shared" si="12"/>
        <v>112.2</v>
      </c>
      <c r="N399" s="7">
        <f>110*10^4/10^6*(230-128)*44/12</f>
        <v>411.40000000000003</v>
      </c>
      <c r="O399" s="7">
        <f>105*10^4/10^6*(230-128)*44/12</f>
        <v>392.70000000000005</v>
      </c>
      <c r="AK399" s="1"/>
      <c r="AT399" s="1" t="s">
        <v>235</v>
      </c>
    </row>
    <row r="400" spans="1:46">
      <c r="A400" s="1" t="s">
        <v>234</v>
      </c>
      <c r="B400" s="1" t="s">
        <v>3</v>
      </c>
      <c r="C400" s="1" t="s">
        <v>56</v>
      </c>
      <c r="D400" s="1" t="s">
        <v>230</v>
      </c>
      <c r="M400" s="7">
        <f t="shared" si="12"/>
        <v>92.820000000000007</v>
      </c>
      <c r="N400" s="7">
        <f>91*10^4/10^6*(230-128)*44/12</f>
        <v>340.34000000000003</v>
      </c>
      <c r="O400" s="7">
        <f>38*10^4/10^6*(230-128)*44/12</f>
        <v>142.11999999999998</v>
      </c>
      <c r="AK400" s="1"/>
      <c r="AT400" s="1" t="s">
        <v>235</v>
      </c>
    </row>
    <row r="401" spans="1:46">
      <c r="A401" s="1" t="s">
        <v>234</v>
      </c>
      <c r="B401" s="1" t="s">
        <v>3</v>
      </c>
      <c r="C401" s="1" t="s">
        <v>56</v>
      </c>
      <c r="D401" s="1" t="s">
        <v>230</v>
      </c>
      <c r="M401" s="7">
        <f t="shared" si="12"/>
        <v>106.07999999999998</v>
      </c>
      <c r="N401" s="7">
        <f>104*10^4/10^6*(230-128)*44/12</f>
        <v>388.96</v>
      </c>
      <c r="O401" s="7">
        <f>117*10^4/10^6*(230-128)*44/12</f>
        <v>437.57999999999993</v>
      </c>
      <c r="AK401" s="1"/>
      <c r="AT401" s="1" t="s">
        <v>235</v>
      </c>
    </row>
    <row r="402" spans="1:46">
      <c r="A402" s="1" t="s">
        <v>234</v>
      </c>
      <c r="B402" s="1" t="s">
        <v>3</v>
      </c>
      <c r="C402" s="1" t="s">
        <v>56</v>
      </c>
      <c r="D402" s="1" t="s">
        <v>230</v>
      </c>
      <c r="M402" s="7">
        <f t="shared" si="12"/>
        <v>83.64</v>
      </c>
      <c r="N402" s="7">
        <f>82*10^4/10^6*(230-128)*44/12</f>
        <v>306.68</v>
      </c>
      <c r="O402" s="7">
        <f>63*10^4/10^6*(230-128)*44/12</f>
        <v>235.62</v>
      </c>
      <c r="AK402" s="1"/>
      <c r="AT402" s="1" t="s">
        <v>235</v>
      </c>
    </row>
    <row r="403" spans="1:46">
      <c r="A403" s="1" t="s">
        <v>237</v>
      </c>
      <c r="B403" s="1" t="s">
        <v>3</v>
      </c>
      <c r="C403" s="1" t="s">
        <v>23</v>
      </c>
      <c r="D403" s="1" t="s">
        <v>236</v>
      </c>
      <c r="M403" s="7">
        <f t="shared" si="12"/>
        <v>382</v>
      </c>
      <c r="N403" s="7">
        <f>382*44/12</f>
        <v>1400.6666666666667</v>
      </c>
      <c r="O403" s="7">
        <f>108*44/12</f>
        <v>396</v>
      </c>
      <c r="AK403" s="1"/>
      <c r="AT403" s="1" t="s">
        <v>238</v>
      </c>
    </row>
    <row r="404" spans="1:46">
      <c r="A404" s="1" t="s">
        <v>237</v>
      </c>
      <c r="B404" s="1" t="s">
        <v>3</v>
      </c>
      <c r="C404" s="1" t="s">
        <v>23</v>
      </c>
      <c r="D404" s="1" t="s">
        <v>236</v>
      </c>
      <c r="M404" s="7">
        <f t="shared" si="12"/>
        <v>368</v>
      </c>
      <c r="N404" s="7">
        <f>368*44/12</f>
        <v>1349.3333333333333</v>
      </c>
      <c r="O404" s="7">
        <f>105*44/12</f>
        <v>385</v>
      </c>
      <c r="AK404" s="1"/>
      <c r="AT404" s="1" t="s">
        <v>238</v>
      </c>
    </row>
    <row r="405" spans="1:46">
      <c r="A405" s="1" t="s">
        <v>237</v>
      </c>
      <c r="B405" s="1" t="s">
        <v>3</v>
      </c>
      <c r="C405" s="1" t="s">
        <v>23</v>
      </c>
      <c r="D405" s="1" t="s">
        <v>236</v>
      </c>
      <c r="M405" s="7">
        <f t="shared" si="12"/>
        <v>364</v>
      </c>
      <c r="N405" s="7">
        <f>364*44/12</f>
        <v>1334.6666666666667</v>
      </c>
      <c r="O405" s="7">
        <f>103*44/12</f>
        <v>377.66666666666669</v>
      </c>
      <c r="AK405" s="1"/>
      <c r="AT405" s="1" t="s">
        <v>238</v>
      </c>
    </row>
    <row r="406" spans="1:46">
      <c r="A406" s="1" t="s">
        <v>237</v>
      </c>
      <c r="B406" s="1" t="s">
        <v>3</v>
      </c>
      <c r="C406" s="1" t="s">
        <v>23</v>
      </c>
      <c r="D406" s="1" t="s">
        <v>236</v>
      </c>
      <c r="M406" s="7">
        <f t="shared" si="12"/>
        <v>345</v>
      </c>
      <c r="N406" s="7">
        <f>345*44/12</f>
        <v>1265</v>
      </c>
      <c r="O406" s="7">
        <f>97*44/12</f>
        <v>355.66666666666669</v>
      </c>
      <c r="AK406" s="1"/>
      <c r="AT406" s="1" t="s">
        <v>238</v>
      </c>
    </row>
    <row r="407" spans="1:46">
      <c r="A407" s="1" t="s">
        <v>237</v>
      </c>
      <c r="B407" s="1" t="s">
        <v>3</v>
      </c>
      <c r="C407" s="1" t="s">
        <v>23</v>
      </c>
      <c r="D407" s="1" t="s">
        <v>236</v>
      </c>
      <c r="M407" s="7">
        <f t="shared" si="12"/>
        <v>421</v>
      </c>
      <c r="N407" s="7">
        <f>421*44/12</f>
        <v>1543.6666666666667</v>
      </c>
      <c r="O407" s="7">
        <f>119*44/12</f>
        <v>436.33333333333331</v>
      </c>
      <c r="AK407" s="1"/>
      <c r="AT407" s="1" t="s">
        <v>238</v>
      </c>
    </row>
    <row r="408" spans="1:46">
      <c r="A408" s="1" t="s">
        <v>237</v>
      </c>
      <c r="B408" s="1" t="s">
        <v>3</v>
      </c>
      <c r="C408" s="1" t="s">
        <v>23</v>
      </c>
      <c r="D408" s="1" t="s">
        <v>236</v>
      </c>
      <c r="M408" s="7">
        <f t="shared" si="12"/>
        <v>431</v>
      </c>
      <c r="N408" s="7">
        <f>431*44/12</f>
        <v>1580.3333333333333</v>
      </c>
      <c r="O408" s="7">
        <f>122*44/12</f>
        <v>447.33333333333331</v>
      </c>
      <c r="AK408" s="1"/>
      <c r="AT408" s="1" t="s">
        <v>238</v>
      </c>
    </row>
    <row r="409" spans="1:46">
      <c r="A409" s="1" t="s">
        <v>237</v>
      </c>
      <c r="B409" s="1" t="s">
        <v>3</v>
      </c>
      <c r="C409" s="1" t="s">
        <v>23</v>
      </c>
      <c r="D409" s="1" t="s">
        <v>236</v>
      </c>
      <c r="M409" s="7">
        <f t="shared" si="12"/>
        <v>563</v>
      </c>
      <c r="N409" s="7">
        <f>563*44/12</f>
        <v>2064.3333333333335</v>
      </c>
      <c r="O409" s="7">
        <f>159*44/12</f>
        <v>583</v>
      </c>
      <c r="AK409" s="1"/>
      <c r="AT409" s="1" t="s">
        <v>238</v>
      </c>
    </row>
    <row r="410" spans="1:46">
      <c r="A410" s="1" t="s">
        <v>237</v>
      </c>
      <c r="B410" s="1" t="s">
        <v>3</v>
      </c>
      <c r="C410" s="1" t="s">
        <v>23</v>
      </c>
      <c r="D410" s="1" t="s">
        <v>236</v>
      </c>
      <c r="M410" s="7">
        <f t="shared" si="12"/>
        <v>496</v>
      </c>
      <c r="N410" s="7">
        <f>496*44/12</f>
        <v>1818.6666666666667</v>
      </c>
      <c r="O410" s="7">
        <f>8*44/12</f>
        <v>29.333333333333332</v>
      </c>
      <c r="AK410" s="1"/>
      <c r="AT410" s="1" t="s">
        <v>238</v>
      </c>
    </row>
    <row r="411" spans="1:46">
      <c r="A411" s="1" t="s">
        <v>239</v>
      </c>
      <c r="B411" s="1" t="s">
        <v>3</v>
      </c>
      <c r="C411" s="1" t="s">
        <v>23</v>
      </c>
      <c r="D411" s="1" t="s">
        <v>200</v>
      </c>
      <c r="M411" s="7">
        <f t="shared" si="12"/>
        <v>177.00000000000003</v>
      </c>
      <c r="N411" s="7">
        <f>SUM(8.8,8.9)*10*44/12</f>
        <v>649.00000000000011</v>
      </c>
      <c r="R411" s="7">
        <f>21.8*10*44/12</f>
        <v>799.33333333333337</v>
      </c>
      <c r="AK411" s="1"/>
      <c r="AT411" s="1" t="s">
        <v>240</v>
      </c>
    </row>
    <row r="412" spans="1:46">
      <c r="A412" s="1" t="s">
        <v>239</v>
      </c>
      <c r="B412" s="1" t="s">
        <v>3</v>
      </c>
      <c r="C412" s="1" t="s">
        <v>23</v>
      </c>
      <c r="D412" s="1" t="s">
        <v>200</v>
      </c>
      <c r="M412" s="7">
        <f t="shared" si="12"/>
        <v>472</v>
      </c>
      <c r="N412" s="7">
        <f>SUM(30.5,16.7)*10*44/12</f>
        <v>1730.6666666666667</v>
      </c>
      <c r="R412" s="7">
        <f>48.3*10*44/12</f>
        <v>1771</v>
      </c>
      <c r="AK412" s="1"/>
      <c r="AT412" s="1" t="s">
        <v>240</v>
      </c>
    </row>
    <row r="413" spans="1:46">
      <c r="A413" s="1" t="s">
        <v>239</v>
      </c>
      <c r="B413" s="1" t="s">
        <v>3</v>
      </c>
      <c r="C413" s="1" t="s">
        <v>23</v>
      </c>
      <c r="D413" s="1" t="s">
        <v>200</v>
      </c>
      <c r="M413" s="7">
        <f t="shared" si="12"/>
        <v>141</v>
      </c>
      <c r="N413" s="7">
        <f>SUM(10.2,3.9)*10*44/12</f>
        <v>517</v>
      </c>
      <c r="R413" s="7">
        <f>15.5*10*44/12</f>
        <v>568.33333333333337</v>
      </c>
      <c r="AK413" s="1"/>
      <c r="AT413" s="1" t="s">
        <v>240</v>
      </c>
    </row>
    <row r="414" spans="1:46">
      <c r="A414" s="1" t="s">
        <v>239</v>
      </c>
      <c r="B414" s="1" t="s">
        <v>3</v>
      </c>
      <c r="C414" s="1" t="s">
        <v>23</v>
      </c>
      <c r="D414" s="1" t="s">
        <v>200</v>
      </c>
      <c r="M414" s="7">
        <f t="shared" si="12"/>
        <v>351</v>
      </c>
      <c r="N414" s="7">
        <f>SUM(15.5,19.6)*10*44/12</f>
        <v>1287</v>
      </c>
      <c r="R414" s="7">
        <f>45.3*10*44/12</f>
        <v>1661</v>
      </c>
      <c r="AK414" s="1"/>
      <c r="AT414" s="1" t="s">
        <v>240</v>
      </c>
    </row>
    <row r="415" spans="1:46">
      <c r="A415" s="1" t="s">
        <v>239</v>
      </c>
      <c r="B415" s="1" t="s">
        <v>3</v>
      </c>
      <c r="C415" s="1" t="s">
        <v>23</v>
      </c>
      <c r="D415" s="1" t="s">
        <v>200</v>
      </c>
      <c r="M415" s="7">
        <f t="shared" si="12"/>
        <v>433</v>
      </c>
      <c r="N415" s="7">
        <f>SUM(26.5,16.8)*10*44/12</f>
        <v>1587.6666666666667</v>
      </c>
      <c r="R415" s="7">
        <f>34.9*10*44/12</f>
        <v>1279.6666666666667</v>
      </c>
      <c r="AK415" s="1"/>
      <c r="AT415" s="1" t="s">
        <v>240</v>
      </c>
    </row>
    <row r="416" spans="1:46">
      <c r="A416" s="1" t="s">
        <v>239</v>
      </c>
      <c r="B416" s="1" t="s">
        <v>3</v>
      </c>
      <c r="C416" s="1" t="s">
        <v>23</v>
      </c>
      <c r="D416" s="1" t="s">
        <v>200</v>
      </c>
      <c r="M416" s="7">
        <f t="shared" si="12"/>
        <v>448</v>
      </c>
      <c r="N416" s="7">
        <f>SUM(30.6,14.2)*10*44/12</f>
        <v>1642.6666666666667</v>
      </c>
      <c r="R416" s="7">
        <f>44.6*10*44/12</f>
        <v>1635.3333333333333</v>
      </c>
      <c r="AK416" s="1"/>
      <c r="AT416" s="1" t="s">
        <v>240</v>
      </c>
    </row>
    <row r="417" spans="1:46">
      <c r="A417" s="1" t="s">
        <v>239</v>
      </c>
      <c r="B417" s="1" t="s">
        <v>3</v>
      </c>
      <c r="C417" s="1" t="s">
        <v>23</v>
      </c>
      <c r="D417" s="1" t="s">
        <v>200</v>
      </c>
      <c r="M417" s="7">
        <f t="shared" si="12"/>
        <v>137</v>
      </c>
      <c r="N417" s="7">
        <f>SUM(7,6.7)*10*44/12</f>
        <v>502.33333333333331</v>
      </c>
      <c r="R417" s="7">
        <f>17.3*10*44/12</f>
        <v>634.33333333333337</v>
      </c>
      <c r="AK417" s="1"/>
      <c r="AT417" s="1" t="s">
        <v>240</v>
      </c>
    </row>
    <row r="418" spans="1:46">
      <c r="A418" s="1" t="s">
        <v>239</v>
      </c>
      <c r="B418" s="1" t="s">
        <v>3</v>
      </c>
      <c r="C418" s="1" t="s">
        <v>23</v>
      </c>
      <c r="D418" s="1" t="s">
        <v>200</v>
      </c>
      <c r="M418" s="7">
        <f t="shared" si="12"/>
        <v>242</v>
      </c>
      <c r="N418" s="7">
        <f>SUM(16,8.2)*10*44/12</f>
        <v>887.33333333333337</v>
      </c>
      <c r="R418" s="7">
        <f>25.6*10*44/12</f>
        <v>938.66666666666663</v>
      </c>
      <c r="AK418" s="1"/>
      <c r="AT418" s="1" t="s">
        <v>240</v>
      </c>
    </row>
    <row r="419" spans="1:46">
      <c r="A419" s="1" t="s">
        <v>239</v>
      </c>
      <c r="B419" s="1" t="s">
        <v>3</v>
      </c>
      <c r="C419" s="1" t="s">
        <v>23</v>
      </c>
      <c r="D419" s="1" t="s">
        <v>200</v>
      </c>
      <c r="M419" s="7">
        <f t="shared" si="12"/>
        <v>64</v>
      </c>
      <c r="N419" s="7">
        <f>SUM(4.3,2.1)*10*44/12</f>
        <v>234.66666666666666</v>
      </c>
      <c r="R419" s="7">
        <f>6.9*10*44/12</f>
        <v>253</v>
      </c>
      <c r="AK419" s="1"/>
      <c r="AT419" s="1" t="s">
        <v>240</v>
      </c>
    </row>
    <row r="420" spans="1:46">
      <c r="A420" s="1" t="s">
        <v>239</v>
      </c>
      <c r="B420" s="1" t="s">
        <v>3</v>
      </c>
      <c r="C420" s="1" t="s">
        <v>23</v>
      </c>
      <c r="D420" s="1" t="s">
        <v>200</v>
      </c>
      <c r="M420" s="7">
        <f t="shared" si="12"/>
        <v>279</v>
      </c>
      <c r="N420" s="7">
        <f>SUM(9.6,18.3)*10*44/12</f>
        <v>1023</v>
      </c>
      <c r="R420" s="7">
        <f>20.2*10*44/12</f>
        <v>740.66666666666663</v>
      </c>
      <c r="AK420" s="1"/>
      <c r="AT420" s="1" t="s">
        <v>240</v>
      </c>
    </row>
    <row r="421" spans="1:46">
      <c r="A421" s="1" t="s">
        <v>239</v>
      </c>
      <c r="B421" s="1" t="s">
        <v>3</v>
      </c>
      <c r="C421" s="1" t="s">
        <v>23</v>
      </c>
      <c r="D421" s="1" t="s">
        <v>200</v>
      </c>
      <c r="M421" s="7">
        <f t="shared" si="12"/>
        <v>164</v>
      </c>
      <c r="N421" s="7">
        <f>SUM(6.3,10.1)*10*44/12</f>
        <v>601.33333333333337</v>
      </c>
      <c r="R421" s="7">
        <f>16.3*10*44/12</f>
        <v>597.66666666666663</v>
      </c>
      <c r="AK421" s="1"/>
      <c r="AT421" s="1" t="s">
        <v>240</v>
      </c>
    </row>
    <row r="422" spans="1:46">
      <c r="A422" s="1" t="s">
        <v>239</v>
      </c>
      <c r="B422" s="1" t="s">
        <v>3</v>
      </c>
      <c r="C422" s="1" t="s">
        <v>23</v>
      </c>
      <c r="D422" s="1" t="s">
        <v>200</v>
      </c>
      <c r="M422" s="7">
        <f t="shared" si="12"/>
        <v>145</v>
      </c>
      <c r="N422" s="7">
        <f>SUM(8.6,5.9)*10*44/12</f>
        <v>531.66666666666663</v>
      </c>
      <c r="R422" s="7">
        <f>13.1*10*44/12</f>
        <v>480.33333333333331</v>
      </c>
      <c r="AK422" s="1"/>
      <c r="AT422" s="1" t="s">
        <v>240</v>
      </c>
    </row>
    <row r="423" spans="1:46">
      <c r="A423" s="1" t="s">
        <v>239</v>
      </c>
      <c r="B423" s="1" t="s">
        <v>3</v>
      </c>
      <c r="C423" s="1" t="s">
        <v>23</v>
      </c>
      <c r="D423" s="1" t="s">
        <v>200</v>
      </c>
      <c r="M423" s="7">
        <f t="shared" si="12"/>
        <v>321</v>
      </c>
      <c r="N423" s="7">
        <f>SUM(19.8,12.3)*10*44/12</f>
        <v>1177</v>
      </c>
      <c r="R423" s="7">
        <f>30.7*10*44/12</f>
        <v>1125.6666666666667</v>
      </c>
      <c r="AK423" s="1"/>
      <c r="AT423" s="1" t="s">
        <v>240</v>
      </c>
    </row>
    <row r="424" spans="1:46">
      <c r="A424" s="1" t="s">
        <v>242</v>
      </c>
      <c r="B424" s="1" t="s">
        <v>3</v>
      </c>
      <c r="C424" s="1" t="s">
        <v>23</v>
      </c>
      <c r="D424" s="1" t="s">
        <v>236</v>
      </c>
      <c r="M424" s="7">
        <f t="shared" si="12"/>
        <v>610</v>
      </c>
      <c r="N424" s="7">
        <f>610*44/12</f>
        <v>2236.6666666666665</v>
      </c>
      <c r="O424" s="7">
        <f>100*44/12</f>
        <v>366.66666666666669</v>
      </c>
      <c r="V424" s="7">
        <f>410*44/12</f>
        <v>1503.3333333333333</v>
      </c>
      <c r="W424" s="7">
        <f>230*44/12</f>
        <v>843.33333333333337</v>
      </c>
      <c r="AK424" s="1"/>
      <c r="AT424" s="1" t="s">
        <v>241</v>
      </c>
    </row>
    <row r="425" spans="1:46">
      <c r="A425" s="1" t="s">
        <v>242</v>
      </c>
      <c r="B425" s="1" t="s">
        <v>3</v>
      </c>
      <c r="C425" s="1" t="s">
        <v>23</v>
      </c>
      <c r="D425" s="1" t="s">
        <v>236</v>
      </c>
      <c r="M425" s="7">
        <f t="shared" si="12"/>
        <v>660</v>
      </c>
      <c r="N425" s="7">
        <f>660*44/12</f>
        <v>2420</v>
      </c>
      <c r="O425" s="7">
        <f>90*44/12</f>
        <v>330</v>
      </c>
      <c r="V425" s="7">
        <f>180*44/12</f>
        <v>660</v>
      </c>
      <c r="W425" s="7">
        <f>90*44/12</f>
        <v>330</v>
      </c>
      <c r="AK425" s="1"/>
      <c r="AT425" s="1" t="s">
        <v>241</v>
      </c>
    </row>
    <row r="426" spans="1:46">
      <c r="A426" s="1" t="s">
        <v>243</v>
      </c>
      <c r="B426" s="1" t="s">
        <v>3</v>
      </c>
      <c r="C426" s="1" t="s">
        <v>56</v>
      </c>
      <c r="D426" s="1" t="s">
        <v>230</v>
      </c>
      <c r="M426" s="7">
        <f t="shared" si="12"/>
        <v>97.5</v>
      </c>
      <c r="N426" s="7">
        <f>97.5*44/12</f>
        <v>357.5</v>
      </c>
      <c r="O426" s="7">
        <f>8.4*44/12</f>
        <v>30.8</v>
      </c>
      <c r="AK426" s="1"/>
      <c r="AT426" s="1" t="s">
        <v>244</v>
      </c>
    </row>
    <row r="427" spans="1:46">
      <c r="A427" s="1" t="s">
        <v>243</v>
      </c>
      <c r="B427" s="1" t="s">
        <v>3</v>
      </c>
      <c r="C427" s="1" t="s">
        <v>56</v>
      </c>
      <c r="D427" s="1" t="s">
        <v>230</v>
      </c>
      <c r="M427" s="7">
        <f t="shared" si="12"/>
        <v>116.5</v>
      </c>
      <c r="N427" s="7">
        <f>116.5*44/12</f>
        <v>427.16666666666669</v>
      </c>
      <c r="O427" s="7">
        <f>16.8*44/12</f>
        <v>61.6</v>
      </c>
      <c r="AK427" s="1"/>
      <c r="AT427" s="1" t="s">
        <v>244</v>
      </c>
    </row>
    <row r="428" spans="1:46">
      <c r="A428" s="1" t="s">
        <v>245</v>
      </c>
      <c r="B428" s="1" t="s">
        <v>3</v>
      </c>
      <c r="C428" s="1" t="s">
        <v>224</v>
      </c>
      <c r="D428" s="1" t="s">
        <v>230</v>
      </c>
      <c r="M428" s="7">
        <f t="shared" si="12"/>
        <v>208.91000000000003</v>
      </c>
      <c r="N428" s="7">
        <f>SUM(198.58,10.33)*44/12</f>
        <v>766.00333333333344</v>
      </c>
      <c r="R428" s="7">
        <f>2.66*44/12</f>
        <v>9.7533333333333339</v>
      </c>
      <c r="AK428" s="1"/>
      <c r="AT428" s="1" t="s">
        <v>246</v>
      </c>
    </row>
    <row r="429" spans="1:46">
      <c r="A429" s="1" t="s">
        <v>245</v>
      </c>
      <c r="B429" s="1" t="s">
        <v>3</v>
      </c>
      <c r="C429" s="1" t="s">
        <v>224</v>
      </c>
      <c r="D429" s="1" t="s">
        <v>230</v>
      </c>
      <c r="M429" s="7">
        <f t="shared" si="12"/>
        <v>143.71</v>
      </c>
      <c r="N429" s="7">
        <f>SUM(134.63,9.08)*44/12</f>
        <v>526.93666666666672</v>
      </c>
      <c r="R429" s="7">
        <f>2.51*44/12</f>
        <v>9.2033333333333331</v>
      </c>
      <c r="AK429" s="1"/>
      <c r="AT429" s="1" t="s">
        <v>246</v>
      </c>
    </row>
    <row r="430" spans="1:46">
      <c r="A430" s="1" t="s">
        <v>245</v>
      </c>
      <c r="B430" s="1" t="s">
        <v>3</v>
      </c>
      <c r="C430" s="1" t="s">
        <v>224</v>
      </c>
      <c r="D430" s="1" t="s">
        <v>230</v>
      </c>
      <c r="M430" s="7">
        <f t="shared" si="12"/>
        <v>113.91000000000003</v>
      </c>
      <c r="N430" s="7">
        <f>SUM(110.04,3.87)*44/12</f>
        <v>417.67000000000007</v>
      </c>
      <c r="R430" s="7">
        <f>3.45*44/12</f>
        <v>12.65</v>
      </c>
      <c r="AK430" s="1"/>
      <c r="AT430" s="1" t="s">
        <v>246</v>
      </c>
    </row>
    <row r="431" spans="1:46">
      <c r="A431" s="1" t="s">
        <v>245</v>
      </c>
      <c r="B431" s="1" t="s">
        <v>3</v>
      </c>
      <c r="C431" s="1" t="s">
        <v>224</v>
      </c>
      <c r="D431" s="1" t="s">
        <v>230</v>
      </c>
      <c r="M431" s="7">
        <f t="shared" si="12"/>
        <v>155.74000000000004</v>
      </c>
      <c r="N431" s="7">
        <f>SUM(135.61,20.13)*44/12</f>
        <v>571.04666666666674</v>
      </c>
      <c r="R431" s="7">
        <f>5.18*44/12</f>
        <v>18.993333333333332</v>
      </c>
      <c r="AK431" s="1"/>
      <c r="AT431" s="1" t="s">
        <v>246</v>
      </c>
    </row>
    <row r="432" spans="1:46">
      <c r="A432" s="1" t="s">
        <v>245</v>
      </c>
      <c r="B432" s="1" t="s">
        <v>3</v>
      </c>
      <c r="C432" s="1" t="s">
        <v>224</v>
      </c>
      <c r="D432" s="1" t="s">
        <v>230</v>
      </c>
      <c r="M432" s="7">
        <f t="shared" si="12"/>
        <v>198.62</v>
      </c>
      <c r="N432" s="7">
        <f>SUM(178.59,20.03)*44/12</f>
        <v>728.27333333333343</v>
      </c>
      <c r="R432" s="7">
        <f>7.47*44/12</f>
        <v>27.39</v>
      </c>
      <c r="AK432" s="1"/>
      <c r="AT432" s="1" t="s">
        <v>246</v>
      </c>
    </row>
    <row r="433" spans="1:46">
      <c r="A433" s="1" t="s">
        <v>247</v>
      </c>
      <c r="B433" s="1" t="s">
        <v>3</v>
      </c>
      <c r="C433" s="1" t="s">
        <v>194</v>
      </c>
      <c r="D433" s="1" t="s">
        <v>190</v>
      </c>
      <c r="M433" s="7">
        <f t="shared" si="12"/>
        <v>120</v>
      </c>
      <c r="N433" s="7">
        <f>120*44/12</f>
        <v>440</v>
      </c>
      <c r="AK433" s="1"/>
      <c r="AT433" s="1" t="s">
        <v>248</v>
      </c>
    </row>
    <row r="434" spans="1:46">
      <c r="A434" s="1" t="s">
        <v>249</v>
      </c>
      <c r="B434" s="1" t="s">
        <v>3</v>
      </c>
      <c r="C434" s="1" t="s">
        <v>171</v>
      </c>
      <c r="D434" s="1" t="s">
        <v>185</v>
      </c>
      <c r="I434" s="1" t="s">
        <v>91</v>
      </c>
      <c r="J434" s="7">
        <f>2250*44/12</f>
        <v>8250</v>
      </c>
      <c r="K434" s="7">
        <f>600*44/12</f>
        <v>2200</v>
      </c>
      <c r="L434" s="1">
        <v>4</v>
      </c>
      <c r="M434" s="7">
        <f t="shared" si="12"/>
        <v>245</v>
      </c>
      <c r="N434" s="7">
        <f>SUM(18.1,6.4)*10*44/12</f>
        <v>898.33333333333337</v>
      </c>
      <c r="O434" s="7">
        <f>SQRT(3.2^2+2.7^2)*10*44/12</f>
        <v>153.51909038002771</v>
      </c>
      <c r="P434" s="1">
        <v>4</v>
      </c>
      <c r="R434" s="7">
        <f>61*44/12</f>
        <v>223.66666666666666</v>
      </c>
      <c r="S434" s="7">
        <f>6*44/12</f>
        <v>22</v>
      </c>
      <c r="T434" s="1">
        <v>4</v>
      </c>
      <c r="V434" s="7">
        <f>134*44/12</f>
        <v>491.33333333333331</v>
      </c>
      <c r="W434" s="7">
        <f>32*44/12</f>
        <v>117.33333333333333</v>
      </c>
      <c r="X434" s="1">
        <v>4</v>
      </c>
      <c r="AH434" s="23">
        <f>36*16/12*34</f>
        <v>1632</v>
      </c>
      <c r="AK434" s="1"/>
      <c r="AT434" s="1" t="s">
        <v>250</v>
      </c>
    </row>
    <row r="435" spans="1:46">
      <c r="A435" s="1" t="s">
        <v>249</v>
      </c>
      <c r="B435" s="1" t="s">
        <v>3</v>
      </c>
      <c r="C435" s="1" t="s">
        <v>171</v>
      </c>
      <c r="D435" s="1" t="s">
        <v>185</v>
      </c>
      <c r="I435" s="1" t="s">
        <v>91</v>
      </c>
      <c r="J435" s="7">
        <f>1740*44/12</f>
        <v>6380</v>
      </c>
      <c r="K435" s="7">
        <f>250*44/12</f>
        <v>916.66666666666663</v>
      </c>
      <c r="L435" s="1">
        <v>4</v>
      </c>
      <c r="M435" s="7">
        <f t="shared" si="12"/>
        <v>245</v>
      </c>
      <c r="N435" s="7">
        <f t="shared" ref="N435" si="14">SUM(18.1,6.4)*10*44/12</f>
        <v>898.33333333333337</v>
      </c>
      <c r="O435" s="7">
        <f t="shared" ref="O435" si="15">SQRT(3.2^2+2.7^2)*10*44/12</f>
        <v>153.51909038002771</v>
      </c>
      <c r="P435" s="1">
        <v>4</v>
      </c>
      <c r="R435" s="7">
        <f t="shared" ref="R435" si="16">61*44/12</f>
        <v>223.66666666666666</v>
      </c>
      <c r="S435" s="7">
        <f>6*44/12</f>
        <v>22</v>
      </c>
      <c r="T435" s="1">
        <v>4</v>
      </c>
      <c r="V435" s="7">
        <f t="shared" ref="V435" si="17">134*44/12</f>
        <v>491.33333333333331</v>
      </c>
      <c r="W435" s="7">
        <f>32*44/12</f>
        <v>117.33333333333333</v>
      </c>
      <c r="X435" s="1">
        <v>4</v>
      </c>
      <c r="AH435" s="23">
        <f t="shared" ref="AH435:AH438" si="18">36*16/12*34</f>
        <v>1632</v>
      </c>
      <c r="AK435" s="1"/>
      <c r="AT435" s="1" t="s">
        <v>250</v>
      </c>
    </row>
    <row r="436" spans="1:46">
      <c r="A436" s="1" t="s">
        <v>249</v>
      </c>
      <c r="B436" s="1" t="s">
        <v>3</v>
      </c>
      <c r="C436" s="1" t="s">
        <v>171</v>
      </c>
      <c r="D436" s="1" t="s">
        <v>185</v>
      </c>
      <c r="I436" s="1" t="s">
        <v>91</v>
      </c>
      <c r="J436" s="7">
        <f>3510*44/12</f>
        <v>12870</v>
      </c>
      <c r="K436" s="7">
        <f>400*44/12</f>
        <v>1466.6666666666667</v>
      </c>
      <c r="L436" s="1">
        <v>4</v>
      </c>
      <c r="M436" s="7">
        <f t="shared" si="12"/>
        <v>456</v>
      </c>
      <c r="N436" s="7">
        <f>SUM(37.7,7.9)*10*44/12</f>
        <v>1672</v>
      </c>
      <c r="O436" s="7">
        <f>SQRT(9^2+3.7^2)*10*44/12</f>
        <v>356.7988851502264</v>
      </c>
      <c r="P436" s="1">
        <v>4</v>
      </c>
      <c r="R436" s="7">
        <f>199*44/12</f>
        <v>729.66666666666663</v>
      </c>
      <c r="S436" s="7">
        <f>37*44/12</f>
        <v>135.66666666666666</v>
      </c>
      <c r="T436" s="1">
        <v>4</v>
      </c>
      <c r="V436" s="7">
        <f>43*44/12</f>
        <v>157.66666666666666</v>
      </c>
      <c r="W436" s="7">
        <f>9*44/12</f>
        <v>33</v>
      </c>
      <c r="X436" s="1">
        <v>4</v>
      </c>
      <c r="AH436" s="23">
        <f>95*16/12*34</f>
        <v>4306.666666666667</v>
      </c>
      <c r="AK436" s="1"/>
      <c r="AT436" s="1" t="s">
        <v>250</v>
      </c>
    </row>
    <row r="437" spans="1:46">
      <c r="A437" s="1" t="s">
        <v>249</v>
      </c>
      <c r="B437" s="1" t="s">
        <v>3</v>
      </c>
      <c r="C437" s="1" t="s">
        <v>171</v>
      </c>
      <c r="D437" s="1" t="s">
        <v>185</v>
      </c>
      <c r="I437" s="1" t="s">
        <v>91</v>
      </c>
      <c r="J437" s="7">
        <f>1850*44/12</f>
        <v>6783.333333333333</v>
      </c>
      <c r="K437" s="7">
        <f>360*44/12</f>
        <v>1320</v>
      </c>
      <c r="L437" s="1">
        <v>4</v>
      </c>
      <c r="M437" s="7">
        <f t="shared" si="12"/>
        <v>69</v>
      </c>
      <c r="N437" s="7">
        <f>SUM(4.9,2)*10*44/12</f>
        <v>253</v>
      </c>
      <c r="O437" s="7">
        <f>SQRT(0.26^2+2.7^2)*10*44/12</f>
        <v>99.457953148274896</v>
      </c>
      <c r="P437" s="1">
        <v>4</v>
      </c>
      <c r="R437" s="7">
        <f>54*44/12</f>
        <v>198</v>
      </c>
      <c r="S437" s="7">
        <f>3*44/12</f>
        <v>11</v>
      </c>
      <c r="T437" s="1">
        <v>4</v>
      </c>
      <c r="V437" s="7">
        <f>185*44/12</f>
        <v>678.33333333333337</v>
      </c>
      <c r="W437" s="7">
        <f>30*44/12</f>
        <v>110</v>
      </c>
      <c r="X437" s="1">
        <v>4</v>
      </c>
      <c r="AH437" s="23">
        <f t="shared" si="18"/>
        <v>1632</v>
      </c>
      <c r="AK437" s="1"/>
      <c r="AT437" s="1" t="s">
        <v>250</v>
      </c>
    </row>
    <row r="438" spans="1:46">
      <c r="A438" s="1" t="s">
        <v>249</v>
      </c>
      <c r="B438" s="1" t="s">
        <v>3</v>
      </c>
      <c r="C438" s="1" t="s">
        <v>171</v>
      </c>
      <c r="D438" s="1" t="s">
        <v>185</v>
      </c>
      <c r="I438" s="1" t="s">
        <v>91</v>
      </c>
      <c r="J438" s="7">
        <f>1370*44/12</f>
        <v>5023.333333333333</v>
      </c>
      <c r="K438" s="7">
        <f>280*44/12</f>
        <v>1026.6666666666667</v>
      </c>
      <c r="L438" s="1">
        <v>4</v>
      </c>
      <c r="M438" s="7">
        <f t="shared" si="12"/>
        <v>69</v>
      </c>
      <c r="N438" s="7">
        <f>SUM(4.9,2)*10*44/12</f>
        <v>253</v>
      </c>
      <c r="O438" s="7">
        <f>SQRT(0.26^2+2.7^2)*10*44/12</f>
        <v>99.457953148274896</v>
      </c>
      <c r="P438" s="1">
        <v>4</v>
      </c>
      <c r="R438" s="7">
        <f>54*44/12</f>
        <v>198</v>
      </c>
      <c r="S438" s="7">
        <f>3*44/12</f>
        <v>11</v>
      </c>
      <c r="T438" s="1">
        <v>4</v>
      </c>
      <c r="V438" s="7">
        <f>185*44/12</f>
        <v>678.33333333333337</v>
      </c>
      <c r="W438" s="7">
        <f>30*44/12</f>
        <v>110</v>
      </c>
      <c r="X438" s="1">
        <v>4</v>
      </c>
      <c r="AH438" s="23">
        <f t="shared" si="18"/>
        <v>1632</v>
      </c>
      <c r="AK438" s="1"/>
      <c r="AT438" s="1" t="s">
        <v>250</v>
      </c>
    </row>
    <row r="439" spans="1:46">
      <c r="A439" s="1" t="s">
        <v>351</v>
      </c>
      <c r="B439" s="1" t="s">
        <v>3</v>
      </c>
      <c r="C439" s="1" t="s">
        <v>171</v>
      </c>
      <c r="D439" s="1" t="s">
        <v>6</v>
      </c>
      <c r="I439" s="1" t="s">
        <v>91</v>
      </c>
      <c r="J439" s="7">
        <f>640*44/12</f>
        <v>2346.6666666666665</v>
      </c>
      <c r="AH439" s="23"/>
      <c r="AK439" s="1"/>
      <c r="AT439" s="1" t="s">
        <v>354</v>
      </c>
    </row>
    <row r="440" spans="1:46">
      <c r="A440" s="1" t="s">
        <v>352</v>
      </c>
      <c r="B440" s="1" t="s">
        <v>3</v>
      </c>
      <c r="C440" s="1" t="s">
        <v>171</v>
      </c>
      <c r="D440" s="1" t="s">
        <v>6</v>
      </c>
      <c r="I440" s="1" t="s">
        <v>91</v>
      </c>
      <c r="J440" s="7">
        <f>2350*44/12</f>
        <v>8616.6666666666661</v>
      </c>
      <c r="AH440" s="23"/>
      <c r="AK440" s="1"/>
      <c r="AT440" s="1" t="s">
        <v>355</v>
      </c>
    </row>
    <row r="441" spans="1:46">
      <c r="A441" s="1" t="s">
        <v>352</v>
      </c>
      <c r="B441" s="1" t="s">
        <v>3</v>
      </c>
      <c r="C441" s="1" t="s">
        <v>23</v>
      </c>
      <c r="D441" s="1" t="s">
        <v>6</v>
      </c>
      <c r="I441" s="1" t="s">
        <v>91</v>
      </c>
      <c r="J441" s="7">
        <f>4290*44/12</f>
        <v>15730</v>
      </c>
      <c r="AH441" s="23"/>
      <c r="AK441" s="1"/>
      <c r="AT441" s="1" t="s">
        <v>355</v>
      </c>
    </row>
    <row r="442" spans="1:46">
      <c r="A442" s="1" t="s">
        <v>353</v>
      </c>
      <c r="B442" s="1" t="s">
        <v>3</v>
      </c>
      <c r="C442" s="1" t="s">
        <v>23</v>
      </c>
      <c r="D442" s="1" t="s">
        <v>6</v>
      </c>
      <c r="I442" s="1" t="s">
        <v>91</v>
      </c>
      <c r="J442" s="7">
        <f>5590*44/12</f>
        <v>20496.666666666668</v>
      </c>
      <c r="AH442" s="23"/>
      <c r="AK442" s="1"/>
      <c r="AT442" s="1" t="s">
        <v>356</v>
      </c>
    </row>
    <row r="443" spans="1:46">
      <c r="A443" s="1" t="s">
        <v>352</v>
      </c>
      <c r="B443" s="1" t="s">
        <v>3</v>
      </c>
      <c r="C443" s="1" t="s">
        <v>23</v>
      </c>
      <c r="D443" s="1" t="s">
        <v>6</v>
      </c>
      <c r="I443" s="1" t="s">
        <v>91</v>
      </c>
      <c r="J443" s="7">
        <f>670*44/12</f>
        <v>2456.6666666666665</v>
      </c>
      <c r="AT443" s="1" t="s">
        <v>355</v>
      </c>
    </row>
    <row r="445" spans="1:46">
      <c r="A445" s="1" t="s">
        <v>323</v>
      </c>
      <c r="J445" s="7">
        <f>AVERAGEA(J76,J77,J88,J89,J90,J91,J92,J139,J140,J141,J142)</f>
        <v>5580.3137541636197</v>
      </c>
      <c r="K445" s="7">
        <f>STDEVA(J76,J77,J88,J89,J90,J91,J92,J139,J140,J141,J142)/SQRT(COUNT(J76,J77,J88,J89,J90,J91,J92,J139,J140,J141,J142))</f>
        <v>891.1926817726096</v>
      </c>
      <c r="N445" s="7">
        <f>AVERAGEA(N16,N381,N382,N383,N384,N385,N386,N387,N397,N433)</f>
        <v>267.63549999999998</v>
      </c>
      <c r="O445" s="7">
        <f>STDEVA(N16,N381,N382,N383,N384,N385,N386,N387,N397,N433)/SQRT(COUNT(N16,N381,N382,N383,N384,N385,N386,N387,N397,N433))</f>
        <v>41.839224047441121</v>
      </c>
      <c r="R445" s="7">
        <f>R397</f>
        <v>35.145000000000003</v>
      </c>
      <c r="S445" s="7">
        <f>S397</f>
        <v>5.4450000000000003</v>
      </c>
      <c r="V445" s="7">
        <f>AVERAGEA(V381:V388)</f>
        <v>4425</v>
      </c>
      <c r="W445" s="7">
        <f>STDEVA(V381:V388)/SQRT(COUNT(V381:V388))</f>
        <v>773.88168161732392</v>
      </c>
      <c r="Z445" s="7">
        <f>AVERAGEA(Z43,Z304:Z306,Z308:Z309,Z312:Z313,Z315:Z317,Z336,Z339:Z341,Z344,Z381:Z388,Z397)</f>
        <v>8503.2066533333327</v>
      </c>
      <c r="AA445" s="7">
        <f>STDEVA(Z43,Z304:Z306,Z308:Z309,Z312:Z313,Z315:Z317,Z336,Z339:Z341,Z344,Z381:Z388,Z397)/SQRT(COUNT(Z43,Z304:Z306,Z308:Z309,Z312:Z313,Z315:Z317,Z336,Z339:Z341,Z344,Z381:Z388,Z397))</f>
        <v>2589.8056906949537</v>
      </c>
      <c r="AD445" s="7">
        <f>AVERAGEA(AD356:AD388)</f>
        <v>211.897274187926</v>
      </c>
      <c r="AE445" s="7">
        <f>STDEVA(AD356:AD388)/SQRT(COUNT(AD356:AD388))</f>
        <v>29.154557296985722</v>
      </c>
      <c r="AK445" s="12">
        <f>AVERAGEA(AK397,AK43,AK296,AK297,AK304,AK305,AK306,AK308,AK309,AK312,AK313,AK315,AK316,AK317,AK336,AK344,AK381,AK382,AK383,AK384,AK385,AK386,AK387,AK388)</f>
        <v>4.2041666666666666</v>
      </c>
      <c r="AL445" s="12">
        <f>STDEVA(AK397,AK43,AK296,AK297,AK304,AK305,AK306,AK308,AK309,AK312,AK313,AK315,AK316,AK317,AK336,AK344,AK381,AK382,AK383,AK384,AK385,AK386,AK387,AK388)/SQRT(COUNT(AK397,AK43,AK296,AK297,AK304,AK305,AK306,AK308,AK309,AK312,AK313,AK315,AK316,AK317,AK336,AK344,AK381,AK382,AK383,AK384,AK385,AK386,AK387,AK388))</f>
        <v>0.34945501911758736</v>
      </c>
    </row>
    <row r="446" spans="1:46">
      <c r="A446" s="1" t="s">
        <v>324</v>
      </c>
      <c r="V446" s="7">
        <f>V445*$AK445/100</f>
        <v>186.03437500000001</v>
      </c>
      <c r="W446" s="7">
        <f>SQRT(($AK445/100)^2*W445^2+V445^2*($AL445/100)^2)</f>
        <v>36.023054116869488</v>
      </c>
      <c r="Z446" s="7">
        <f>Z445*$AK445/100</f>
        <v>357.48897971722215</v>
      </c>
      <c r="AA446" s="7">
        <f>SQRT(($AK445/100)^2*AA445^2+Z445^2*($AL445/100)^2)</f>
        <v>112.86174582732129</v>
      </c>
      <c r="AD446" s="7">
        <f>AD445*$AK445/100</f>
        <v>8.9085145689840548</v>
      </c>
      <c r="AE446" s="7">
        <f>SQRT(($AK445/100)^2*AE445^2+AD445^2*($AL445/100)^2)</f>
        <v>1.4320176855193223</v>
      </c>
    </row>
    <row r="448" spans="1:46">
      <c r="A448" s="1" t="s">
        <v>325</v>
      </c>
      <c r="F448" s="7">
        <f>AVERAGE(F65:F280)</f>
        <v>-4980</v>
      </c>
      <c r="G448" s="7">
        <f>STDEVA(F65:F280)/SQRT(COUNT(F65:F280))</f>
        <v>501.80151644326651</v>
      </c>
      <c r="J448" s="7">
        <f>AVERAGEA(J65,J69,J73,J74,J75,J78,J79,J119,J120,J176,J177,J178,J179,J181,J182,J186,J187,J189,J190,J192,J193,J228,J229,J230,J231,J233,J234,J235,J263,J265,J266,J267,J268,J269,J270,J271,J272,J273,J274,J275,J276,J277,J278,J279,J280,J281,J282,J350,J351,J434:J438,J439:J443)</f>
        <v>12385.129943502827</v>
      </c>
      <c r="K448" s="7">
        <f>STDEVA(J65,J69,J73,J74,J75,J78,J79,J119,J120,J176,J177,J178,J179,J181,J182,J186,J187,J189,J190,J192,J193,J228,J229,J230,J231,J233,J234,J235,J263,J265,J266,J267,J268,J269,J270,J271,J272,J273,J274,J275,J276,J277,J278,J279,J280,J281,J282,J350,J351,J434:J438,J439:J443)/SQRT(COUNT(J65,J69,J73,J74,J75,J78,J79,J119,J120,J176,J177,J178,J179,J181,J182,J186,J187,J189,J190,J192,J193,J228,J229,J230,J231,J233,J234,J235,J263,J265,J266,J267,J268,J269,J270,J271,J272,J273,J274,J275,J276,J277,J278,J279,J280,J281,J282,J350,J351,J434:J438,J439:J443))</f>
        <v>905.84826236048889</v>
      </c>
      <c r="N448" s="7">
        <f>AVERAGEA(N2:N15,N17,N19,N96,N178,N179,N180,N195,N196,N224,N225,N226,N227,N250,N251,N322,N323,N324,N325,N326,N327,N389,N390,N391,N392,N393,N394,N395,N396,N398,N399,N400,N401,N402,N426,N427,N428,N429,N430,N431,N432,N434,N435,N436,N437,N438)</f>
        <v>706.88056497175148</v>
      </c>
      <c r="O448" s="7">
        <f>STDEVA(N2:N15,N17,N19,N96,N178,N179,N180,N195,N196,N224,N225,N226,N227,N250,N251,N322,N323,N324,N325,N326,N327,N389,N390,N391,N392,N393,N394,N395,N396,N398,N399,N400,N401,N402,N426,N427,N428,N429,N430,N431,N432,N434,N435,N436,N437,N438)/SQRT(COUNT(N2:N15,N17,N19,N96,N178,N179,N180,N195,N196,N224,N225,N226,N227,N250,N251,N322,N323,N324,N325,N326,N327,N389,N390,N391,N392,N393,N394,N395,N396,N398,N399,N400,N401,N402,N426,N427,N428,N429,N430,N431,N432,N434,N435,N436,N437,N438))</f>
        <v>63.913378392140494</v>
      </c>
      <c r="R448" s="7">
        <f>AVERAGEA(R195:R196,R250:R251,R389:R396,R428:R432,R434:R438)</f>
        <v>87.12833333333333</v>
      </c>
      <c r="S448" s="7">
        <f>STDEVA(R195:R196,R250:R251,R389:R396,R428:R432,R434:R438)/SQRT(COUNT(R195:R196,R250:R251,R389:R396,R428:R432,R434:R438))</f>
        <v>34.639300097481559</v>
      </c>
      <c r="V448" s="7">
        <f>AVERAGEA(V19,V178:V180,V195,V250:V251,V328:V329,V352:V353,V434:V438)</f>
        <v>7117.7083333333321</v>
      </c>
      <c r="W448" s="7">
        <f>STDEVA(V19,V178:V180,V195,V250:V251,V328:V329,V352:V353,V434:V438)/SQRT(COUNT(V19,V178:V180,V195,V250:V251,V328:V329,V352:V353,V434:V438))</f>
        <v>1766.0576567899707</v>
      </c>
      <c r="Z448" s="7">
        <f>AVERAGEA(Z19,Z178:Z180,Z195,Z224:Z227,Z250:Z251,Z292:Z295,Z296:Z297,Z298:Z303,Z307,Z310:Z311,Z314,Z318,Z319,Z322:Z329,Z342,Z343,Z347,Z348,Z352,Z353,Z354:Z355)</f>
        <v>10963.77463111111</v>
      </c>
      <c r="AA448" s="7">
        <f>STDEVA(Z19,Z178:Z180,Z195,Z224:Z227,Z250:Z251,Z292:Z295,Z296:Z297,Z298:Z303,Z307,Z310:Z311,Z314,Z318,Z319,Z322:Z329,Z342,Z343,Z347,Z348,Z352,Z353,Z354:Z355)/SQRT(COUNT(Z19,Z178:Z180,Z195,Z224:Z227,Z250:Z251,Z292:Z295,Z296:Z297,Z298:Z303,Z307,Z310:Z311,Z314,Z318,Z319,Z322:Z329,Z342,Z343,Z347,Z348,Z352,Z353,Z354:Z355))</f>
        <v>2843.0605450813555</v>
      </c>
      <c r="AD448" s="7">
        <f>AVERAGEA(AD178:AD180,AD195,AD250:AD251,AD328:AD329,AD347:AD348)</f>
        <v>246.23832000000002</v>
      </c>
      <c r="AE448" s="7">
        <f>STDEVA(AD178:AD180,AD195,AD250:AD251,AD328:AD329,AD347:AD348)/SQRT(COUNT(AD178:AD180,AD195,AD250:AD251,AD328:AD329,AD347:AD348))</f>
        <v>97.93926284861881</v>
      </c>
      <c r="AH448" s="23">
        <f>AVERAGEA(AH281,AH282,AH290,AH330,AH349,AH354,AH434,AH435,AH436,AH437,AH438)</f>
        <v>4586.9204242424239</v>
      </c>
      <c r="AI448" s="23">
        <f>STDEVA(AH281,AH282,AH290,AH330,AH349,AH354,AH434,AH435,AH436,AH437,AH438)/SQRT(COUNT(AH281,AH282,AH290,AH330,AH349,AH354,AH434,AH435,AH436,AH437,AH438))</f>
        <v>1291.0623225436862</v>
      </c>
      <c r="AK448" s="12">
        <f>AVERAGEA(AK19,AK292,AK293,AK294,AK295,AK298,AK299,AK300,AK301,AK302,AK303,AK307,AK310,AK311,AK314,AK318,AK319,AK322,AK323,AK324,AK325,AK326,AK327,AK328,AK329,AK342,AK343,AK347,AK348,AK352,AK353,AK354,AK355)</f>
        <v>7.2527272727272738</v>
      </c>
      <c r="AL448" s="12">
        <f>STDEVA(AK19,AK292,AK293,AK294,AK295,AK298,AK299,AK300,AK301,AK302,AK303,AK307,AK310,AK311,AK314,AK318,AK319,AK322,AK323,AK324,AK325,AK326,AK327,AK328,AK329,AK342,AK343,AK347,AK348,AK352,AK353,AK354,AK355)/SQRT(COUNT(AK19,AK292,AK293,AK294,AK295,AK298,AK299,AK300,AK301,AK302,AK303,AK307,AK310,AK311,AK314,AK318,AK319,AK322,AK323,AK324,AK325,AK326,AK327,AK328,AK329,AK342,AK343,AK347,AK348,AK352,AK353,AK354,AK355))</f>
        <v>1.3579183651830389</v>
      </c>
    </row>
    <row r="449" spans="1:45">
      <c r="A449" s="1" t="s">
        <v>324</v>
      </c>
      <c r="V449" s="7">
        <f>V448*$AK448/100</f>
        <v>516.22797348484846</v>
      </c>
      <c r="W449" s="7">
        <f>SQRT(($AK448/100)^2*W448^2+V448^2*($AL448/100)^2)</f>
        <v>160.46216497239854</v>
      </c>
      <c r="Z449" s="7">
        <f>Z448*$AK448/100</f>
        <v>795.17267279094949</v>
      </c>
      <c r="AA449" s="7">
        <f>SQRT(($AK448/100)^2*AA448^2+Z448^2*($AL448/100)^2)</f>
        <v>254.3289072856212</v>
      </c>
      <c r="AD449" s="7">
        <f>AD448*$AK448/100</f>
        <v>17.858993790545458</v>
      </c>
      <c r="AE449" s="7">
        <f>SQRT(($AK448/100)^2*AE448^2+AD448^2*($AL448/100)^2)</f>
        <v>7.8509135428319112</v>
      </c>
    </row>
    <row r="451" spans="1:45">
      <c r="A451" s="1" t="s">
        <v>326</v>
      </c>
      <c r="J451" s="7">
        <f>AVERAGEA(J53,J85,J86,J87,J262)</f>
        <v>28526.666666666668</v>
      </c>
      <c r="K451" s="7">
        <f>STDEVA(J53,J85,J86,J87,J262)/SQRT(COUNT(J53,J85,J86,J87,J262))</f>
        <v>7830.9218983321352</v>
      </c>
      <c r="N451" s="7">
        <f>AVERAGEA(N18,N262,N331,N332,N333,N334,N335,N403,N404,N405,N406,N407:N410,N411:N421,N422:N425)</f>
        <v>2220.0444444444443</v>
      </c>
      <c r="O451" s="7">
        <f>STDEVA(N18,N262,N331,N332,N333,N334,N335,N403,N404,N405,N406,N407:N410,N411:N421,N422:N425)/SQRT(COUNT(N18,N262,N331,N332,N333,N334,N335,N403,N404,N405,N406,N407:N410,N411:N421,N422:N425))</f>
        <v>561.68753618886626</v>
      </c>
      <c r="R451" s="7">
        <f>AVERAGEA(R411:R423)</f>
        <v>960.38461538461524</v>
      </c>
      <c r="S451" s="7">
        <f>STDEVA(R411:R423)/SQRT(COUNT(R411:R423))</f>
        <v>137.0448064799435</v>
      </c>
      <c r="V451" s="7">
        <f>AVERAGEA(V262,V349,V424,V425)</f>
        <v>9556.25</v>
      </c>
      <c r="W451" s="7">
        <f>STDEVA(V262,V349,V424,V425)/SQRT(COUNT(V262,V349,V424,V425))</f>
        <v>4902.6350801550252</v>
      </c>
      <c r="Z451" s="7">
        <f>AVERAGEA(Z262,Z320,Z321,Z337,Z338,Z349)</f>
        <v>71640.795555555553</v>
      </c>
      <c r="AA451" s="7">
        <f>STDEVA(Z262,Z320,Z321,Z337,Z338,Z349)/SQRT(COUNT(Z262,Z320,Z321,Z337,Z338,Z349))</f>
        <v>21906.597520221345</v>
      </c>
      <c r="AD451" s="7">
        <f>AVERAGEA(AD345,AD346,AD349)</f>
        <v>1631.8400533333333</v>
      </c>
      <c r="AE451" s="7">
        <f>STDEVA(AD345,AD346,AD349)/SQRT(COUNT(AD345,AD346,AD349))</f>
        <v>690.53109825158197</v>
      </c>
      <c r="AK451" s="12">
        <f>AVERAGEA(AK320,AK321,AK337,AK338,AK349)</f>
        <v>3.4</v>
      </c>
      <c r="AL451" s="12">
        <f>STDEVA(AK320,AK321,AK337,AK338,AK349)/SQRT(COUNT(AK320,AK321,AK337,AK338,AK349))</f>
        <v>0.60745370193949799</v>
      </c>
    </row>
    <row r="452" spans="1:45">
      <c r="A452" s="1" t="s">
        <v>324</v>
      </c>
      <c r="V452" s="7">
        <f>V451*$AK451/100</f>
        <v>324.91250000000002</v>
      </c>
      <c r="W452" s="7">
        <f>SQRT(($AK451/100)^2*W451^2+V451^2*($AL451/100)^2)</f>
        <v>176.50835377347704</v>
      </c>
      <c r="Z452" s="7">
        <f>Z451*$AK451/100</f>
        <v>2435.7870488888889</v>
      </c>
      <c r="AA452" s="7">
        <f>SQRT(($AK451/100)^2*AA451^2+Z451^2*($AL451/100)^2)</f>
        <v>862.64068628277994</v>
      </c>
      <c r="AD452" s="7">
        <f>AD451*$AK451/100</f>
        <v>55.482561813333334</v>
      </c>
      <c r="AE452" s="7">
        <f>SQRT(($AK451/100)^2*AE451^2+AD451^2*($AL451/100)^2)</f>
        <v>25.484902565987849</v>
      </c>
    </row>
    <row r="454" spans="1:45">
      <c r="A454" s="1" t="s">
        <v>327</v>
      </c>
      <c r="F454" s="7">
        <f>AVERAGEA(F2:F438)</f>
        <v>-4980</v>
      </c>
      <c r="G454" s="7">
        <f>STDEVA(F2:F438)/SQRT(COUNT(F2:F438))</f>
        <v>501.80151644326651</v>
      </c>
      <c r="H454" s="7">
        <f>COUNT(F2:F438)</f>
        <v>22</v>
      </c>
      <c r="J454" s="7">
        <f>AVERAGEA(J2:J438)</f>
        <v>12602.80672678528</v>
      </c>
      <c r="K454" s="7">
        <f>STDEVA(J2:J438)/SQRT(COUNT(J2:J438))</f>
        <v>986.52499091404945</v>
      </c>
      <c r="L454" s="7">
        <f>COUNT(J2:J438)</f>
        <v>77</v>
      </c>
      <c r="N454" s="7">
        <f>AVERAGEA(N2:N438)</f>
        <v>1121.0468855218855</v>
      </c>
      <c r="O454" s="7">
        <f>STDEVA(N2:N438)/SQRT(COUNT(N2:N438))</f>
        <v>187.82034419880117</v>
      </c>
      <c r="P454" s="7">
        <f>COUNT(N2:N438)</f>
        <v>99</v>
      </c>
      <c r="R454" s="7">
        <f>AVERAGEA(R2:R438)</f>
        <v>401.02689814814806</v>
      </c>
      <c r="S454" s="7">
        <f>STDEVA(R2:R438)/SQRT(COUNT(R2:R438))</f>
        <v>88.431027206895195</v>
      </c>
      <c r="T454" s="7">
        <f>COUNT(R2:R438)</f>
        <v>36</v>
      </c>
      <c r="V454" s="7">
        <f>AVERAGEA(V2:V438)</f>
        <v>8627.8735632183925</v>
      </c>
      <c r="W454" s="7">
        <f>STDEVA(V2:V438)/SQRT(COUNT(V2:V438))</f>
        <v>2267.6682938226154</v>
      </c>
      <c r="X454" s="7">
        <f>COUNT(V2:V438)</f>
        <v>29</v>
      </c>
      <c r="Z454" s="7">
        <f>AVERAGEA(Z2:Z438)</f>
        <v>14944.66839561404</v>
      </c>
      <c r="AA454" s="7">
        <f>STDEVA(Z2:Z438)/SQRT(COUNT(Z2:Z438))</f>
        <v>3119.3427992014331</v>
      </c>
      <c r="AB454" s="7">
        <f>COUNT(Z2:Z438)</f>
        <v>76</v>
      </c>
      <c r="AD454" s="7">
        <f>AVERAGEA(AD2:AD438)</f>
        <v>311.96768278699034</v>
      </c>
      <c r="AE454" s="7">
        <f>STDEVA(AD2:AD438)/SQRT(COUNT(AD2:AD438))</f>
        <v>70.271156117238149</v>
      </c>
      <c r="AF454" s="7">
        <f>COUNT(AD2:AD438)</f>
        <v>46</v>
      </c>
      <c r="AH454" s="7">
        <f>AVERAGEA(AH2:AH438)</f>
        <v>4586.9204242424239</v>
      </c>
      <c r="AI454" s="7">
        <f>STDEVA(AH2:AH438)/SQRT(COUNT(AH2:AH438))</f>
        <v>1291.0623225436862</v>
      </c>
      <c r="AJ454" s="7">
        <f>COUNT(AH2:AH438)</f>
        <v>11</v>
      </c>
      <c r="AK454" s="12">
        <f>AVERAGEA(AK2:AK438)</f>
        <v>5.7619354838709675</v>
      </c>
      <c r="AL454" s="12">
        <f>STDEVA(AK2:AK438)/SQRT(COUNT(AK2:AK438))</f>
        <v>0.759475132527763</v>
      </c>
      <c r="AM454" s="7">
        <f>COUNT(AK2:AK438)</f>
        <v>62</v>
      </c>
      <c r="AN454" s="23">
        <f>F454+J454+N454+R454+V454*AK454/100</f>
        <v>9642.0130187979175</v>
      </c>
      <c r="AO454" s="23">
        <f>SQRT(G454^2+K454^2+O454^2+S454^2+(AK454/100)^2*W454^2+V454^2*(AL454/100)^2)</f>
        <v>1135.5611065578585</v>
      </c>
      <c r="AP454" s="23">
        <f>Z454*AK454/100+AH454</f>
        <v>5448.0225754761595</v>
      </c>
      <c r="AQ454" s="23">
        <f>SQRT((AK454/100)^2*AA454^2+(Z454)^2*(AL454/100)^2+AI454^2)</f>
        <v>1308.4452240488204</v>
      </c>
      <c r="AR454" s="12">
        <f>AD454*AK454/100</f>
        <v>17.975376612713617</v>
      </c>
      <c r="AS454" s="12">
        <f>SQRT((AK454/100)^2*AE454^2+AD454^2*(AL454/100)^2)</f>
        <v>4.6912568955630123</v>
      </c>
    </row>
    <row r="455" spans="1:45">
      <c r="A455" s="1" t="s">
        <v>324</v>
      </c>
    </row>
    <row r="456" spans="1:45">
      <c r="A456" s="1" t="s">
        <v>328</v>
      </c>
    </row>
    <row r="457" spans="1:45">
      <c r="A457" s="1" t="s">
        <v>342</v>
      </c>
      <c r="F457" s="7">
        <f>F454*C485</f>
        <v>-3007.656469378473</v>
      </c>
      <c r="G457" s="7">
        <f>G454*C485</f>
        <v>303.06156170171056</v>
      </c>
      <c r="J457" s="7">
        <f>J454*C485</f>
        <v>7611.4283502293747</v>
      </c>
      <c r="K457" s="7">
        <f>K454*C485</f>
        <v>595.80888978437349</v>
      </c>
      <c r="V457" s="7">
        <f>V454*$AK454/100</f>
        <v>497.13250834260293</v>
      </c>
      <c r="W457" s="7">
        <f>SQRT(($AK454/100)^2*W454^2+V454^2*($AL454/100)^2)</f>
        <v>146.17174438432963</v>
      </c>
      <c r="Z457" s="7">
        <f>Z454*$AK454/100</f>
        <v>861.10215123373553</v>
      </c>
      <c r="AA457" s="7">
        <f>SQRT(($AK454/100)^2*AA454^2+Z454^2*($AL454/100)^2)</f>
        <v>212.57230215686684</v>
      </c>
      <c r="AD457" s="7">
        <f>AD454*$AK454/100</f>
        <v>17.975376612713617</v>
      </c>
      <c r="AE457" s="7">
        <f>SQRT(($AK454/100)^2*AE454^2+AD454^2*($AL454/100)^2)</f>
        <v>4.6912568955630123</v>
      </c>
      <c r="AH457" s="23">
        <f>AH454*C484</f>
        <v>573.53512710326186</v>
      </c>
      <c r="AI457" s="23">
        <f>AI454*C484</f>
        <v>161.43066039359545</v>
      </c>
    </row>
    <row r="459" spans="1:45">
      <c r="A459" s="1" t="s">
        <v>343</v>
      </c>
      <c r="B459" s="1" t="s">
        <v>345</v>
      </c>
      <c r="C459" s="1" t="s">
        <v>344</v>
      </c>
    </row>
    <row r="460" spans="1:45">
      <c r="A460" s="1" t="s">
        <v>190</v>
      </c>
      <c r="B460" s="1" t="s">
        <v>346</v>
      </c>
      <c r="C460" s="1">
        <v>5475</v>
      </c>
    </row>
    <row r="461" spans="1:45">
      <c r="B461" s="1" t="s">
        <v>347</v>
      </c>
      <c r="C461" s="1">
        <v>262</v>
      </c>
    </row>
    <row r="462" spans="1:45">
      <c r="B462" s="1" t="s">
        <v>348</v>
      </c>
      <c r="C462" s="1">
        <v>426</v>
      </c>
    </row>
    <row r="463" spans="1:45">
      <c r="B463" s="1" t="s">
        <v>349</v>
      </c>
      <c r="C463" s="1">
        <v>0</v>
      </c>
    </row>
    <row r="464" spans="1:45">
      <c r="B464" s="1" t="s">
        <v>196</v>
      </c>
      <c r="C464" s="1">
        <v>3420</v>
      </c>
    </row>
    <row r="465" spans="1:3">
      <c r="B465" s="1" t="s">
        <v>197</v>
      </c>
      <c r="C465" s="1">
        <v>333</v>
      </c>
    </row>
    <row r="466" spans="1:3">
      <c r="B466" s="1" t="s">
        <v>284</v>
      </c>
    </row>
    <row r="467" spans="1:3">
      <c r="A467" s="1" t="s">
        <v>185</v>
      </c>
      <c r="B467" s="1" t="s">
        <v>346</v>
      </c>
      <c r="C467" s="1">
        <v>6315</v>
      </c>
    </row>
    <row r="468" spans="1:3">
      <c r="B468" s="1" t="s">
        <v>347</v>
      </c>
      <c r="C468" s="1">
        <v>2528</v>
      </c>
    </row>
    <row r="469" spans="1:3">
      <c r="B469" s="1" t="s">
        <v>348</v>
      </c>
      <c r="C469" s="1">
        <v>3405</v>
      </c>
    </row>
    <row r="470" spans="1:3">
      <c r="B470" s="1" t="s">
        <v>349</v>
      </c>
      <c r="C470" s="1">
        <v>2422</v>
      </c>
    </row>
    <row r="471" spans="1:3">
      <c r="B471" s="1" t="s">
        <v>196</v>
      </c>
      <c r="C471" s="1">
        <v>8389</v>
      </c>
    </row>
    <row r="472" spans="1:3">
      <c r="B472" s="1" t="s">
        <v>197</v>
      </c>
      <c r="C472" s="1">
        <v>662</v>
      </c>
    </row>
    <row r="473" spans="1:3">
      <c r="B473" s="1" t="s">
        <v>284</v>
      </c>
    </row>
    <row r="474" spans="1:3">
      <c r="A474" s="1" t="s">
        <v>174</v>
      </c>
      <c r="B474" s="1" t="s">
        <v>346</v>
      </c>
      <c r="C474" s="1">
        <v>7235</v>
      </c>
    </row>
    <row r="475" spans="1:3">
      <c r="B475" s="1" t="s">
        <v>347</v>
      </c>
      <c r="C475" s="1">
        <v>305</v>
      </c>
    </row>
    <row r="476" spans="1:3">
      <c r="B476" s="1" t="s">
        <v>348</v>
      </c>
      <c r="C476" s="1">
        <v>70</v>
      </c>
    </row>
    <row r="477" spans="1:3">
      <c r="B477" s="1" t="s">
        <v>349</v>
      </c>
      <c r="C477" s="1">
        <v>0</v>
      </c>
    </row>
    <row r="478" spans="1:3">
      <c r="B478" s="1" t="s">
        <v>196</v>
      </c>
      <c r="C478" s="1">
        <v>9314</v>
      </c>
    </row>
    <row r="479" spans="1:3">
      <c r="B479" s="1" t="s">
        <v>197</v>
      </c>
      <c r="C479" s="1">
        <v>8</v>
      </c>
    </row>
    <row r="480" spans="1:3">
      <c r="B480" s="1" t="s">
        <v>284</v>
      </c>
    </row>
    <row r="482" spans="1:3">
      <c r="A482" s="1" t="s">
        <v>279</v>
      </c>
      <c r="C482" s="1">
        <f>SUM(C460:C480)</f>
        <v>50569</v>
      </c>
    </row>
    <row r="483" spans="1:3">
      <c r="A483" s="1" t="s">
        <v>196</v>
      </c>
      <c r="C483" s="12">
        <f>SUM(C461,C464,C468,C471,C475,C478)/SUM(C460:C480)</f>
        <v>0.47891000415274182</v>
      </c>
    </row>
    <row r="484" spans="1:3">
      <c r="A484" s="1" t="s">
        <v>171</v>
      </c>
      <c r="C484" s="12">
        <f>SUM(C462,C463,C469,C470,C476,C477)/SUM(C460:C480)</f>
        <v>0.12503707805177086</v>
      </c>
    </row>
    <row r="485" spans="1:3">
      <c r="A485" s="1" t="s">
        <v>350</v>
      </c>
      <c r="C485" s="12">
        <f>SUM(C461:C464,C468:C471,C475:C478)/SUM(C460:C480)</f>
        <v>0.60394708220451265</v>
      </c>
    </row>
    <row r="486" spans="1:3">
      <c r="A486" s="1" t="s">
        <v>197</v>
      </c>
      <c r="C486" s="12">
        <f>SUM(C465,C472,C479)/SUM(C460:C480)</f>
        <v>1.983428582728549E-2</v>
      </c>
    </row>
  </sheetData>
  <autoFilter ref="A1:AL446" xr:uid="{F9587496-7686-43D0-9787-E1B5C4243830}"/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B1B9-15B7-41B0-93DA-48A65C2D3F9E}">
  <dimension ref="A1:X61"/>
  <sheetViews>
    <sheetView workbookViewId="0">
      <selection activeCell="K10" sqref="K10"/>
    </sheetView>
  </sheetViews>
  <sheetFormatPr defaultColWidth="8.88671875" defaultRowHeight="14.4"/>
  <cols>
    <col min="1" max="3" width="8.88671875" style="1"/>
    <col min="4" max="5" width="8.88671875" style="12"/>
    <col min="6" max="16384" width="8.88671875" style="1"/>
  </cols>
  <sheetData>
    <row r="1" spans="1:24">
      <c r="A1" s="1" t="s">
        <v>189</v>
      </c>
      <c r="C1" s="1" t="s">
        <v>190</v>
      </c>
      <c r="D1" s="12">
        <v>0.75598196578535903</v>
      </c>
      <c r="E1" s="12">
        <v>271.64166474773401</v>
      </c>
      <c r="G1" s="1" t="s">
        <v>192</v>
      </c>
      <c r="O1" s="1" t="s">
        <v>193</v>
      </c>
      <c r="U1" s="1" t="s">
        <v>218</v>
      </c>
      <c r="V1" s="1" t="s">
        <v>219</v>
      </c>
      <c r="W1" s="1" t="s">
        <v>220</v>
      </c>
      <c r="X1" s="1" t="s">
        <v>221</v>
      </c>
    </row>
    <row r="2" spans="1:24">
      <c r="C2" s="1" t="s">
        <v>190</v>
      </c>
      <c r="D2" s="12">
        <v>0.50993875502359198</v>
      </c>
      <c r="E2" s="12">
        <v>136.65447870501399</v>
      </c>
      <c r="H2" s="1" t="s">
        <v>195</v>
      </c>
      <c r="U2" s="12">
        <v>0.10354318909496001</v>
      </c>
      <c r="V2" s="12">
        <v>0.212151038206602</v>
      </c>
      <c r="W2" s="12">
        <f>V2*10</f>
        <v>2.1215103820660199</v>
      </c>
      <c r="X2" s="12">
        <f>W2*298</f>
        <v>632.2100938556739</v>
      </c>
    </row>
    <row r="3" spans="1:24">
      <c r="C3" s="1" t="s">
        <v>190</v>
      </c>
      <c r="D3" s="12">
        <v>0.66504139544807495</v>
      </c>
      <c r="E3" s="12">
        <v>116.17146269111301</v>
      </c>
      <c r="G3" s="1" t="s">
        <v>194</v>
      </c>
      <c r="H3" s="1">
        <v>217</v>
      </c>
      <c r="J3" s="1" t="s">
        <v>198</v>
      </c>
      <c r="U3" s="12">
        <v>0.1173503129355</v>
      </c>
      <c r="V3" s="12">
        <v>0.19439238565241901</v>
      </c>
      <c r="W3" s="12">
        <f t="shared" ref="W3:W26" si="0">V3*10</f>
        <v>1.9439238565241901</v>
      </c>
      <c r="X3" s="12">
        <f t="shared" ref="X3:X26" si="1">W3*298</f>
        <v>579.28930924420865</v>
      </c>
    </row>
    <row r="4" spans="1:24">
      <c r="C4" s="1" t="s">
        <v>190</v>
      </c>
      <c r="D4" s="12">
        <v>0.50332107967443296</v>
      </c>
      <c r="E4" s="12">
        <v>82.913582066718504</v>
      </c>
      <c r="G4" s="1" t="s">
        <v>196</v>
      </c>
      <c r="H4" s="1">
        <v>1165</v>
      </c>
      <c r="J4" s="1" t="s">
        <v>198</v>
      </c>
      <c r="U4" s="12">
        <v>9.6852413324608796E-2</v>
      </c>
      <c r="V4" s="12">
        <v>0.16784806269699001</v>
      </c>
      <c r="W4" s="12">
        <f t="shared" si="0"/>
        <v>1.6784806269699002</v>
      </c>
      <c r="X4" s="12">
        <f t="shared" si="1"/>
        <v>500.18722683703027</v>
      </c>
    </row>
    <row r="5" spans="1:24">
      <c r="C5" s="1" t="s">
        <v>190</v>
      </c>
      <c r="D5" s="12">
        <v>0.75928380803145101</v>
      </c>
      <c r="E5" s="12">
        <v>62.208784811482303</v>
      </c>
      <c r="G5" s="1" t="s">
        <v>171</v>
      </c>
      <c r="H5" s="1">
        <v>948</v>
      </c>
      <c r="J5" s="1" t="s">
        <v>198</v>
      </c>
      <c r="U5" s="12">
        <v>7.7673188445612107E-2</v>
      </c>
      <c r="V5" s="12">
        <v>0.14130074275353299</v>
      </c>
      <c r="W5" s="12">
        <f t="shared" si="0"/>
        <v>1.4130074275353299</v>
      </c>
      <c r="X5" s="12">
        <f t="shared" si="1"/>
        <v>421.07621340552834</v>
      </c>
    </row>
    <row r="6" spans="1:24">
      <c r="C6" s="1" t="s">
        <v>190</v>
      </c>
      <c r="D6" s="12">
        <v>0.50390869566738095</v>
      </c>
      <c r="E6" s="12">
        <v>63.782513183724902</v>
      </c>
      <c r="G6" s="1" t="s">
        <v>197</v>
      </c>
      <c r="H6" s="1">
        <v>542</v>
      </c>
      <c r="J6" s="1" t="s">
        <v>198</v>
      </c>
      <c r="U6" s="12">
        <v>0.15546450816929</v>
      </c>
      <c r="V6" s="12">
        <v>0.13635121702688799</v>
      </c>
      <c r="W6" s="12">
        <f t="shared" si="0"/>
        <v>1.3635121702688799</v>
      </c>
      <c r="X6" s="12">
        <f t="shared" si="1"/>
        <v>406.32662674012624</v>
      </c>
    </row>
    <row r="7" spans="1:24">
      <c r="C7" s="1" t="s">
        <v>190</v>
      </c>
      <c r="D7" s="12">
        <v>0.48933022269946602</v>
      </c>
      <c r="E7" s="12">
        <v>42.766437467903799</v>
      </c>
      <c r="U7" s="12">
        <v>0.10464008671285401</v>
      </c>
      <c r="V7" s="12">
        <v>0.11123945434838001</v>
      </c>
      <c r="W7" s="12">
        <f t="shared" si="0"/>
        <v>1.1123945434838001</v>
      </c>
      <c r="X7" s="12">
        <f t="shared" si="1"/>
        <v>331.49357395817242</v>
      </c>
    </row>
    <row r="8" spans="1:24">
      <c r="C8" s="1" t="s">
        <v>190</v>
      </c>
      <c r="D8" s="12">
        <v>0.47531138401054901</v>
      </c>
      <c r="E8" s="12">
        <v>22.336001234935999</v>
      </c>
      <c r="U8" s="12">
        <v>8.0229619232671107E-2</v>
      </c>
      <c r="V8" s="12">
        <v>0.10447675086538</v>
      </c>
      <c r="W8" s="12">
        <f t="shared" si="0"/>
        <v>1.0447675086538</v>
      </c>
      <c r="X8" s="12">
        <f t="shared" si="1"/>
        <v>311.34071757883237</v>
      </c>
    </row>
    <row r="9" spans="1:24">
      <c r="C9" s="1" t="s">
        <v>190</v>
      </c>
      <c r="D9" s="12">
        <v>0.47603890857324699</v>
      </c>
      <c r="E9" s="12">
        <v>16.141972398403801</v>
      </c>
      <c r="U9" s="12">
        <v>7.6925439932867407E-2</v>
      </c>
      <c r="V9" s="12">
        <v>0.10107516945469799</v>
      </c>
      <c r="W9" s="12">
        <f t="shared" si="0"/>
        <v>1.0107516945469799</v>
      </c>
      <c r="X9" s="12">
        <f t="shared" si="1"/>
        <v>301.20400497500003</v>
      </c>
    </row>
    <row r="10" spans="1:24">
      <c r="C10" s="1" t="s">
        <v>190</v>
      </c>
      <c r="D10" s="12">
        <v>0.41405941217414399</v>
      </c>
      <c r="E10" s="12">
        <v>16.758358036624799</v>
      </c>
      <c r="U10" s="12">
        <v>8.4835989830220601E-2</v>
      </c>
      <c r="V10" s="12">
        <v>0.10037537275038599</v>
      </c>
      <c r="W10" s="12">
        <f t="shared" si="0"/>
        <v>1.0037537275038599</v>
      </c>
      <c r="X10" s="12">
        <f t="shared" si="1"/>
        <v>299.11861079615028</v>
      </c>
    </row>
    <row r="11" spans="1:24">
      <c r="C11" s="1" t="s">
        <v>190</v>
      </c>
      <c r="D11" s="12">
        <v>0.41433922931364398</v>
      </c>
      <c r="E11" s="12">
        <v>14.7904680223653</v>
      </c>
      <c r="U11" s="12">
        <v>9.4069709941508803E-2</v>
      </c>
      <c r="V11" s="12">
        <v>0.10171802338649701</v>
      </c>
      <c r="W11" s="12">
        <f t="shared" si="0"/>
        <v>1.01718023386497</v>
      </c>
      <c r="X11" s="12">
        <f t="shared" si="1"/>
        <v>303.11970969176105</v>
      </c>
    </row>
    <row r="12" spans="1:24">
      <c r="C12" s="1" t="s">
        <v>190</v>
      </c>
      <c r="D12" s="12">
        <v>0.76208197942644496</v>
      </c>
      <c r="E12" s="12">
        <v>17.838413989235001</v>
      </c>
      <c r="U12" s="12">
        <v>8.5478843762019197E-2</v>
      </c>
      <c r="V12" s="12">
        <v>9.2873911718722696E-2</v>
      </c>
      <c r="W12" s="12">
        <f t="shared" si="0"/>
        <v>0.92873911718722701</v>
      </c>
      <c r="X12" s="12">
        <f t="shared" si="1"/>
        <v>276.76425692179367</v>
      </c>
    </row>
    <row r="13" spans="1:24">
      <c r="C13" s="1" t="s">
        <v>190</v>
      </c>
      <c r="D13" s="12">
        <v>0.74688790875163102</v>
      </c>
      <c r="E13" s="12">
        <v>15.743695838272799</v>
      </c>
      <c r="U13" s="12">
        <v>0.10065109564887301</v>
      </c>
      <c r="V13" s="12">
        <v>9.62485202371616E-2</v>
      </c>
      <c r="W13" s="12">
        <f t="shared" si="0"/>
        <v>0.96248520237161594</v>
      </c>
      <c r="X13" s="12">
        <f t="shared" si="1"/>
        <v>286.82059030674156</v>
      </c>
    </row>
    <row r="14" spans="1:24">
      <c r="C14" s="1" t="s">
        <v>190</v>
      </c>
      <c r="D14" s="12">
        <v>0.72443258330680904</v>
      </c>
      <c r="E14" s="12">
        <v>11.236548001387501</v>
      </c>
      <c r="U14" s="12">
        <v>7.6236132686649902E-2</v>
      </c>
      <c r="V14" s="12">
        <v>8.7440372425712107E-2</v>
      </c>
      <c r="W14" s="12">
        <f t="shared" si="0"/>
        <v>0.8744037242571211</v>
      </c>
      <c r="X14" s="12">
        <f t="shared" si="1"/>
        <v>260.57230982862211</v>
      </c>
    </row>
    <row r="15" spans="1:24">
      <c r="C15" s="1" t="s">
        <v>190</v>
      </c>
      <c r="D15" s="12">
        <v>0.80174605895047601</v>
      </c>
      <c r="E15" s="12">
        <v>11.5208048704043</v>
      </c>
      <c r="U15" s="12">
        <v>9.4033746085184403E-2</v>
      </c>
      <c r="V15" s="12">
        <v>8.5354468758897295E-2</v>
      </c>
      <c r="W15" s="12">
        <f t="shared" si="0"/>
        <v>0.85354468758897295</v>
      </c>
      <c r="X15" s="12">
        <f t="shared" si="1"/>
        <v>254.35631690151394</v>
      </c>
    </row>
    <row r="16" spans="1:24">
      <c r="C16" s="1" t="s">
        <v>190</v>
      </c>
      <c r="D16" s="12">
        <v>0.66304070290065398</v>
      </c>
      <c r="E16" s="12">
        <v>8.9739516465081</v>
      </c>
      <c r="U16" s="12">
        <v>5.8395062961723497E-2</v>
      </c>
      <c r="V16" s="12">
        <v>6.9753647584177902E-2</v>
      </c>
      <c r="W16" s="12">
        <f t="shared" si="0"/>
        <v>0.69753647584177902</v>
      </c>
      <c r="X16" s="12">
        <f t="shared" si="1"/>
        <v>207.86586980085016</v>
      </c>
    </row>
    <row r="17" spans="3:24">
      <c r="C17" s="1" t="s">
        <v>190</v>
      </c>
      <c r="D17" s="12">
        <v>0.62665048390876599</v>
      </c>
      <c r="E17" s="12">
        <v>3.2220882575681502</v>
      </c>
      <c r="U17" s="12">
        <v>9.3333949380872194E-2</v>
      </c>
      <c r="V17" s="12">
        <v>6.6946968296861697E-2</v>
      </c>
      <c r="W17" s="12">
        <f t="shared" si="0"/>
        <v>0.66946968296861697</v>
      </c>
      <c r="X17" s="12">
        <f t="shared" si="1"/>
        <v>199.50196552464786</v>
      </c>
    </row>
    <row r="18" spans="3:24">
      <c r="C18" s="1" t="s">
        <v>190</v>
      </c>
      <c r="D18" s="12">
        <v>0.67379967191440404</v>
      </c>
      <c r="E18" s="12">
        <v>2.3285662984981998</v>
      </c>
      <c r="U18" s="12">
        <v>9.1343949330922394E-2</v>
      </c>
      <c r="V18" s="12">
        <v>6.1496945569702401E-2</v>
      </c>
      <c r="W18" s="12">
        <f t="shared" si="0"/>
        <v>0.61496945569702399</v>
      </c>
      <c r="X18" s="12">
        <f t="shared" si="1"/>
        <v>183.26089779771314</v>
      </c>
    </row>
    <row r="19" spans="3:24">
      <c r="C19" s="1" t="s">
        <v>190</v>
      </c>
      <c r="D19" s="12">
        <v>0.829797727185284</v>
      </c>
      <c r="E19" s="12">
        <v>1.3272894486193101</v>
      </c>
      <c r="U19" s="12">
        <v>6.8270138510796594E-2</v>
      </c>
      <c r="V19" s="12">
        <v>6.2913022412475497E-2</v>
      </c>
      <c r="W19" s="12">
        <f t="shared" si="0"/>
        <v>0.62913022412475494</v>
      </c>
      <c r="X19" s="12">
        <f t="shared" si="1"/>
        <v>187.48080678917697</v>
      </c>
    </row>
    <row r="20" spans="3:24">
      <c r="C20" s="1" t="s">
        <v>190</v>
      </c>
      <c r="D20" s="12">
        <v>0.600179782512128</v>
      </c>
      <c r="E20" s="12">
        <v>0.436661261863445</v>
      </c>
      <c r="U20" s="12">
        <v>0.109158046163606</v>
      </c>
      <c r="V20" s="12">
        <v>6.6911004440537297E-2</v>
      </c>
      <c r="W20" s="12">
        <f t="shared" si="0"/>
        <v>0.66911004440537303</v>
      </c>
      <c r="X20" s="12">
        <f t="shared" si="1"/>
        <v>199.39479323280116</v>
      </c>
    </row>
    <row r="21" spans="3:24">
      <c r="C21" s="1" t="s">
        <v>191</v>
      </c>
      <c r="D21" s="12">
        <v>2.0549770724831302</v>
      </c>
      <c r="E21" s="12">
        <v>390.22947742250801</v>
      </c>
      <c r="U21" s="12">
        <v>7.6819046857907802E-2</v>
      </c>
      <c r="V21" s="12">
        <v>5.2666320348050202E-2</v>
      </c>
      <c r="W21" s="12">
        <f t="shared" si="0"/>
        <v>0.526663203480502</v>
      </c>
      <c r="X21" s="12">
        <f t="shared" si="1"/>
        <v>156.94563463718958</v>
      </c>
    </row>
    <row r="22" spans="3:24">
      <c r="C22" s="1" t="s">
        <v>191</v>
      </c>
      <c r="D22" s="12">
        <v>1.7775663603834899</v>
      </c>
      <c r="E22" s="12">
        <v>236.76738668014599</v>
      </c>
      <c r="U22" s="12">
        <v>0.101217526385982</v>
      </c>
      <c r="V22" s="12">
        <v>5.3974505621850001E-2</v>
      </c>
      <c r="W22" s="12">
        <f t="shared" si="0"/>
        <v>0.5397450562185</v>
      </c>
      <c r="X22" s="12">
        <f t="shared" si="1"/>
        <v>160.84402675311298</v>
      </c>
    </row>
    <row r="23" spans="3:24">
      <c r="C23" s="1" t="s">
        <v>191</v>
      </c>
      <c r="D23" s="12">
        <v>1.9719693180506499</v>
      </c>
      <c r="E23" s="12">
        <v>152.914427440895</v>
      </c>
      <c r="U23" s="12">
        <v>8.6679137466845801E-2</v>
      </c>
      <c r="V23" s="12">
        <v>3.9007547414848097E-2</v>
      </c>
      <c r="W23" s="12">
        <f t="shared" si="0"/>
        <v>0.39007547414848098</v>
      </c>
      <c r="X23" s="12">
        <f t="shared" si="1"/>
        <v>116.24249129624734</v>
      </c>
    </row>
    <row r="24" spans="3:24">
      <c r="C24" s="1" t="s">
        <v>191</v>
      </c>
      <c r="D24" s="12">
        <v>1.7642470645433199</v>
      </c>
      <c r="E24" s="12">
        <v>90.489952795944006</v>
      </c>
      <c r="U24" s="12">
        <v>5.9619332570766403E-2</v>
      </c>
      <c r="V24" s="12">
        <v>2.6796319698702799E-2</v>
      </c>
      <c r="W24" s="12">
        <f t="shared" si="0"/>
        <v>0.26796319698702797</v>
      </c>
      <c r="X24" s="12">
        <f t="shared" si="1"/>
        <v>79.853032702134342</v>
      </c>
    </row>
    <row r="25" spans="3:24">
      <c r="C25" s="1" t="s">
        <v>191</v>
      </c>
      <c r="D25" s="12">
        <v>1.86516311590376</v>
      </c>
      <c r="E25" s="12">
        <v>77.893443621818705</v>
      </c>
      <c r="U25" s="12">
        <v>8.2667668992662396E-2</v>
      </c>
      <c r="V25" s="12">
        <v>1.3789391661380299E-2</v>
      </c>
      <c r="W25" s="12">
        <f t="shared" si="0"/>
        <v>0.13789391661380299</v>
      </c>
      <c r="X25" s="12">
        <f t="shared" si="1"/>
        <v>41.092387150913289</v>
      </c>
    </row>
    <row r="26" spans="3:24">
      <c r="C26" s="1" t="s">
        <v>191</v>
      </c>
      <c r="D26" s="12">
        <v>1.8576500257082</v>
      </c>
      <c r="E26" s="12">
        <v>70.485740364519003</v>
      </c>
      <c r="U26" s="12">
        <v>8.85987082981603E-2</v>
      </c>
      <c r="V26" s="12">
        <v>1.24122756629587E-2</v>
      </c>
      <c r="W26" s="12">
        <f t="shared" si="0"/>
        <v>0.12412275662958701</v>
      </c>
      <c r="X26" s="12">
        <f t="shared" si="1"/>
        <v>36.988581475616925</v>
      </c>
    </row>
    <row r="27" spans="3:24">
      <c r="C27" s="1" t="s">
        <v>191</v>
      </c>
      <c r="D27" s="12">
        <v>1.7648626622502199</v>
      </c>
      <c r="E27" s="12">
        <v>68.746620911344607</v>
      </c>
    </row>
    <row r="28" spans="3:24">
      <c r="C28" s="1" t="s">
        <v>191</v>
      </c>
      <c r="D28" s="12">
        <v>1.85834956855695</v>
      </c>
      <c r="E28" s="12">
        <v>51.5795318473767</v>
      </c>
    </row>
    <row r="29" spans="3:24">
      <c r="C29" s="1" t="s">
        <v>191</v>
      </c>
      <c r="D29" s="12">
        <v>2.1755083053224702</v>
      </c>
      <c r="E29" s="12">
        <v>52.884366412803303</v>
      </c>
    </row>
    <row r="30" spans="3:24">
      <c r="C30" s="1" t="s">
        <v>191</v>
      </c>
      <c r="D30" s="12">
        <v>1.95929360163133</v>
      </c>
      <c r="E30" s="12">
        <v>43.848322546143699</v>
      </c>
    </row>
    <row r="31" spans="3:24">
      <c r="C31" s="1" t="s">
        <v>191</v>
      </c>
      <c r="D31" s="12">
        <v>1.88276361397827</v>
      </c>
      <c r="E31" s="12">
        <v>30.144240076781099</v>
      </c>
    </row>
    <row r="32" spans="3:24">
      <c r="C32" s="1" t="s">
        <v>191</v>
      </c>
      <c r="D32" s="12">
        <v>2.1143122969139698</v>
      </c>
      <c r="E32" s="12">
        <v>38.6993290772131</v>
      </c>
    </row>
    <row r="33" spans="3:5">
      <c r="C33" s="1" t="s">
        <v>191</v>
      </c>
      <c r="D33" s="12">
        <v>2.1145641323395199</v>
      </c>
      <c r="E33" s="12">
        <v>34.584288283225803</v>
      </c>
    </row>
    <row r="34" spans="3:5">
      <c r="C34" s="1" t="s">
        <v>191</v>
      </c>
      <c r="D34" s="12">
        <v>2.0222244763047299</v>
      </c>
      <c r="E34" s="12">
        <v>27.620380453520099</v>
      </c>
    </row>
    <row r="35" spans="3:5">
      <c r="C35" s="1" t="s">
        <v>191</v>
      </c>
      <c r="D35" s="12">
        <v>2.0231198911511301</v>
      </c>
      <c r="E35" s="12">
        <v>18.519578714351901</v>
      </c>
    </row>
    <row r="36" spans="3:5">
      <c r="C36" s="1" t="s">
        <v>191</v>
      </c>
      <c r="D36" s="12">
        <v>2.0620844278264201</v>
      </c>
      <c r="E36" s="12">
        <v>16.3448731769349</v>
      </c>
    </row>
    <row r="37" spans="3:5">
      <c r="C37" s="1" t="s">
        <v>191</v>
      </c>
      <c r="D37" s="12">
        <v>1.79131937278988</v>
      </c>
      <c r="E37" s="12">
        <v>16.141972398403801</v>
      </c>
    </row>
    <row r="38" spans="3:5">
      <c r="C38" s="1" t="s">
        <v>191</v>
      </c>
      <c r="D38" s="12">
        <v>2.1556552792749901</v>
      </c>
      <c r="E38" s="12">
        <v>11.8122527350518</v>
      </c>
    </row>
    <row r="39" spans="3:5">
      <c r="C39" s="1" t="s">
        <v>191</v>
      </c>
      <c r="D39" s="12">
        <v>1.9239387060555899</v>
      </c>
      <c r="E39" s="12">
        <v>9.9170696516379895</v>
      </c>
    </row>
    <row r="40" spans="3:5">
      <c r="C40" s="1" t="s">
        <v>191</v>
      </c>
      <c r="D40" s="12">
        <v>1.82330247183466</v>
      </c>
      <c r="E40" s="12">
        <v>10.1679469823491</v>
      </c>
    </row>
    <row r="41" spans="3:5">
      <c r="C41" s="1" t="s">
        <v>191</v>
      </c>
      <c r="D41" s="12">
        <v>1.78489756943837</v>
      </c>
      <c r="E41" s="12">
        <v>8.9739516465081</v>
      </c>
    </row>
    <row r="42" spans="3:5">
      <c r="C42" s="1" t="s">
        <v>191</v>
      </c>
      <c r="D42" s="12">
        <v>2.1023081416294498</v>
      </c>
      <c r="E42" s="12">
        <v>8.2225976842244997</v>
      </c>
    </row>
    <row r="43" spans="3:5">
      <c r="C43" s="1" t="s">
        <v>191</v>
      </c>
      <c r="D43" s="12">
        <v>1.77045900504021</v>
      </c>
      <c r="E43" s="12">
        <v>5.6527580590388196</v>
      </c>
    </row>
    <row r="44" spans="3:5">
      <c r="C44" s="1" t="s">
        <v>191</v>
      </c>
      <c r="D44" s="12">
        <v>2.08016061503807</v>
      </c>
      <c r="E44" s="12">
        <v>5.1151780992931402</v>
      </c>
    </row>
    <row r="45" spans="3:5">
      <c r="C45" s="1" t="s">
        <v>191</v>
      </c>
      <c r="D45" s="12">
        <v>2.1573062003980401</v>
      </c>
      <c r="E45" s="12">
        <v>5.6527580590388196</v>
      </c>
    </row>
    <row r="46" spans="3:5">
      <c r="C46" s="1" t="s">
        <v>191</v>
      </c>
      <c r="D46" s="12">
        <v>1.9512908314416499</v>
      </c>
      <c r="E46" s="12">
        <v>1.56131328202354</v>
      </c>
    </row>
    <row r="47" spans="3:5">
      <c r="C47" s="1" t="s">
        <v>191</v>
      </c>
      <c r="D47" s="12">
        <v>2.0439382863298801</v>
      </c>
      <c r="E47" s="12">
        <v>1.7039809602762499</v>
      </c>
    </row>
    <row r="48" spans="3:5">
      <c r="C48" s="1" t="s">
        <v>191</v>
      </c>
      <c r="D48" s="12">
        <v>2.2149625219918798</v>
      </c>
      <c r="E48" s="12">
        <v>1.1861539210343199</v>
      </c>
    </row>
    <row r="49" spans="3:5">
      <c r="C49" s="1" t="s">
        <v>191</v>
      </c>
      <c r="D49" s="12">
        <v>1.80186847894901</v>
      </c>
      <c r="E49" s="12">
        <v>0.14546169495219199</v>
      </c>
    </row>
    <row r="50" spans="3:5">
      <c r="C50" s="1" t="s">
        <v>174</v>
      </c>
      <c r="D50" s="12">
        <v>3.4476829391992299</v>
      </c>
      <c r="E50" s="12">
        <v>380.60120833037797</v>
      </c>
    </row>
    <row r="51" spans="3:5">
      <c r="C51" s="1" t="s">
        <v>174</v>
      </c>
      <c r="D51" s="12">
        <v>3.2315521806499499</v>
      </c>
      <c r="E51" s="12">
        <v>303.96317799181901</v>
      </c>
    </row>
    <row r="52" spans="3:5">
      <c r="C52" s="1" t="s">
        <v>174</v>
      </c>
      <c r="D52" s="12">
        <v>3.5953284528560601</v>
      </c>
      <c r="E52" s="12">
        <v>285.55923019901098</v>
      </c>
    </row>
    <row r="53" spans="3:5">
      <c r="C53" s="1" t="s">
        <v>174</v>
      </c>
      <c r="D53" s="12">
        <v>3.5573152944550701</v>
      </c>
      <c r="E53" s="12">
        <v>211.59104698364601</v>
      </c>
    </row>
    <row r="54" spans="3:5">
      <c r="C54" s="1" t="s">
        <v>174</v>
      </c>
      <c r="D54" s="12">
        <v>3.5196099349075398</v>
      </c>
      <c r="E54" s="12">
        <v>136.65447870501399</v>
      </c>
    </row>
    <row r="55" spans="3:5">
      <c r="C55" s="1" t="s">
        <v>174</v>
      </c>
      <c r="D55" s="12">
        <v>3.4669343583967902</v>
      </c>
      <c r="E55" s="12">
        <v>70.485740364519003</v>
      </c>
    </row>
    <row r="56" spans="3:5">
      <c r="C56" s="1" t="s">
        <v>174</v>
      </c>
      <c r="D56" s="12">
        <v>3.21203493516987</v>
      </c>
      <c r="E56" s="12">
        <v>58.442252182469602</v>
      </c>
    </row>
    <row r="57" spans="3:5">
      <c r="C57" s="1" t="s">
        <v>174</v>
      </c>
      <c r="D57" s="12">
        <v>3.3744268120783101</v>
      </c>
      <c r="E57" s="12">
        <v>60.673885592654599</v>
      </c>
    </row>
    <row r="58" spans="3:5">
      <c r="C58" s="1" t="s">
        <v>174</v>
      </c>
      <c r="D58" s="12">
        <v>3.5601134658500699</v>
      </c>
      <c r="E58" s="12">
        <v>60.673885592654599</v>
      </c>
    </row>
    <row r="59" spans="3:5">
      <c r="C59" s="1" t="s">
        <v>174</v>
      </c>
      <c r="D59" s="12">
        <v>3.60628329386746</v>
      </c>
      <c r="E59" s="12">
        <v>67.893219190003606</v>
      </c>
    </row>
    <row r="60" spans="3:5">
      <c r="C60" s="1" t="s">
        <v>174</v>
      </c>
      <c r="D60" s="12">
        <v>3.58794128037328</v>
      </c>
      <c r="E60" s="12">
        <v>7.7247470580351401</v>
      </c>
    </row>
    <row r="61" spans="3:5">
      <c r="C61" s="1" t="s">
        <v>174</v>
      </c>
      <c r="D61" s="12">
        <v>3.5676545377595699</v>
      </c>
      <c r="E61" s="12">
        <v>66.218065923238598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3765-7646-4FA6-A728-D7F08AA9C9D4}">
  <dimension ref="A1:AE3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20"/>
    </sheetView>
  </sheetViews>
  <sheetFormatPr defaultColWidth="8.88671875" defaultRowHeight="14.4"/>
  <cols>
    <col min="1" max="1" width="27.109375" style="1" customWidth="1"/>
    <col min="2" max="2" width="8.88671875" style="1"/>
    <col min="3" max="3" width="11.6640625" style="1" bestFit="1" customWidth="1"/>
    <col min="4" max="4" width="10.6640625" style="1" bestFit="1" customWidth="1"/>
    <col min="5" max="5" width="8.88671875" style="1"/>
    <col min="6" max="6" width="9.6640625" style="1" bestFit="1" customWidth="1"/>
    <col min="7" max="7" width="9" style="1" bestFit="1" customWidth="1"/>
    <col min="8" max="16384" width="8.88671875" style="1"/>
  </cols>
  <sheetData>
    <row r="1" spans="1:31" s="14" customFormat="1">
      <c r="A1" s="14" t="s">
        <v>259</v>
      </c>
      <c r="Y1" s="14">
        <v>1990</v>
      </c>
      <c r="Z1" s="14">
        <v>2010</v>
      </c>
    </row>
    <row r="2" spans="1:31" s="14" customFormat="1">
      <c r="A2" s="14" t="s">
        <v>260</v>
      </c>
      <c r="B2" s="14" t="s">
        <v>261</v>
      </c>
      <c r="C2" s="14" t="s">
        <v>262</v>
      </c>
      <c r="D2" s="14" t="s">
        <v>263</v>
      </c>
      <c r="E2" s="14" t="s">
        <v>257</v>
      </c>
      <c r="F2" s="14" t="s">
        <v>264</v>
      </c>
      <c r="G2" s="14" t="s">
        <v>258</v>
      </c>
      <c r="H2" s="14" t="s">
        <v>265</v>
      </c>
      <c r="I2" s="14" t="s">
        <v>256</v>
      </c>
      <c r="J2" s="14" t="s">
        <v>266</v>
      </c>
      <c r="K2" s="14" t="s">
        <v>267</v>
      </c>
      <c r="L2" s="14" t="s">
        <v>268</v>
      </c>
      <c r="M2" s="14" t="s">
        <v>255</v>
      </c>
      <c r="N2" s="14" t="s">
        <v>269</v>
      </c>
      <c r="O2" s="14" t="s">
        <v>270</v>
      </c>
      <c r="P2" s="14" t="s">
        <v>271</v>
      </c>
      <c r="Q2" s="14" t="s">
        <v>272</v>
      </c>
      <c r="R2" s="14" t="s">
        <v>273</v>
      </c>
      <c r="S2" s="14" t="s">
        <v>274</v>
      </c>
      <c r="T2" s="14" t="s">
        <v>275</v>
      </c>
      <c r="U2" s="14" t="s">
        <v>276</v>
      </c>
      <c r="V2" s="14" t="s">
        <v>277</v>
      </c>
      <c r="W2" s="14" t="s">
        <v>278</v>
      </c>
      <c r="X2" s="14" t="s">
        <v>279</v>
      </c>
      <c r="Y2" s="14" t="s">
        <v>280</v>
      </c>
      <c r="AA2" s="14" t="s">
        <v>251</v>
      </c>
      <c r="AB2" s="14" t="s">
        <v>280</v>
      </c>
    </row>
    <row r="3" spans="1:31" s="15" customFormat="1">
      <c r="A3" s="15" t="s">
        <v>293</v>
      </c>
      <c r="B3" s="15">
        <v>207595</v>
      </c>
      <c r="C3" s="15">
        <v>78864</v>
      </c>
      <c r="D3" s="15">
        <v>43094</v>
      </c>
      <c r="E3" s="15">
        <v>45227</v>
      </c>
      <c r="F3" s="15">
        <v>543965</v>
      </c>
      <c r="G3" s="15">
        <v>338145</v>
      </c>
      <c r="H3" s="15">
        <v>356970</v>
      </c>
      <c r="I3" s="15">
        <v>244110</v>
      </c>
      <c r="J3" s="15">
        <v>131957</v>
      </c>
      <c r="K3" s="15">
        <v>93030</v>
      </c>
      <c r="L3" s="15">
        <v>103000</v>
      </c>
      <c r="M3" s="15">
        <v>70273</v>
      </c>
      <c r="N3" s="15">
        <v>63700</v>
      </c>
      <c r="O3" s="15">
        <v>65300</v>
      </c>
      <c r="P3" s="15">
        <v>41526</v>
      </c>
      <c r="Q3" s="15">
        <v>385639</v>
      </c>
      <c r="R3" s="15">
        <v>312684</v>
      </c>
      <c r="T3" s="15">
        <v>505990</v>
      </c>
      <c r="U3" s="15">
        <v>449964</v>
      </c>
      <c r="V3" s="15">
        <v>41285</v>
      </c>
      <c r="W3" s="15">
        <v>603700</v>
      </c>
      <c r="X3" s="15">
        <f>SUM(B3:W3)</f>
        <v>4726018</v>
      </c>
      <c r="Y3" s="15">
        <v>9484057</v>
      </c>
      <c r="Z3" s="15">
        <v>9484057</v>
      </c>
    </row>
    <row r="4" spans="1:31" s="16" customFormat="1">
      <c r="A4" s="16" t="s">
        <v>281</v>
      </c>
      <c r="B4" s="16">
        <v>23967</v>
      </c>
      <c r="C4" s="16">
        <v>314</v>
      </c>
      <c r="D4" s="16">
        <v>10000</v>
      </c>
      <c r="E4" s="16">
        <v>10091</v>
      </c>
      <c r="F4" s="16">
        <v>1100</v>
      </c>
      <c r="G4" s="16">
        <v>104000</v>
      </c>
      <c r="H4" s="16">
        <v>14200</v>
      </c>
      <c r="I4" s="16">
        <v>17549</v>
      </c>
      <c r="J4" s="16">
        <v>986</v>
      </c>
      <c r="K4" s="16">
        <v>1000</v>
      </c>
      <c r="L4" s="16">
        <v>10000</v>
      </c>
      <c r="M4" s="16">
        <v>11757</v>
      </c>
      <c r="N4" s="16">
        <v>6691</v>
      </c>
      <c r="O4" s="16">
        <v>4826</v>
      </c>
      <c r="P4" s="16">
        <v>2350</v>
      </c>
      <c r="Q4" s="16">
        <v>25000</v>
      </c>
      <c r="R4" s="16">
        <v>10877</v>
      </c>
      <c r="S4" s="16">
        <v>568000</v>
      </c>
      <c r="T4" s="16">
        <v>383</v>
      </c>
      <c r="U4" s="16">
        <v>103000</v>
      </c>
      <c r="V4" s="16">
        <v>224</v>
      </c>
      <c r="W4" s="16">
        <v>10081</v>
      </c>
      <c r="X4" s="16">
        <f>SUM(B4:W4)</f>
        <v>936396</v>
      </c>
      <c r="Y4" s="16">
        <v>880196</v>
      </c>
      <c r="AA4" s="16">
        <f>1.2*10^6</f>
        <v>1200000</v>
      </c>
      <c r="AB4" s="16">
        <f>SUM(AB5:AB9)</f>
        <v>285340.03999999998</v>
      </c>
    </row>
    <row r="5" spans="1:31" s="17" customFormat="1">
      <c r="A5" s="17" t="s">
        <v>290</v>
      </c>
      <c r="D5" s="17">
        <v>910</v>
      </c>
      <c r="E5" s="17">
        <f>0.3*10^6/10^2</f>
        <v>3000</v>
      </c>
      <c r="G5" s="17">
        <v>42000</v>
      </c>
      <c r="L5" s="17">
        <v>4000</v>
      </c>
      <c r="Q5" s="17">
        <v>20000</v>
      </c>
      <c r="U5" s="17">
        <v>49000</v>
      </c>
      <c r="Y5" s="17">
        <v>530741</v>
      </c>
      <c r="Z5" s="17">
        <v>504608</v>
      </c>
      <c r="AB5" s="17">
        <v>81626.149999999994</v>
      </c>
    </row>
    <row r="6" spans="1:31" s="18" customFormat="1">
      <c r="A6" s="18" t="s">
        <v>294</v>
      </c>
      <c r="B6" s="18">
        <v>2800</v>
      </c>
      <c r="D6" s="18" t="s">
        <v>282</v>
      </c>
      <c r="E6" s="18">
        <f>0.3*10^6/10^2</f>
        <v>3000</v>
      </c>
      <c r="G6" s="18">
        <v>57000</v>
      </c>
      <c r="H6" s="18">
        <v>1100</v>
      </c>
      <c r="I6" s="18">
        <v>6000</v>
      </c>
      <c r="L6" s="18">
        <v>6</v>
      </c>
      <c r="M6" s="18">
        <v>2100</v>
      </c>
      <c r="N6" s="18">
        <v>5000</v>
      </c>
      <c r="O6" s="18">
        <v>5900</v>
      </c>
      <c r="Q6" s="18">
        <v>4200</v>
      </c>
      <c r="R6" s="18">
        <v>1200</v>
      </c>
      <c r="S6" s="18">
        <v>38000</v>
      </c>
      <c r="U6" s="18">
        <f>1.5*10^6/10^2</f>
        <v>15000</v>
      </c>
      <c r="Y6" s="18">
        <v>181559</v>
      </c>
      <c r="Z6" s="18">
        <v>164394</v>
      </c>
      <c r="AB6" s="18">
        <v>132986.79999999999</v>
      </c>
    </row>
    <row r="7" spans="1:31" s="18" customFormat="1">
      <c r="A7" s="18" t="s">
        <v>295</v>
      </c>
      <c r="B7" s="18">
        <v>9631</v>
      </c>
      <c r="C7" s="18">
        <v>100</v>
      </c>
      <c r="D7" s="18">
        <v>1000</v>
      </c>
      <c r="E7" s="18">
        <f>0.3*10^6/10^2</f>
        <v>3000</v>
      </c>
      <c r="F7" s="18">
        <v>660</v>
      </c>
      <c r="G7" s="18">
        <f>0.7*10^6/10^2</f>
        <v>7000</v>
      </c>
      <c r="H7" s="18">
        <v>12000</v>
      </c>
      <c r="I7" s="18">
        <v>720</v>
      </c>
      <c r="J7" s="18">
        <v>900</v>
      </c>
      <c r="K7" s="18">
        <v>975</v>
      </c>
      <c r="L7" s="18">
        <v>3750</v>
      </c>
      <c r="M7" s="18">
        <v>896</v>
      </c>
      <c r="N7" s="18">
        <v>1000</v>
      </c>
      <c r="O7" s="18">
        <v>1900</v>
      </c>
      <c r="P7" s="18">
        <v>2000</v>
      </c>
      <c r="Q7" s="18" t="s">
        <v>283</v>
      </c>
      <c r="R7" s="18">
        <v>7620</v>
      </c>
      <c r="S7" s="18">
        <v>70400</v>
      </c>
      <c r="T7" s="18">
        <v>23</v>
      </c>
      <c r="U7" s="18">
        <f>1*10^6/10^2</f>
        <v>10000</v>
      </c>
      <c r="V7" s="18">
        <v>160</v>
      </c>
      <c r="W7" s="18">
        <v>5000</v>
      </c>
      <c r="X7" s="18">
        <f>SUM(B7:W7)</f>
        <v>138735</v>
      </c>
      <c r="Y7" s="18">
        <v>124490</v>
      </c>
      <c r="AB7" s="18">
        <v>43397.84</v>
      </c>
    </row>
    <row r="8" spans="1:31" s="18" customFormat="1">
      <c r="A8" s="18" t="s">
        <v>296</v>
      </c>
      <c r="Y8" s="18">
        <v>27046</v>
      </c>
      <c r="AB8" s="18">
        <v>27046.1</v>
      </c>
    </row>
    <row r="9" spans="1:31" s="19" customFormat="1">
      <c r="A9" s="19" t="s">
        <v>297</v>
      </c>
      <c r="B9" s="19">
        <v>130</v>
      </c>
      <c r="D9" s="19">
        <v>9</v>
      </c>
      <c r="E9" s="19">
        <f>SUM(18,15,18)*10^3/10^2</f>
        <v>510</v>
      </c>
      <c r="G9" s="19">
        <v>1200</v>
      </c>
      <c r="H9" s="19">
        <v>350</v>
      </c>
      <c r="I9" s="19">
        <v>90</v>
      </c>
      <c r="L9" s="19">
        <v>0</v>
      </c>
      <c r="M9" s="19">
        <v>580</v>
      </c>
      <c r="Q9" s="19">
        <v>0</v>
      </c>
      <c r="R9" s="19">
        <v>10</v>
      </c>
      <c r="U9" s="19">
        <f>SUM(15,0.3,0.5)*10^3/10^2</f>
        <v>158</v>
      </c>
      <c r="Y9" s="19">
        <f>Y16-Y6-Y7</f>
        <v>6627</v>
      </c>
      <c r="AA9" s="19">
        <f>25000/100</f>
        <v>250</v>
      </c>
      <c r="AB9" s="19">
        <v>283.14999999999998</v>
      </c>
    </row>
    <row r="10" spans="1:31" s="20" customFormat="1">
      <c r="A10" s="20" t="s">
        <v>289</v>
      </c>
      <c r="B10" s="20">
        <f>B9/B4*100</f>
        <v>0.54241248383193552</v>
      </c>
      <c r="D10" s="20">
        <f t="shared" ref="D10:R10" si="0">D9/D4*100</f>
        <v>0.09</v>
      </c>
      <c r="E10" s="20">
        <f>E9/E4*100</f>
        <v>5.0540085224457441</v>
      </c>
      <c r="G10" s="20">
        <f t="shared" si="0"/>
        <v>1.153846153846154</v>
      </c>
      <c r="H10" s="20">
        <f>H9/H4*100</f>
        <v>2.464788732394366</v>
      </c>
      <c r="I10" s="20">
        <f t="shared" si="0"/>
        <v>0.51284973502763687</v>
      </c>
      <c r="L10" s="20">
        <f t="shared" si="0"/>
        <v>0</v>
      </c>
      <c r="M10" s="20">
        <f t="shared" si="0"/>
        <v>4.9332312664795444</v>
      </c>
      <c r="Q10" s="20">
        <f t="shared" si="0"/>
        <v>0</v>
      </c>
      <c r="R10" s="20">
        <f t="shared" si="0"/>
        <v>9.1937115013330878E-2</v>
      </c>
      <c r="U10" s="20">
        <f>U9/U4*100</f>
        <v>0.15339805825242717</v>
      </c>
      <c r="Y10" s="20">
        <f>Y9/Y4*100</f>
        <v>0.75290049034533213</v>
      </c>
      <c r="AA10" s="20">
        <f>AA9/AA4*100</f>
        <v>2.0833333333333336E-2</v>
      </c>
      <c r="AB10" s="20">
        <f>AB9/AB4*100</f>
        <v>9.9232480657113528E-2</v>
      </c>
      <c r="AD10" s="20">
        <f>AVERAGEA(B10:AB10)</f>
        <v>1.1335313122590658</v>
      </c>
      <c r="AE10" s="20">
        <f>STDEVA(B10:AB10)/SQRT(COUNT(B10:AB10))</f>
        <v>0.47156660714602794</v>
      </c>
    </row>
    <row r="11" spans="1:31" s="19" customFormat="1">
      <c r="A11" s="19" t="s">
        <v>252</v>
      </c>
      <c r="AB11" s="19">
        <v>0.5</v>
      </c>
    </row>
    <row r="12" spans="1:31" s="19" customFormat="1">
      <c r="A12" s="19" t="s">
        <v>253</v>
      </c>
      <c r="AB12" s="19">
        <v>500</v>
      </c>
    </row>
    <row r="13" spans="1:31" s="19" customFormat="1">
      <c r="A13" s="19" t="s">
        <v>254</v>
      </c>
    </row>
    <row r="14" spans="1:31" s="19" customFormat="1">
      <c r="A14" s="19" t="s">
        <v>288</v>
      </c>
    </row>
    <row r="15" spans="1:31">
      <c r="A15" s="1" t="s">
        <v>284</v>
      </c>
      <c r="D15" s="1" t="s">
        <v>282</v>
      </c>
      <c r="G15" s="1">
        <v>166</v>
      </c>
      <c r="L15" s="1" t="s">
        <v>282</v>
      </c>
      <c r="Q15" s="1">
        <v>0</v>
      </c>
      <c r="U15" s="1">
        <v>12</v>
      </c>
      <c r="Y15" s="13">
        <f>Y4*0.01</f>
        <v>8801.9600000000009</v>
      </c>
    </row>
    <row r="16" spans="1:31" s="21" customFormat="1">
      <c r="A16" s="21" t="s">
        <v>292</v>
      </c>
      <c r="U16" s="21">
        <f>SUM(U6:U9)</f>
        <v>25158</v>
      </c>
      <c r="Y16" s="21">
        <v>312676</v>
      </c>
      <c r="Z16" s="21">
        <v>219637</v>
      </c>
    </row>
    <row r="17" spans="1:23" s="21" customFormat="1">
      <c r="A17" s="21" t="s">
        <v>291</v>
      </c>
      <c r="B17" s="22"/>
      <c r="C17" s="22"/>
      <c r="I17" s="22"/>
    </row>
    <row r="19" spans="1:23">
      <c r="A19" s="1" t="s">
        <v>285</v>
      </c>
    </row>
    <row r="20" spans="1:23">
      <c r="A20" s="1" t="s">
        <v>286</v>
      </c>
    </row>
    <row r="23" spans="1:23">
      <c r="C23" s="1" t="s">
        <v>299</v>
      </c>
      <c r="D23" s="1" t="s">
        <v>314</v>
      </c>
      <c r="E23" s="1" t="s">
        <v>301</v>
      </c>
      <c r="F23" s="1" t="s">
        <v>314</v>
      </c>
      <c r="G23" s="1" t="s">
        <v>302</v>
      </c>
      <c r="H23" s="1" t="s">
        <v>304</v>
      </c>
    </row>
    <row r="24" spans="1:23">
      <c r="C24" s="1" t="s">
        <v>300</v>
      </c>
      <c r="E24" s="1" t="s">
        <v>316</v>
      </c>
      <c r="G24" s="1" t="s">
        <v>303</v>
      </c>
      <c r="H24" s="1" t="s">
        <v>310</v>
      </c>
      <c r="L24" s="13">
        <f>H4*0.68</f>
        <v>9656</v>
      </c>
      <c r="V24" s="1">
        <v>27046.1</v>
      </c>
      <c r="W24" s="1">
        <v>92703.48</v>
      </c>
    </row>
    <row r="25" spans="1:23">
      <c r="B25" s="1" t="s">
        <v>190</v>
      </c>
      <c r="C25" s="12">
        <f>'SOC loss via peat extraction  '!C59</f>
        <v>483.10938386181999</v>
      </c>
      <c r="D25" s="12">
        <f>'SOC loss via peat extraction  '!C60</f>
        <v>7.6676372981721599</v>
      </c>
      <c r="E25" s="12">
        <f>'SOC loss via peat extraction  '!F59*1000</f>
        <v>86.607272727272772</v>
      </c>
      <c r="F25" s="12">
        <f>'SOC loss via peat extraction  '!F60*1000</f>
        <v>8.9683689775873461</v>
      </c>
      <c r="G25" s="1">
        <v>0.4</v>
      </c>
      <c r="H25" s="1">
        <v>1</v>
      </c>
      <c r="L25" s="13">
        <f>L24*0.74</f>
        <v>7145.44</v>
      </c>
      <c r="V25" s="1">
        <f>V24+W24</f>
        <v>119749.57999999999</v>
      </c>
    </row>
    <row r="26" spans="1:23">
      <c r="B26" s="1" t="s">
        <v>185</v>
      </c>
      <c r="C26" s="12">
        <f>'SOC loss via peat extraction  '!C118</f>
        <v>269.68258722240637</v>
      </c>
      <c r="D26" s="12">
        <f>'SOC loss via peat extraction  '!C119</f>
        <v>21.929899153956267</v>
      </c>
      <c r="E26" s="12">
        <f>'SOC loss via peat extraction  '!F118*1000</f>
        <v>310.0641338445451</v>
      </c>
      <c r="F26" s="12">
        <f>'SOC loss via peat extraction  '!F119*1000</f>
        <v>47.520408889261873</v>
      </c>
      <c r="G26" s="1">
        <v>0.4</v>
      </c>
      <c r="H26" s="1">
        <v>1</v>
      </c>
      <c r="L26" s="13" t="s">
        <v>287</v>
      </c>
    </row>
    <row r="27" spans="1:23">
      <c r="B27" s="1" t="s">
        <v>174</v>
      </c>
      <c r="C27" s="12">
        <f>'SOC loss via peat extraction  '!C146</f>
        <v>497.15254165787815</v>
      </c>
      <c r="D27" s="12">
        <f>'SOC loss via peat extraction  '!C147</f>
        <v>17.385262286238266</v>
      </c>
      <c r="E27" s="12">
        <f>'SOC loss via peat extraction  '!F146*1000</f>
        <v>154.72222222222223</v>
      </c>
      <c r="F27" s="12">
        <f>'SOC loss via peat extraction  '!F147*1000</f>
        <v>19.164544734298076</v>
      </c>
      <c r="G27" s="1">
        <v>0.4</v>
      </c>
      <c r="H27" s="1">
        <v>1</v>
      </c>
    </row>
    <row r="28" spans="1:23">
      <c r="C28" s="1" t="s">
        <v>315</v>
      </c>
      <c r="F28" s="1" t="s">
        <v>317</v>
      </c>
    </row>
    <row r="29" spans="1:23">
      <c r="B29" s="1" t="s">
        <v>190</v>
      </c>
      <c r="C29" s="23">
        <f>E25*1*G25*10^4*C25/1000*44/12</f>
        <v>613664.86375663849</v>
      </c>
      <c r="D29" s="23">
        <f>SQRT((1*G25*10^4*E25/1000*44/12)^2*F25^2+(1*G25*10^4*C25/1000*44/12)^2*D25^2)</f>
        <v>55511.342598044015</v>
      </c>
      <c r="F29" s="23">
        <f>C29*AD$10/100</f>
        <v>6956.0833830134325</v>
      </c>
      <c r="G29" s="23">
        <f>D29*AE$10/100</f>
        <v>261.77295487080386</v>
      </c>
    </row>
    <row r="30" spans="1:23">
      <c r="B30" s="1" t="s">
        <v>185</v>
      </c>
      <c r="C30" s="23">
        <f>E26*1*G26*10^4*C26/1000*44/12</f>
        <v>1226410.5013610476</v>
      </c>
      <c r="D30" s="23">
        <f t="shared" ref="D30:D31" si="1">SQRT((1*G26*10^4*E26/1000*44/12)^2*F26^2+(1*G26*10^4*C26/1000*44/12)^2*D26^2)</f>
        <v>232862.38060700815</v>
      </c>
      <c r="F30" s="23">
        <f>C30*AD$10/100</f>
        <v>13901.74704976087</v>
      </c>
      <c r="G30" s="23">
        <f t="shared" ref="G30:G31" si="2">D30*AE$10/100</f>
        <v>1098.1012275479384</v>
      </c>
    </row>
    <row r="31" spans="1:23">
      <c r="B31" s="1" t="s">
        <v>174</v>
      </c>
      <c r="C31" s="23">
        <f>E27*1*G27*10^4*C27/1000*44/12</f>
        <v>1128168.0084214143</v>
      </c>
      <c r="D31" s="23">
        <f t="shared" si="1"/>
        <v>134018.30539531578</v>
      </c>
      <c r="F31" s="23">
        <f>C31*AD$10/100</f>
        <v>12788.137630346224</v>
      </c>
      <c r="G31" s="23">
        <f t="shared" si="2"/>
        <v>631.9855757072927</v>
      </c>
    </row>
    <row r="33" spans="2:8">
      <c r="B33" s="1" t="s">
        <v>332</v>
      </c>
      <c r="C33" s="12">
        <f>'SOC loss via peat extraction  '!C150</f>
        <v>385.02534791876332</v>
      </c>
      <c r="D33" s="12">
        <f>'SOC loss via peat extraction  '!C151</f>
        <v>15.292139955207714</v>
      </c>
      <c r="E33" s="12">
        <f>'SOC loss via peat extraction  '!F150*1000</f>
        <v>174.15168546029469</v>
      </c>
      <c r="F33" s="12">
        <f>'SOC loss via peat extraction  '!F151*1000</f>
        <v>19.52872986108785</v>
      </c>
      <c r="G33" s="1">
        <v>0.4</v>
      </c>
      <c r="H33" s="1">
        <v>1</v>
      </c>
    </row>
    <row r="34" spans="2:8">
      <c r="B34" s="1" t="str">
        <f>B33</f>
        <v>Overll</v>
      </c>
      <c r="C34" s="23">
        <f>E33*1*G33*10^4*C33/1000*44/12</f>
        <v>983441.26151317218</v>
      </c>
      <c r="D34" s="23">
        <f>SQRT((1*G33*10^4*E33/1000*44/12)^2*F33^2+(1*G33*10^4*C33/1000*44/12)^2*D33^2)</f>
        <v>99726.269727771156</v>
      </c>
      <c r="F34" s="23">
        <f>C34*AD$10/100</f>
        <v>11147.61463692737</v>
      </c>
      <c r="G34" s="23">
        <f>D34*AE$10/100</f>
        <v>470.27578658854674</v>
      </c>
    </row>
    <row r="35" spans="2:8">
      <c r="F35" s="23">
        <f>F34*'GHG fluxes'!C486</f>
        <v>221.10497500124882</v>
      </c>
      <c r="G35" s="23">
        <f>G34*'GHG fluxes'!C486</f>
        <v>9.3275843688487488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5476-C94A-4FFD-8DDE-76DB71F5F7CC}">
  <dimension ref="A1:P16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45" sqref="P145"/>
    </sheetView>
  </sheetViews>
  <sheetFormatPr defaultColWidth="8.88671875" defaultRowHeight="14.4"/>
  <cols>
    <col min="1" max="1" width="10.44140625" style="1" bestFit="1" customWidth="1"/>
    <col min="2" max="2" width="10.109375" style="1" bestFit="1" customWidth="1"/>
    <col min="3" max="3" width="18.44140625" style="12" bestFit="1" customWidth="1"/>
    <col min="4" max="4" width="12.21875" style="12" bestFit="1" customWidth="1"/>
    <col min="5" max="5" width="10.109375" style="1" bestFit="1" customWidth="1"/>
    <col min="6" max="6" width="7.77734375" style="12" bestFit="1" customWidth="1"/>
    <col min="7" max="7" width="12.21875" style="12" bestFit="1" customWidth="1"/>
    <col min="8" max="8" width="20.88671875" style="1" bestFit="1" customWidth="1"/>
    <col min="9" max="9" width="7.109375" style="1" customWidth="1"/>
    <col min="10" max="16384" width="8.88671875" style="1"/>
  </cols>
  <sheetData>
    <row r="1" spans="1:10">
      <c r="A1" s="1" t="s">
        <v>307</v>
      </c>
      <c r="B1" s="1" t="s">
        <v>302</v>
      </c>
      <c r="C1" s="12" t="s">
        <v>305</v>
      </c>
      <c r="D1" s="12" t="s">
        <v>311</v>
      </c>
      <c r="E1" s="1" t="s">
        <v>302</v>
      </c>
      <c r="F1" s="12" t="s">
        <v>301</v>
      </c>
      <c r="G1" s="12" t="s">
        <v>311</v>
      </c>
      <c r="H1" s="1" t="s">
        <v>309</v>
      </c>
      <c r="I1" s="1" t="s">
        <v>304</v>
      </c>
    </row>
    <row r="2" spans="1:10">
      <c r="B2" s="1" t="s">
        <v>306</v>
      </c>
      <c r="C2" s="12" t="s">
        <v>300</v>
      </c>
      <c r="E2" s="1" t="s">
        <v>306</v>
      </c>
      <c r="F2" s="12" t="s">
        <v>308</v>
      </c>
      <c r="H2" s="1" t="s">
        <v>303</v>
      </c>
      <c r="I2" s="1" t="s">
        <v>310</v>
      </c>
    </row>
    <row r="3" spans="1:10">
      <c r="A3" s="1" t="s">
        <v>190</v>
      </c>
      <c r="B3" s="25" t="str">
        <f>'[1]Data_in-situ'!AS77</f>
        <v>0-15</v>
      </c>
      <c r="C3" s="12">
        <f>'[1]Data_in-situ'!AT77</f>
        <v>466.9</v>
      </c>
      <c r="D3" s="12">
        <f>'[1]Data_in-situ'!AU77</f>
        <v>9.3649612919648515</v>
      </c>
      <c r="E3" s="25" t="str">
        <f>'[1]Data_in-situ'!HB104</f>
        <v>0-20</v>
      </c>
      <c r="F3" s="12">
        <f>'[1]Data_in-situ'!HC104</f>
        <v>6.8000000000000005E-2</v>
      </c>
      <c r="G3" s="12">
        <f>'[1]Data_in-situ'!HD104</f>
        <v>8.9999999999999993E-3</v>
      </c>
      <c r="H3" s="1">
        <v>0.4</v>
      </c>
      <c r="J3" s="23">
        <f>C3*1*H3*10^4*F3*1000/1000*44/12</f>
        <v>465654.93333333335</v>
      </c>
    </row>
    <row r="4" spans="1:10">
      <c r="A4" s="1" t="s">
        <v>190</v>
      </c>
      <c r="B4" s="25" t="str">
        <f>'[1]Data_in-situ'!AS104</f>
        <v>0-20</v>
      </c>
      <c r="C4" s="12">
        <f>'[1]Data_in-situ'!AT104</f>
        <v>496</v>
      </c>
      <c r="D4" s="12">
        <f>'[1]Data_in-situ'!AU104</f>
        <v>8</v>
      </c>
      <c r="E4" s="25" t="str">
        <f>'[1]Data_in-situ'!HB106</f>
        <v>0-20</v>
      </c>
      <c r="F4" s="12">
        <f>'[1]Data_in-situ'!HC106</f>
        <v>6.3E-2</v>
      </c>
      <c r="G4" s="12">
        <f>'[1]Data_in-situ'!HD106</f>
        <v>1.2E-2</v>
      </c>
      <c r="H4" s="1">
        <v>0.4</v>
      </c>
      <c r="J4" s="23">
        <f t="shared" ref="J4:J38" si="0">C4*1*H4*10^4*F4*1000/1000*44/12</f>
        <v>458304</v>
      </c>
    </row>
    <row r="5" spans="1:10">
      <c r="A5" s="1" t="s">
        <v>190</v>
      </c>
      <c r="B5" s="25" t="str">
        <f>'[1]Data_in-situ'!AS106</f>
        <v>0-20</v>
      </c>
      <c r="C5" s="12">
        <f>'[1]Data_in-situ'!AT106</f>
        <v>481</v>
      </c>
      <c r="D5" s="12">
        <f>'[1]Data_in-situ'!AU106</f>
        <v>11</v>
      </c>
      <c r="E5" s="25" t="str">
        <f>'[1]Data_in-situ'!HB108</f>
        <v>0-20</v>
      </c>
      <c r="F5" s="12">
        <f>'[1]Data_in-situ'!HC108</f>
        <v>5.8999999999999997E-2</v>
      </c>
      <c r="G5" s="12">
        <f>'[1]Data_in-situ'!HD108</f>
        <v>8.0000000000000002E-3</v>
      </c>
      <c r="H5" s="1">
        <v>0.4</v>
      </c>
      <c r="J5" s="23">
        <f t="shared" si="0"/>
        <v>416225.33333333331</v>
      </c>
    </row>
    <row r="6" spans="1:10">
      <c r="A6" s="1" t="s">
        <v>190</v>
      </c>
      <c r="B6" s="25" t="str">
        <f>'[1]Data_in-situ'!AS108</f>
        <v>0-20</v>
      </c>
      <c r="C6" s="12">
        <f>'[1]Data_in-situ'!AT108</f>
        <v>473</v>
      </c>
      <c r="D6" s="12">
        <f>'[1]Data_in-situ'!AU108</f>
        <v>16</v>
      </c>
      <c r="E6" s="25" t="str">
        <f>'[1]Data_in-situ'!HB110</f>
        <v>0-20</v>
      </c>
      <c r="F6" s="12">
        <f>'[1]Data_in-situ'!HC110</f>
        <v>3.4000000000000002E-2</v>
      </c>
      <c r="G6" s="12">
        <f>'[1]Data_in-situ'!HD110</f>
        <v>3.0000000000000001E-3</v>
      </c>
      <c r="H6" s="1">
        <v>0.4</v>
      </c>
      <c r="J6" s="23">
        <f t="shared" si="0"/>
        <v>235869.33333333337</v>
      </c>
    </row>
    <row r="7" spans="1:10">
      <c r="A7" s="1" t="s">
        <v>190</v>
      </c>
      <c r="B7" s="25" t="str">
        <f>'[1]Data_in-situ'!AS110</f>
        <v>0-20</v>
      </c>
      <c r="C7" s="12">
        <f>'[1]Data_in-situ'!AT110</f>
        <v>447</v>
      </c>
      <c r="D7" s="12">
        <f>'[1]Data_in-situ'!AU110</f>
        <v>8</v>
      </c>
      <c r="E7" s="25" t="str">
        <f>'[1]Data_in-situ'!HB135</f>
        <v>0-10</v>
      </c>
      <c r="F7" s="12">
        <f>'[1]Data_in-situ'!HC135</f>
        <v>0.03</v>
      </c>
      <c r="G7" s="12">
        <f>'[1]Data_in-situ'!HD135</f>
        <v>5.1723522943947289E-3</v>
      </c>
      <c r="H7" s="1">
        <v>0.4</v>
      </c>
      <c r="J7" s="23">
        <f t="shared" si="0"/>
        <v>196680</v>
      </c>
    </row>
    <row r="8" spans="1:10">
      <c r="A8" s="1" t="s">
        <v>190</v>
      </c>
      <c r="B8" s="25" t="str">
        <f>'[1]Data_in-situ'!AS135</f>
        <v>0-10</v>
      </c>
      <c r="C8" s="12">
        <f>'[1]Data_in-situ'!AT135</f>
        <v>450</v>
      </c>
      <c r="D8" s="12">
        <f>'[1]Data_in-situ'!AU135</f>
        <v>8.6602540378443855</v>
      </c>
      <c r="E8" s="25" t="str">
        <f>'[1]Data_in-situ'!HB137</f>
        <v>0-10</v>
      </c>
      <c r="F8" s="12">
        <f>'[1]Data_in-situ'!HC137</f>
        <v>0.03</v>
      </c>
      <c r="G8" s="12">
        <f>'[1]Data_in-situ'!HD137</f>
        <v>5.1723522943947289E-3</v>
      </c>
      <c r="H8" s="1">
        <v>0.4</v>
      </c>
      <c r="J8" s="23">
        <f t="shared" si="0"/>
        <v>198000</v>
      </c>
    </row>
    <row r="9" spans="1:10">
      <c r="A9" s="1" t="s">
        <v>190</v>
      </c>
      <c r="B9" s="25" t="str">
        <f>'[1]Data_in-situ'!AS141</f>
        <v>0-10</v>
      </c>
      <c r="C9" s="12">
        <f>'[1]Data_in-situ'!AT141</f>
        <v>540</v>
      </c>
      <c r="D9" s="12">
        <f>'[1]Data_in-situ'!AU141</f>
        <v>28.284271247461902</v>
      </c>
      <c r="E9" s="25" t="str">
        <f>'[1]Data_in-situ'!HB141</f>
        <v>0-10</v>
      </c>
      <c r="F9" s="12">
        <f>'[1]Data_in-situ'!HC141</f>
        <v>0.1</v>
      </c>
      <c r="G9" s="12">
        <f>'[1]Data_in-situ'!HD141</f>
        <v>1.7241174314649096E-2</v>
      </c>
      <c r="H9" s="1">
        <v>0.4</v>
      </c>
      <c r="J9" s="23">
        <f t="shared" si="0"/>
        <v>792000</v>
      </c>
    </row>
    <row r="10" spans="1:10">
      <c r="A10" s="1" t="s">
        <v>190</v>
      </c>
      <c r="B10" s="25" t="str">
        <f>'[1]Data_in-situ'!AS167</f>
        <v>0-30</v>
      </c>
      <c r="C10" s="12">
        <f>'[1]Data_in-situ'!AT167</f>
        <v>507.5</v>
      </c>
      <c r="D10" s="12">
        <f>'[1]Data_in-situ'!AU167</f>
        <v>3.5355339059327378</v>
      </c>
      <c r="E10" s="25" t="str">
        <f>'[1]Data_in-situ'!HB143</f>
        <v>0-10</v>
      </c>
      <c r="F10" s="12">
        <f>'[1]Data_in-situ'!HC143</f>
        <v>0.1</v>
      </c>
      <c r="G10" s="12">
        <f>'[1]Data_in-situ'!HD143</f>
        <v>1.7241174314649096E-2</v>
      </c>
      <c r="H10" s="1">
        <v>0.4</v>
      </c>
      <c r="J10" s="23">
        <f t="shared" si="0"/>
        <v>744333.33333333337</v>
      </c>
    </row>
    <row r="11" spans="1:10">
      <c r="A11" s="1" t="s">
        <v>190</v>
      </c>
      <c r="B11" s="25" t="str">
        <f>'[1]Data_in-situ'!AS168</f>
        <v>0-10</v>
      </c>
      <c r="C11" s="12">
        <f>'[1]Data_in-situ'!AT168</f>
        <v>351.3</v>
      </c>
      <c r="D11" s="12">
        <f>'[1]Data_in-situ'!AU168</f>
        <v>30.0456860572327</v>
      </c>
      <c r="E11" s="25" t="str">
        <f>'[1]Data_in-situ'!HB167</f>
        <v>0-30</v>
      </c>
      <c r="F11" s="12">
        <f>'[1]Data_in-situ'!HC167</f>
        <v>6.25E-2</v>
      </c>
      <c r="G11" s="12">
        <f>'[1]Data_in-situ'!HD167</f>
        <v>1.2529964086141668E-2</v>
      </c>
      <c r="H11" s="1">
        <v>0.4</v>
      </c>
      <c r="J11" s="23">
        <f t="shared" si="0"/>
        <v>322025</v>
      </c>
    </row>
    <row r="12" spans="1:10">
      <c r="A12" s="1" t="s">
        <v>190</v>
      </c>
      <c r="B12" s="25" t="str">
        <f>'[1]Data_in-situ'!AS195</f>
        <v>0-20</v>
      </c>
      <c r="C12" s="12">
        <f>'[1]Data_in-situ'!AT195</f>
        <v>410</v>
      </c>
      <c r="D12" s="12">
        <f>'[1]Data_in-situ'!AU195</f>
        <v>35.066129471862816</v>
      </c>
      <c r="E12" s="25" t="str">
        <f>'[1]Data_in-situ'!HB195</f>
        <v>0-20</v>
      </c>
      <c r="F12" s="12">
        <f>'[1]Data_in-situ'!HC195</f>
        <v>0.09</v>
      </c>
      <c r="G12" s="12">
        <f>'[1]Data_in-situ'!HD195</f>
        <v>1.5517056883184187E-2</v>
      </c>
      <c r="H12" s="1">
        <v>0.4</v>
      </c>
      <c r="J12" s="23">
        <f t="shared" si="0"/>
        <v>541200</v>
      </c>
    </row>
    <row r="13" spans="1:10">
      <c r="A13" s="1" t="s">
        <v>190</v>
      </c>
      <c r="B13" s="25" t="str">
        <f>'[1]Data_in-situ'!AS211</f>
        <v>0-15</v>
      </c>
      <c r="C13" s="12">
        <f>'[1]Data_in-situ'!AT211</f>
        <v>574.24593967517399</v>
      </c>
      <c r="D13" s="12">
        <f>'[1]Data_in-situ'!AU211</f>
        <v>49.113615778880913</v>
      </c>
      <c r="E13" s="25" t="str">
        <f>'[1]Data_in-situ'!HB211</f>
        <v>0-15</v>
      </c>
      <c r="F13" s="12">
        <f>'[1]Data_in-situ'!HC211</f>
        <v>5.0999999999999997E-2</v>
      </c>
      <c r="G13" s="12">
        <f>'[1]Data_in-situ'!HD211</f>
        <v>8.7929989004710378E-3</v>
      </c>
      <c r="H13" s="1">
        <v>0.4</v>
      </c>
      <c r="J13" s="23">
        <f t="shared" si="0"/>
        <v>429535.96287703019</v>
      </c>
    </row>
    <row r="14" spans="1:10">
      <c r="A14" s="1" t="s">
        <v>190</v>
      </c>
      <c r="B14" s="25" t="str">
        <f>'[1]Data_in-situ'!AS412</f>
        <v>0-20</v>
      </c>
      <c r="C14" s="12">
        <f>'[1]Data_in-situ'!AT412</f>
        <v>410</v>
      </c>
      <c r="D14" s="12">
        <f>'[1]Data_in-situ'!AU412</f>
        <v>35.066129471862816</v>
      </c>
      <c r="E14" s="25" t="str">
        <f>'[1]Data_in-situ'!HB231</f>
        <v>0-20</v>
      </c>
      <c r="F14" s="12">
        <f>'[1]Data_in-situ'!HC231</f>
        <v>3.5000000000000003E-2</v>
      </c>
      <c r="G14" s="12">
        <f>'[1]Data_in-situ'!HD231</f>
        <v>6.0344110101271846E-3</v>
      </c>
      <c r="H14" s="1">
        <v>0.4</v>
      </c>
      <c r="J14" s="23">
        <f t="shared" si="0"/>
        <v>210466.66666666672</v>
      </c>
    </row>
    <row r="15" spans="1:10">
      <c r="A15" s="1" t="s">
        <v>190</v>
      </c>
      <c r="B15" s="25" t="str">
        <f>'[1]Data_in-situ'!AS434</f>
        <v>0-10</v>
      </c>
      <c r="C15" s="12">
        <f>'[1]Data_in-situ'!AT434</f>
        <v>490</v>
      </c>
      <c r="D15" s="12">
        <f>'[1]Data_in-situ'!AU434</f>
        <v>41.90830107612873</v>
      </c>
      <c r="E15" s="25" t="str">
        <f>'[1]Data_in-situ'!HB235</f>
        <v>0-20</v>
      </c>
      <c r="F15" s="12">
        <f>'[1]Data_in-situ'!HC235</f>
        <v>5.8000000000000003E-2</v>
      </c>
      <c r="G15" s="12">
        <f>'[1]Data_in-situ'!HD235</f>
        <v>9.999881102496477E-3</v>
      </c>
      <c r="H15" s="1">
        <v>0.4</v>
      </c>
      <c r="J15" s="23">
        <f t="shared" si="0"/>
        <v>416826.66666666669</v>
      </c>
    </row>
    <row r="16" spans="1:10">
      <c r="A16" s="1" t="s">
        <v>190</v>
      </c>
      <c r="B16" s="25" t="str">
        <f>'[1]Data_in-situ'!AS444</f>
        <v>0-15</v>
      </c>
      <c r="C16" s="12">
        <f>'[1]Data_in-situ'!AT444</f>
        <v>574.24593967517399</v>
      </c>
      <c r="D16" s="12">
        <f>'[1]Data_in-situ'!AU444</f>
        <v>49.113615778880913</v>
      </c>
      <c r="E16" s="25" t="str">
        <f>'[1]Data_in-situ'!HB239</f>
        <v>0-20</v>
      </c>
      <c r="F16" s="12">
        <f>'[1]Data_in-situ'!HC239</f>
        <v>6.7000000000000004E-2</v>
      </c>
      <c r="G16" s="12">
        <f>'[1]Data_in-situ'!HD239</f>
        <v>1.1551586790814895E-2</v>
      </c>
      <c r="H16" s="1">
        <v>0.4</v>
      </c>
      <c r="J16" s="23">
        <f t="shared" si="0"/>
        <v>564292.34338747105</v>
      </c>
    </row>
    <row r="17" spans="1:10">
      <c r="A17" s="1" t="s">
        <v>190</v>
      </c>
      <c r="B17" s="25" t="str">
        <f>'[2]Data_in-situ'!AY29</f>
        <v>0-20</v>
      </c>
      <c r="C17" s="12">
        <f>'[2]Data_in-situ'!AZ29</f>
        <v>496</v>
      </c>
      <c r="D17" s="12">
        <f>'[2]Data_in-situ'!BA29</f>
        <v>8</v>
      </c>
      <c r="E17" s="25" t="str">
        <f>'[1]Data_in-situ'!HB241</f>
        <v>0-20</v>
      </c>
      <c r="F17" s="12">
        <f>'[1]Data_in-situ'!HC241</f>
        <v>6.4000000000000001E-2</v>
      </c>
      <c r="G17" s="12">
        <f>'[1]Data_in-situ'!HD241</f>
        <v>1.1034351561375421E-2</v>
      </c>
      <c r="H17" s="1">
        <v>0.4</v>
      </c>
      <c r="J17" s="23">
        <f t="shared" si="0"/>
        <v>465578.66666666669</v>
      </c>
    </row>
    <row r="18" spans="1:10">
      <c r="A18" s="1" t="s">
        <v>190</v>
      </c>
      <c r="B18" s="25" t="str">
        <f>'[2]Data_in-situ'!AY31</f>
        <v>0-20</v>
      </c>
      <c r="C18" s="12">
        <f>'[2]Data_in-situ'!AZ31</f>
        <v>481</v>
      </c>
      <c r="D18" s="12">
        <f>'[2]Data_in-situ'!BA31</f>
        <v>11</v>
      </c>
      <c r="E18" s="25" t="str">
        <f>'[1]Data_in-situ'!HB243</f>
        <v>0-20</v>
      </c>
      <c r="F18" s="12">
        <f>'[1]Data_in-situ'!HC243</f>
        <v>0.13900000000000001</v>
      </c>
      <c r="G18" s="12">
        <f>'[1]Data_in-situ'!HD243</f>
        <v>2.3965232297362245E-2</v>
      </c>
      <c r="H18" s="1">
        <v>0.4</v>
      </c>
      <c r="J18" s="23">
        <f t="shared" si="0"/>
        <v>980598.66666666663</v>
      </c>
    </row>
    <row r="19" spans="1:10">
      <c r="A19" s="1" t="s">
        <v>190</v>
      </c>
      <c r="B19" s="25" t="str">
        <f>'[2]Data_in-situ'!AY33</f>
        <v>0-20</v>
      </c>
      <c r="C19" s="12">
        <f>'[2]Data_in-situ'!AZ33</f>
        <v>473</v>
      </c>
      <c r="D19" s="12">
        <f>'[2]Data_in-situ'!BA33</f>
        <v>16</v>
      </c>
      <c r="E19" s="25" t="str">
        <f>'[1]Data_in-situ'!HB316</f>
        <v>0-10</v>
      </c>
      <c r="F19" s="12">
        <f>'[1]Data_in-situ'!HC316</f>
        <v>3.5000000000000003E-2</v>
      </c>
      <c r="G19" s="12">
        <f>'[1]Data_in-situ'!HD316</f>
        <v>6.0344110101271846E-3</v>
      </c>
      <c r="H19" s="1">
        <v>0.4</v>
      </c>
      <c r="J19" s="23">
        <f t="shared" si="0"/>
        <v>242806.66666666672</v>
      </c>
    </row>
    <row r="20" spans="1:10">
      <c r="A20" s="1" t="s">
        <v>190</v>
      </c>
      <c r="B20" s="25" t="str">
        <f>'[2]Data_in-situ'!AY35</f>
        <v>0-20</v>
      </c>
      <c r="C20" s="12">
        <f>'[2]Data_in-situ'!AZ35</f>
        <v>447</v>
      </c>
      <c r="D20" s="12">
        <f>'[2]Data_in-situ'!BA35</f>
        <v>8</v>
      </c>
      <c r="E20" s="25" t="str">
        <f>'[1]Data_in-situ'!HB322</f>
        <v>0-10</v>
      </c>
      <c r="F20" s="12">
        <f>'[1]Data_in-situ'!HC322</f>
        <v>5.8000000000000003E-2</v>
      </c>
      <c r="G20" s="12">
        <f>'[1]Data_in-situ'!HD322</f>
        <v>9.999881102496477E-3</v>
      </c>
      <c r="H20" s="1">
        <v>0.4</v>
      </c>
      <c r="J20" s="23">
        <f t="shared" si="0"/>
        <v>380248</v>
      </c>
    </row>
    <row r="21" spans="1:10">
      <c r="A21" s="1" t="s">
        <v>190</v>
      </c>
      <c r="B21" s="25" t="str">
        <f>'[2]Data_in-situ'!AY51</f>
        <v>0-10</v>
      </c>
      <c r="C21" s="12">
        <f>'[2]Data_in-situ'!AZ51</f>
        <v>490</v>
      </c>
      <c r="E21" s="25" t="str">
        <f>'[1]Data_in-situ'!HB326</f>
        <v>0-10</v>
      </c>
      <c r="F21" s="12">
        <f>'[1]Data_in-situ'!HC326</f>
        <v>6.7000000000000004E-2</v>
      </c>
      <c r="G21" s="12">
        <f>'[1]Data_in-situ'!HD326</f>
        <v>1.1551586790814895E-2</v>
      </c>
      <c r="H21" s="1">
        <v>0.4</v>
      </c>
      <c r="J21" s="23">
        <f t="shared" si="0"/>
        <v>481506.66666666669</v>
      </c>
    </row>
    <row r="22" spans="1:10">
      <c r="A22" s="1" t="s">
        <v>190</v>
      </c>
      <c r="B22" s="25" t="str">
        <f>'[2]Data_in-situ'!AY55</f>
        <v>0-10</v>
      </c>
      <c r="C22" s="12">
        <f>'[2]Data_in-situ'!AZ55</f>
        <v>450</v>
      </c>
      <c r="D22" s="12">
        <f>'[2]Data_in-situ'!BA55</f>
        <v>8.6602540378443855</v>
      </c>
      <c r="E22" s="25" t="str">
        <f>'[1]Data_in-situ'!HB328</f>
        <v>0-10</v>
      </c>
      <c r="F22" s="12">
        <f>'[1]Data_in-situ'!HC328</f>
        <v>6.4000000000000001E-2</v>
      </c>
      <c r="G22" s="12">
        <f>'[1]Data_in-situ'!HD328</f>
        <v>1.1034351561375421E-2</v>
      </c>
      <c r="H22" s="1">
        <v>0.4</v>
      </c>
      <c r="J22" s="23">
        <f t="shared" si="0"/>
        <v>422400</v>
      </c>
    </row>
    <row r="23" spans="1:10">
      <c r="A23" s="1" t="s">
        <v>190</v>
      </c>
      <c r="B23" s="25" t="str">
        <f>'[2]Data_in-situ'!AY63</f>
        <v>0-10</v>
      </c>
      <c r="C23" s="12">
        <f>'[2]Data_in-situ'!AZ63</f>
        <v>540</v>
      </c>
      <c r="D23" s="12">
        <f>'[2]Data_in-situ'!BA63</f>
        <v>28.284271247461902</v>
      </c>
      <c r="E23" s="25" t="str">
        <f>'[1]Data_in-situ'!HB330</f>
        <v>0-10</v>
      </c>
      <c r="F23" s="12">
        <f>'[1]Data_in-situ'!HC330</f>
        <v>0.13900000000000001</v>
      </c>
      <c r="G23" s="12">
        <f>'[1]Data_in-situ'!HD330</f>
        <v>2.3965232297362245E-2</v>
      </c>
      <c r="H23" s="1">
        <v>0.4</v>
      </c>
      <c r="J23" s="23">
        <f t="shared" si="0"/>
        <v>1100880</v>
      </c>
    </row>
    <row r="24" spans="1:10">
      <c r="A24" s="1" t="s">
        <v>190</v>
      </c>
      <c r="B24" s="25" t="str">
        <f>'[2]Data_in-situ'!AY112</f>
        <v>0-10</v>
      </c>
      <c r="C24" s="12">
        <f>'[2]Data_in-situ'!AZ112</f>
        <v>503</v>
      </c>
      <c r="E24" s="25" t="str">
        <f>'[1]Data_in-situ'!HB412</f>
        <v>0-20</v>
      </c>
      <c r="F24" s="12">
        <f>'[1]Data_in-situ'!HC412</f>
        <v>0.09</v>
      </c>
      <c r="G24" s="12">
        <f>'[1]Data_in-situ'!HD412</f>
        <v>1.5517056883184187E-2</v>
      </c>
      <c r="H24" s="1">
        <v>0.4</v>
      </c>
      <c r="J24" s="23">
        <f t="shared" si="0"/>
        <v>663960</v>
      </c>
    </row>
    <row r="25" spans="1:10">
      <c r="A25" s="1" t="s">
        <v>190</v>
      </c>
      <c r="B25" s="25" t="str">
        <f>'[2]Data_in-situ'!AY113</f>
        <v>0-10</v>
      </c>
      <c r="C25" s="12">
        <f>'[2]Data_in-situ'!AZ113</f>
        <v>457.6</v>
      </c>
      <c r="E25" s="25" t="str">
        <f>'[1]Data_in-situ'!HB444</f>
        <v>0-15</v>
      </c>
      <c r="F25" s="12">
        <f>'[1]Data_in-situ'!HC444</f>
        <v>5.0999999999999997E-2</v>
      </c>
      <c r="G25" s="12">
        <f>'[1]Data_in-situ'!HD444</f>
        <v>8.7929989004710378E-3</v>
      </c>
      <c r="H25" s="1">
        <v>0.4</v>
      </c>
      <c r="J25" s="23">
        <f t="shared" si="0"/>
        <v>342284.80000000005</v>
      </c>
    </row>
    <row r="26" spans="1:10">
      <c r="A26" s="1" t="s">
        <v>190</v>
      </c>
      <c r="B26" s="25" t="str">
        <f>'[2]Data_in-situ'!AY114</f>
        <v>0-10</v>
      </c>
      <c r="C26" s="12">
        <f>'[2]Data_in-situ'!AZ114</f>
        <v>482</v>
      </c>
      <c r="E26" s="25" t="s">
        <v>312</v>
      </c>
      <c r="F26" s="12">
        <f>'[3]Nongrowing season flux of NEE'!$DA$452</f>
        <v>0.06</v>
      </c>
      <c r="G26" s="12">
        <v>0.02</v>
      </c>
      <c r="H26" s="1">
        <v>0.4</v>
      </c>
      <c r="J26" s="23">
        <f t="shared" si="0"/>
        <v>424160</v>
      </c>
    </row>
    <row r="27" spans="1:10">
      <c r="A27" s="1" t="s">
        <v>190</v>
      </c>
      <c r="B27" s="25" t="str">
        <f>'[2]Data_in-situ'!AY236</f>
        <v>0-65</v>
      </c>
      <c r="C27" s="12">
        <f>'[2]Data_in-situ'!AZ236</f>
        <v>480</v>
      </c>
      <c r="D27" s="12">
        <f>'[2]Data_in-situ'!BA236</f>
        <v>10</v>
      </c>
      <c r="E27" s="25" t="str">
        <f>'[2]Data_in-situ'!CG29</f>
        <v>0-20</v>
      </c>
      <c r="F27" s="12">
        <f>'[2]Data_in-situ'!CH29</f>
        <v>6.8000000000000005E-2</v>
      </c>
      <c r="G27" s="12">
        <f>'[2]Data_in-situ'!CI29</f>
        <v>8.9999999999999993E-3</v>
      </c>
      <c r="H27" s="1">
        <v>0.4</v>
      </c>
      <c r="J27" s="23">
        <f t="shared" si="0"/>
        <v>478720.00000000006</v>
      </c>
    </row>
    <row r="28" spans="1:10">
      <c r="A28" s="1" t="s">
        <v>190</v>
      </c>
      <c r="B28" s="25" t="str">
        <f>'[2]Data_in-situ'!AY237</f>
        <v>65-80</v>
      </c>
      <c r="C28" s="12">
        <f>'[2]Data_in-situ'!AZ237</f>
        <v>480</v>
      </c>
      <c r="D28" s="12">
        <f>'[2]Data_in-situ'!BA237</f>
        <v>20</v>
      </c>
      <c r="E28" s="25" t="str">
        <f>'[2]Data_in-situ'!CG31</f>
        <v>0-20</v>
      </c>
      <c r="F28" s="12">
        <f>'[2]Data_in-situ'!CH31</f>
        <v>6.3E-2</v>
      </c>
      <c r="G28" s="12">
        <f>'[2]Data_in-situ'!CI31</f>
        <v>1.2E-2</v>
      </c>
      <c r="H28" s="1">
        <v>0.4</v>
      </c>
      <c r="J28" s="23">
        <f t="shared" si="0"/>
        <v>443520</v>
      </c>
    </row>
    <row r="29" spans="1:10">
      <c r="A29" s="1" t="s">
        <v>190</v>
      </c>
      <c r="B29" s="25" t="str">
        <f>'[4]Data_in-situ'!AH41</f>
        <v>0-15</v>
      </c>
      <c r="C29" s="12">
        <f>'[4]Data_in-situ'!AI41</f>
        <v>466.9</v>
      </c>
      <c r="D29" s="12">
        <f>'[4]Data_in-situ'!AJ41</f>
        <v>9.3649612919648515</v>
      </c>
      <c r="E29" s="25" t="str">
        <f>'[2]Data_in-situ'!CG35</f>
        <v>0-20</v>
      </c>
      <c r="F29" s="12">
        <f>'[2]Data_in-situ'!CH35</f>
        <v>3.4000000000000002E-2</v>
      </c>
      <c r="G29" s="12">
        <f>'[2]Data_in-situ'!CI35</f>
        <v>3.0000000000000001E-3</v>
      </c>
      <c r="H29" s="1">
        <v>0.4</v>
      </c>
      <c r="J29" s="23">
        <f t="shared" si="0"/>
        <v>232827.46666666667</v>
      </c>
    </row>
    <row r="30" spans="1:10">
      <c r="A30" s="1" t="s">
        <v>190</v>
      </c>
      <c r="B30" s="25" t="str">
        <f>'[4]Data_in-situ'!AH55</f>
        <v>0-20</v>
      </c>
      <c r="C30" s="12">
        <f>'[4]Data_in-situ'!AI55</f>
        <v>496</v>
      </c>
      <c r="D30" s="12">
        <f>'[4]Data_in-situ'!AJ55</f>
        <v>8</v>
      </c>
      <c r="E30" s="25" t="str">
        <f>'[2]Data_in-situ'!CG55</f>
        <v>0-10</v>
      </c>
      <c r="F30" s="12">
        <f>'[2]Data_in-situ'!CH55</f>
        <v>0.03</v>
      </c>
      <c r="H30" s="1">
        <v>0.4</v>
      </c>
      <c r="J30" s="23">
        <f t="shared" si="0"/>
        <v>218240</v>
      </c>
    </row>
    <row r="31" spans="1:10">
      <c r="A31" s="1" t="s">
        <v>190</v>
      </c>
      <c r="B31" s="25" t="str">
        <f>'[4]Data_in-situ'!AH57</f>
        <v>0-20</v>
      </c>
      <c r="C31" s="12">
        <f>'[4]Data_in-situ'!AI57</f>
        <v>481</v>
      </c>
      <c r="D31" s="12">
        <f>'[4]Data_in-situ'!AJ57</f>
        <v>11</v>
      </c>
      <c r="E31" s="25" t="str">
        <f>'[2]Data_in-situ'!CG63</f>
        <v>0-10</v>
      </c>
      <c r="F31" s="12">
        <f>'[2]Data_in-situ'!CH63</f>
        <v>0.1</v>
      </c>
      <c r="H31" s="1">
        <v>0.4</v>
      </c>
      <c r="J31" s="23">
        <f t="shared" si="0"/>
        <v>705466.66666666663</v>
      </c>
    </row>
    <row r="32" spans="1:10">
      <c r="A32" s="1" t="s">
        <v>190</v>
      </c>
      <c r="B32" s="25" t="str">
        <f>'[4]Data_in-situ'!AH59</f>
        <v>0-20</v>
      </c>
      <c r="C32" s="12">
        <f>'[4]Data_in-situ'!AI59</f>
        <v>473</v>
      </c>
      <c r="D32" s="12">
        <f>'[4]Data_in-situ'!AJ59</f>
        <v>16</v>
      </c>
      <c r="E32" s="25" t="str">
        <f>'[2]Data_in-situ'!CG112</f>
        <v>0-10</v>
      </c>
      <c r="F32" s="12">
        <f>'[2]Data_in-situ'!CH112</f>
        <v>0.24</v>
      </c>
      <c r="G32" s="12">
        <f>'[2]Data_in-situ'!CI112</f>
        <v>0.02</v>
      </c>
      <c r="H32" s="1">
        <v>0.4</v>
      </c>
      <c r="J32" s="23">
        <f t="shared" si="0"/>
        <v>1664960.0000000002</v>
      </c>
    </row>
    <row r="33" spans="1:10">
      <c r="A33" s="1" t="s">
        <v>190</v>
      </c>
      <c r="B33" s="25" t="str">
        <f>'[4]Data_in-situ'!AH61</f>
        <v>0-20</v>
      </c>
      <c r="C33" s="12">
        <f>'[4]Data_in-situ'!AI61</f>
        <v>447</v>
      </c>
      <c r="D33" s="12">
        <f>'[4]Data_in-situ'!AJ61</f>
        <v>8</v>
      </c>
      <c r="E33" s="25" t="str">
        <f>'[2]Data_in-situ'!CG113</f>
        <v>0-10</v>
      </c>
      <c r="F33" s="12">
        <f>'[2]Data_in-situ'!CH113</f>
        <v>0.4</v>
      </c>
      <c r="G33" s="12">
        <f>'[2]Data_in-situ'!CI113</f>
        <v>0.12</v>
      </c>
      <c r="H33" s="1">
        <v>0.4</v>
      </c>
      <c r="J33" s="23">
        <f t="shared" si="0"/>
        <v>2622400</v>
      </c>
    </row>
    <row r="34" spans="1:10">
      <c r="A34" s="1" t="s">
        <v>190</v>
      </c>
      <c r="B34" s="25" t="str">
        <f>'[4]Data_in-situ'!AH63</f>
        <v>0-10</v>
      </c>
      <c r="C34" s="12">
        <f>'[4]Data_in-situ'!AI63</f>
        <v>490</v>
      </c>
      <c r="D34" s="12">
        <f>'[4]Data_in-situ'!AJ63</f>
        <v>40.466603477859259</v>
      </c>
      <c r="E34" s="25" t="str">
        <f>'[2]Data_in-situ'!CG236</f>
        <v>0-65</v>
      </c>
      <c r="F34" s="12">
        <f>'[2]Data_in-situ'!CH236</f>
        <v>0.18</v>
      </c>
      <c r="G34" s="12">
        <f>'[2]Data_in-situ'!CI236</f>
        <v>0.01</v>
      </c>
      <c r="H34" s="1">
        <v>0.4</v>
      </c>
      <c r="J34" s="23">
        <f t="shared" si="0"/>
        <v>1293600</v>
      </c>
    </row>
    <row r="35" spans="1:10">
      <c r="A35" s="1" t="s">
        <v>190</v>
      </c>
      <c r="B35" s="25" t="str">
        <f>'[4]Data_in-situ'!AH65</f>
        <v>0-20</v>
      </c>
      <c r="C35" s="12">
        <f>'[4]Data_in-situ'!AI65</f>
        <v>454</v>
      </c>
      <c r="D35" s="12">
        <f>'[4]Data_in-situ'!AJ65</f>
        <v>2.1</v>
      </c>
      <c r="E35" s="25" t="str">
        <f>'[2]Data_in-situ'!CG237</f>
        <v>65-80</v>
      </c>
      <c r="F35" s="12">
        <f>'[2]Data_in-situ'!CH237</f>
        <v>0.11</v>
      </c>
      <c r="G35" s="12">
        <f>'[2]Data_in-situ'!CI237</f>
        <v>0.01</v>
      </c>
      <c r="H35" s="1">
        <v>0.4</v>
      </c>
      <c r="J35" s="23">
        <f t="shared" si="0"/>
        <v>732453.33333333349</v>
      </c>
    </row>
    <row r="36" spans="1:10">
      <c r="A36" s="1" t="s">
        <v>190</v>
      </c>
      <c r="B36" s="25" t="str">
        <f>'[4]Data_in-situ'!AH72</f>
        <v>0-10</v>
      </c>
      <c r="C36" s="12">
        <f>'[4]Data_in-situ'!AI72</f>
        <v>540</v>
      </c>
      <c r="D36" s="12">
        <f>'[4]Data_in-situ'!AJ72</f>
        <v>28.284271247461902</v>
      </c>
      <c r="E36" s="25" t="str">
        <f>'[2]Data_in-situ'!CG238</f>
        <v>0-65</v>
      </c>
      <c r="F36" s="12">
        <f>'[2]Data_in-situ'!CH238</f>
        <v>0.18</v>
      </c>
      <c r="G36" s="12">
        <f>'[2]Data_in-situ'!CI238</f>
        <v>0.01</v>
      </c>
      <c r="H36" s="1">
        <v>0.4</v>
      </c>
      <c r="J36" s="23">
        <f t="shared" si="0"/>
        <v>1425600</v>
      </c>
    </row>
    <row r="37" spans="1:10">
      <c r="A37" s="1" t="s">
        <v>190</v>
      </c>
      <c r="B37" s="25" t="str">
        <f>'[4]Data_in-situ'!AH176</f>
        <v>0-15</v>
      </c>
      <c r="C37" s="12">
        <f>'[4]Data_in-situ'!AI176</f>
        <v>574.24593967517399</v>
      </c>
      <c r="D37" s="12">
        <f>'[4]Data_in-situ'!AJ176</f>
        <v>47.424046407359093</v>
      </c>
      <c r="E37" s="25" t="str">
        <f>'[2]Data_in-situ'!CG239</f>
        <v>65-80</v>
      </c>
      <c r="F37" s="12">
        <f>'[2]Data_in-situ'!CH239</f>
        <v>0.14000000000000001</v>
      </c>
      <c r="G37" s="12">
        <f>'[2]Data_in-situ'!CI239</f>
        <v>0.01</v>
      </c>
      <c r="H37" s="1">
        <v>0.4</v>
      </c>
      <c r="J37" s="23">
        <f t="shared" si="0"/>
        <v>1179118.3294663576</v>
      </c>
    </row>
    <row r="38" spans="1:10">
      <c r="A38" s="1" t="s">
        <v>190</v>
      </c>
      <c r="B38" s="25" t="str">
        <f>'[4]Data_in-situ'!AH262</f>
        <v>0-10</v>
      </c>
      <c r="C38" s="12">
        <f>'[4]Data_in-situ'!AI262</f>
        <v>519</v>
      </c>
      <c r="D38" s="12">
        <f>'[4]Data_in-situ'!AJ262</f>
        <v>42.861565724508075</v>
      </c>
      <c r="E38" s="25" t="str">
        <f>'[4]Data_in-situ'!GK55</f>
        <v>0-20</v>
      </c>
      <c r="F38" s="12">
        <f>'[4]Data_in-situ'!GL55</f>
        <v>6.8000000000000005E-2</v>
      </c>
      <c r="G38" s="12">
        <f>'[4]Data_in-situ'!GM55</f>
        <v>8.9999999999999993E-3</v>
      </c>
      <c r="H38" s="1">
        <v>0.4</v>
      </c>
      <c r="J38" s="23">
        <f t="shared" si="0"/>
        <v>517616.00000000006</v>
      </c>
    </row>
    <row r="39" spans="1:10">
      <c r="A39" s="1" t="s">
        <v>190</v>
      </c>
      <c r="C39" s="1"/>
      <c r="D39" s="1"/>
      <c r="E39" s="25" t="str">
        <f>'[4]Data_in-situ'!GK57</f>
        <v>0-20</v>
      </c>
      <c r="F39" s="12">
        <f>'[4]Data_in-situ'!GL57</f>
        <v>6.3E-2</v>
      </c>
      <c r="G39" s="12">
        <f>'[4]Data_in-situ'!GM57</f>
        <v>1.2E-2</v>
      </c>
    </row>
    <row r="40" spans="1:10">
      <c r="A40" s="1" t="s">
        <v>190</v>
      </c>
      <c r="C40" s="1"/>
      <c r="D40" s="1"/>
      <c r="E40" s="25" t="str">
        <f>'[4]Data_in-situ'!GK61</f>
        <v>0-20</v>
      </c>
      <c r="F40" s="12">
        <f>'[4]Data_in-situ'!GL61</f>
        <v>3.4000000000000002E-2</v>
      </c>
      <c r="G40" s="12">
        <f>'[4]Data_in-situ'!GM61</f>
        <v>3.0000000000000001E-3</v>
      </c>
    </row>
    <row r="41" spans="1:10">
      <c r="A41" s="1" t="s">
        <v>190</v>
      </c>
      <c r="C41" s="1"/>
      <c r="D41" s="1"/>
      <c r="E41" s="25" t="str">
        <f>'[4]Data_in-situ'!GK65</f>
        <v>0-20</v>
      </c>
      <c r="F41" s="12">
        <f>'[4]Data_in-situ'!GL65</f>
        <v>0.16</v>
      </c>
      <c r="G41" s="12">
        <f>'[4]Data_in-situ'!GM65</f>
        <v>0.05</v>
      </c>
    </row>
    <row r="42" spans="1:10">
      <c r="A42" s="1" t="s">
        <v>190</v>
      </c>
      <c r="C42" s="1"/>
      <c r="D42" s="1"/>
      <c r="E42" s="25" t="str">
        <f>'[4]Data_in-situ'!GK66</f>
        <v>0-10</v>
      </c>
      <c r="F42" s="12">
        <f>'[4]Data_in-situ'!GL66</f>
        <v>0.03</v>
      </c>
      <c r="G42" s="12">
        <f>'[4]Data_in-situ'!GM66</f>
        <v>5.4371583881239428E-3</v>
      </c>
    </row>
    <row r="43" spans="1:10">
      <c r="A43" s="1" t="s">
        <v>190</v>
      </c>
      <c r="C43" s="1"/>
      <c r="D43" s="1"/>
      <c r="E43" s="25" t="str">
        <f>'[4]Data_in-situ'!GK72</f>
        <v>0-10</v>
      </c>
      <c r="F43" s="12">
        <f>'[4]Data_in-situ'!GL72</f>
        <v>0.1</v>
      </c>
      <c r="G43" s="12">
        <f>'[4]Data_in-situ'!GM72</f>
        <v>1.8123861293746477E-2</v>
      </c>
    </row>
    <row r="44" spans="1:10">
      <c r="A44" s="1" t="s">
        <v>190</v>
      </c>
      <c r="C44" s="1"/>
      <c r="D44" s="1"/>
      <c r="E44" s="25" t="str">
        <f>'[4]Data_in-situ'!GK105</f>
        <v>0-20</v>
      </c>
      <c r="F44" s="12">
        <f>'[4]Data_in-situ'!GL105</f>
        <v>3.5000000000000003E-2</v>
      </c>
      <c r="G44" s="12">
        <f>'[4]Data_in-situ'!GM105</f>
        <v>6.3433514528112673E-3</v>
      </c>
    </row>
    <row r="45" spans="1:10">
      <c r="A45" s="1" t="s">
        <v>190</v>
      </c>
      <c r="C45" s="1"/>
      <c r="D45" s="1"/>
      <c r="E45" s="25" t="str">
        <f>'[4]Data_in-situ'!GK111</f>
        <v>0-20</v>
      </c>
      <c r="F45" s="12">
        <f>'[4]Data_in-situ'!GL111</f>
        <v>5.8000000000000003E-2</v>
      </c>
      <c r="G45" s="12">
        <f>'[4]Data_in-situ'!GM111</f>
        <v>1.0511839550372958E-2</v>
      </c>
    </row>
    <row r="46" spans="1:10">
      <c r="A46" s="1" t="s">
        <v>190</v>
      </c>
      <c r="C46" s="1"/>
      <c r="D46" s="1"/>
      <c r="E46" s="25" t="str">
        <f>'[4]Data_in-situ'!GK115</f>
        <v>0-20</v>
      </c>
      <c r="F46" s="12">
        <f>'[4]Data_in-situ'!GL115</f>
        <v>0.26</v>
      </c>
      <c r="G46" s="12">
        <f>'[4]Data_in-situ'!GM115</f>
        <v>4.7122039363740841E-2</v>
      </c>
    </row>
    <row r="47" spans="1:10">
      <c r="A47" s="1" t="s">
        <v>190</v>
      </c>
      <c r="C47" s="1"/>
      <c r="D47" s="1"/>
      <c r="E47" s="25" t="str">
        <f>'[4]Data_in-situ'!GK118</f>
        <v>0-20</v>
      </c>
      <c r="F47" s="12">
        <f>'[4]Data_in-situ'!GL118</f>
        <v>6.7000000000000004E-2</v>
      </c>
      <c r="G47" s="12">
        <f>'[4]Data_in-situ'!GM118</f>
        <v>1.214298706681014E-2</v>
      </c>
    </row>
    <row r="48" spans="1:10">
      <c r="A48" s="1" t="s">
        <v>190</v>
      </c>
      <c r="C48" s="1"/>
      <c r="D48" s="1"/>
      <c r="E48" s="25" t="str">
        <f>'[4]Data_in-situ'!GK120</f>
        <v>0-20</v>
      </c>
      <c r="F48" s="12">
        <f>'[4]Data_in-situ'!GL120</f>
        <v>6.4000000000000001E-2</v>
      </c>
      <c r="G48" s="12">
        <f>'[4]Data_in-situ'!GM120</f>
        <v>1.1599271227997745E-2</v>
      </c>
    </row>
    <row r="49" spans="1:10">
      <c r="A49" s="1" t="s">
        <v>190</v>
      </c>
      <c r="C49" s="1"/>
      <c r="D49" s="1"/>
      <c r="E49" s="25" t="str">
        <f>'[4]Data_in-situ'!GK122</f>
        <v>0-20</v>
      </c>
      <c r="F49" s="12">
        <f>'[4]Data_in-situ'!GL122</f>
        <v>0.13900000000000001</v>
      </c>
      <c r="G49" s="12">
        <f>'[4]Data_in-situ'!GM122</f>
        <v>2.5192167198307604E-2</v>
      </c>
    </row>
    <row r="50" spans="1:10">
      <c r="A50" s="1" t="s">
        <v>190</v>
      </c>
      <c r="E50" s="25" t="str">
        <f>'[4]Data_in-situ'!GK123</f>
        <v>0-10</v>
      </c>
      <c r="F50" s="12">
        <f>'[4]Data_in-situ'!GL123</f>
        <v>3.5000000000000003E-2</v>
      </c>
      <c r="G50" s="12">
        <f>'[4]Data_in-situ'!GM123</f>
        <v>6.3433514528112673E-3</v>
      </c>
    </row>
    <row r="51" spans="1:10">
      <c r="A51" s="1" t="s">
        <v>190</v>
      </c>
      <c r="E51" s="25" t="str">
        <f>'[4]Data_in-situ'!GK129</f>
        <v>0-10</v>
      </c>
      <c r="F51" s="12">
        <f>'[4]Data_in-situ'!GL129</f>
        <v>5.8000000000000003E-2</v>
      </c>
      <c r="G51" s="12">
        <f>'[4]Data_in-situ'!GM129</f>
        <v>1.0511839550372958E-2</v>
      </c>
    </row>
    <row r="52" spans="1:10">
      <c r="A52" s="1" t="s">
        <v>190</v>
      </c>
      <c r="C52" s="1"/>
      <c r="D52" s="1"/>
      <c r="E52" s="25" t="str">
        <f>'[4]Data_in-situ'!GK133</f>
        <v>0-10</v>
      </c>
      <c r="F52" s="12">
        <f>'[4]Data_in-situ'!GL133</f>
        <v>6.7000000000000004E-2</v>
      </c>
      <c r="G52" s="12">
        <f>'[4]Data_in-situ'!GM133</f>
        <v>1.214298706681014E-2</v>
      </c>
    </row>
    <row r="53" spans="1:10">
      <c r="A53" s="1" t="s">
        <v>190</v>
      </c>
      <c r="C53" s="1"/>
      <c r="D53" s="1"/>
      <c r="E53" s="25" t="str">
        <f>'[4]Data_in-situ'!GK135</f>
        <v>0-10</v>
      </c>
      <c r="F53" s="12">
        <f>'[4]Data_in-situ'!GL135</f>
        <v>6.4000000000000001E-2</v>
      </c>
      <c r="G53" s="12">
        <f>'[4]Data_in-situ'!GM135</f>
        <v>1.1599271227997745E-2</v>
      </c>
    </row>
    <row r="54" spans="1:10">
      <c r="A54" s="1" t="s">
        <v>190</v>
      </c>
      <c r="C54" s="1"/>
      <c r="D54" s="1"/>
      <c r="E54" s="25" t="str">
        <f>'[4]Data_in-situ'!GK137</f>
        <v>0-10</v>
      </c>
      <c r="F54" s="12">
        <f>'[4]Data_in-situ'!GL137</f>
        <v>0.13900000000000001</v>
      </c>
      <c r="G54" s="12">
        <f>'[4]Data_in-situ'!GM137</f>
        <v>2.5192167198307604E-2</v>
      </c>
    </row>
    <row r="55" spans="1:10">
      <c r="A55" s="1" t="s">
        <v>190</v>
      </c>
      <c r="C55" s="1"/>
      <c r="D55" s="1"/>
      <c r="E55" s="25" t="str">
        <f>'[4]Data_in-situ'!GK176</f>
        <v>0-15</v>
      </c>
      <c r="F55" s="12">
        <f>'[4]Data_in-situ'!GL176</f>
        <v>5.0999999999999997E-2</v>
      </c>
      <c r="G55" s="12">
        <f>'[4]Data_in-situ'!GM176</f>
        <v>9.2431692598107032E-3</v>
      </c>
    </row>
    <row r="56" spans="1:10">
      <c r="A56" s="1" t="s">
        <v>190</v>
      </c>
      <c r="C56" s="1"/>
      <c r="D56" s="1"/>
      <c r="E56" s="25" t="str">
        <f>'[4]Data_in-situ'!GK178</f>
        <v>0-15</v>
      </c>
      <c r="F56" s="12">
        <f>'[4]Data_in-situ'!GL178</f>
        <v>5.0999999999999997E-2</v>
      </c>
      <c r="G56" s="12">
        <f>'[4]Data_in-situ'!GM178</f>
        <v>9.2431692598107032E-3</v>
      </c>
    </row>
    <row r="57" spans="1:10">
      <c r="A57" s="1" t="s">
        <v>190</v>
      </c>
      <c r="C57" s="1"/>
      <c r="D57" s="1"/>
      <c r="E57" s="25" t="str">
        <f>'[4]Data_in-situ'!GK262</f>
        <v>0-10</v>
      </c>
      <c r="F57" s="12">
        <f>'[4]Data_in-situ'!GL262</f>
        <v>6.0900000000000003E-2</v>
      </c>
      <c r="G57" s="12">
        <f>'[4]Data_in-situ'!GM262</f>
        <v>1.1037431527891604E-2</v>
      </c>
    </row>
    <row r="58" spans="1:10">
      <c r="E58" s="25"/>
    </row>
    <row r="59" spans="1:10">
      <c r="A59" s="1" t="s">
        <v>313</v>
      </c>
      <c r="C59" s="12">
        <f>AVERAGEA(C3:C57)</f>
        <v>483.10938386181999</v>
      </c>
      <c r="F59" s="12">
        <f>AVERAGEA(F3:F57)</f>
        <v>8.6607272727272769E-2</v>
      </c>
      <c r="H59" s="1">
        <v>0.4</v>
      </c>
      <c r="J59" s="23"/>
    </row>
    <row r="60" spans="1:10">
      <c r="A60" s="1" t="s">
        <v>314</v>
      </c>
      <c r="C60" s="12">
        <f>STDEVA(C3:C57)/SQRT(COUNT(C3:C57))</f>
        <v>7.6676372981721599</v>
      </c>
      <c r="F60" s="12">
        <f>STDEVA(F3:F57)/SQRT(COUNT(F3:F57))</f>
        <v>8.9683689775873453E-3</v>
      </c>
      <c r="H60" s="1">
        <v>0.4</v>
      </c>
      <c r="J60" s="23"/>
    </row>
    <row r="65" spans="1:10">
      <c r="A65" s="1" t="s">
        <v>185</v>
      </c>
      <c r="B65" s="25" t="str">
        <f>'[1]Data_in-situ'!AS14</f>
        <v>0-10</v>
      </c>
      <c r="C65" s="12">
        <f>'[1]Data_in-situ'!AT14</f>
        <v>206.37</v>
      </c>
      <c r="D65" s="12">
        <f>'[1]Data_in-situ'!AU14</f>
        <v>34.79</v>
      </c>
      <c r="E65" s="25" t="str">
        <f>'[1]Data_in-situ'!HB14</f>
        <v>0-10</v>
      </c>
      <c r="F65" s="12">
        <f>'[1]Data_in-situ'!HC14</f>
        <v>0.31</v>
      </c>
      <c r="G65" s="12">
        <f>'[1]Data_in-situ'!HD14</f>
        <v>6.8000000000000005E-2</v>
      </c>
      <c r="H65" s="1">
        <v>0.4</v>
      </c>
      <c r="J65" s="23">
        <f t="shared" ref="J65:J102" si="1">C65*1*H65*10^4*F65*1000/1000*44/12</f>
        <v>938295.6</v>
      </c>
    </row>
    <row r="66" spans="1:10">
      <c r="A66" s="1" t="s">
        <v>185</v>
      </c>
      <c r="B66" s="25" t="str">
        <f>'[1]Data_in-situ'!AS16</f>
        <v>0-10</v>
      </c>
      <c r="C66" s="12">
        <f>'[1]Data_in-situ'!AT16</f>
        <v>160.87</v>
      </c>
      <c r="D66" s="12">
        <f>'[1]Data_in-situ'!AU16</f>
        <v>69.680000000000007</v>
      </c>
      <c r="E66" s="25" t="str">
        <f>'[1]Data_in-situ'!HB16</f>
        <v>0-10</v>
      </c>
      <c r="F66" s="12">
        <f>'[1]Data_in-situ'!HC16</f>
        <v>0.35199999999999998</v>
      </c>
      <c r="G66" s="12">
        <f>'[1]Data_in-situ'!HD16</f>
        <v>8.3000000000000004E-2</v>
      </c>
      <c r="H66" s="1">
        <v>0.4</v>
      </c>
      <c r="J66" s="23">
        <f t="shared" si="1"/>
        <v>830518.18666666665</v>
      </c>
    </row>
    <row r="67" spans="1:10">
      <c r="A67" s="1" t="s">
        <v>185</v>
      </c>
      <c r="B67" s="25" t="str">
        <f>'[1]Data_in-situ'!AS33</f>
        <v>0-25</v>
      </c>
      <c r="C67" s="12">
        <f>'[1]Data_in-situ'!AT33</f>
        <v>410</v>
      </c>
      <c r="D67" s="12">
        <f>'[1]Data_in-situ'!AU33</f>
        <v>20</v>
      </c>
      <c r="E67" s="25" t="str">
        <f>'[1]Data_in-situ'!HB33</f>
        <v>0-5</v>
      </c>
      <c r="F67" s="12">
        <f>'[1]Data_in-situ'!HC33</f>
        <v>0.1</v>
      </c>
      <c r="G67" s="12">
        <f>'[1]Data_in-situ'!HD33</f>
        <v>0.02</v>
      </c>
      <c r="H67" s="1">
        <v>0.4</v>
      </c>
      <c r="J67" s="23">
        <f t="shared" si="1"/>
        <v>601333.33333333337</v>
      </c>
    </row>
    <row r="68" spans="1:10">
      <c r="A68" s="1" t="s">
        <v>185</v>
      </c>
      <c r="B68" s="25" t="str">
        <f>'[1]Data_in-situ'!AS80</f>
        <v>0-10</v>
      </c>
      <c r="C68" s="12">
        <f>'[1]Data_in-situ'!AT80</f>
        <v>521.29999999999995</v>
      </c>
      <c r="D68" s="12">
        <f>'[1]Data_in-situ'!AU80</f>
        <v>44.585300716297766</v>
      </c>
      <c r="E68" s="25" t="str">
        <f>'[1]Data_in-situ'!HB80</f>
        <v>0-10</v>
      </c>
      <c r="F68" s="12">
        <f>'[1]Data_in-situ'!HC80</f>
        <v>0.156</v>
      </c>
      <c r="G68" s="12">
        <f>'[1]Data_in-situ'!HD80</f>
        <v>4.0000000000000001E-3</v>
      </c>
      <c r="H68" s="1">
        <v>0.4</v>
      </c>
      <c r="J68" s="23">
        <f t="shared" si="1"/>
        <v>1192734.3999999997</v>
      </c>
    </row>
    <row r="69" spans="1:10">
      <c r="A69" s="1" t="s">
        <v>185</v>
      </c>
      <c r="B69" s="25" t="str">
        <f>'[1]Data_in-situ'!AS112</f>
        <v>0-15</v>
      </c>
      <c r="C69" s="12">
        <f>'[1]Data_in-situ'!AT112</f>
        <v>97.177304964539019</v>
      </c>
      <c r="D69" s="12">
        <f>'[1]Data_in-situ'!AU112</f>
        <v>1.4478677078300162E-2</v>
      </c>
      <c r="E69" s="25" t="str">
        <f>'[1]Data_in-situ'!HB112</f>
        <v>0-15</v>
      </c>
      <c r="F69" s="12">
        <f>'[1]Data_in-situ'!HC112</f>
        <v>0.94</v>
      </c>
      <c r="G69" s="12">
        <f>'[1]Data_in-situ'!HD112</f>
        <v>0.17320508075688773</v>
      </c>
      <c r="H69" s="1">
        <v>0.4</v>
      </c>
      <c r="J69" s="23">
        <f t="shared" si="1"/>
        <v>1339751.1111111112</v>
      </c>
    </row>
    <row r="70" spans="1:10">
      <c r="A70" s="1" t="s">
        <v>185</v>
      </c>
      <c r="B70" s="25" t="str">
        <f>'[1]Data_in-situ'!AS116</f>
        <v>0-15</v>
      </c>
      <c r="C70" s="12">
        <f>'[1]Data_in-situ'!AT116</f>
        <v>105.83333333333334</v>
      </c>
      <c r="D70" s="12">
        <f>'[1]Data_in-situ'!AU116</f>
        <v>2.2997342020000547E-2</v>
      </c>
      <c r="E70" s="25" t="str">
        <f>'[1]Data_in-situ'!HB116</f>
        <v>0-15</v>
      </c>
      <c r="F70" s="12">
        <f>'[1]Data_in-situ'!HC116</f>
        <v>0.84</v>
      </c>
      <c r="G70" s="12">
        <f>'[1]Data_in-situ'!HD116</f>
        <v>0.20784609690826525</v>
      </c>
      <c r="H70" s="1">
        <v>0.4</v>
      </c>
      <c r="J70" s="23">
        <f t="shared" si="1"/>
        <v>1303866.6666666667</v>
      </c>
    </row>
    <row r="71" spans="1:10">
      <c r="A71" s="1" t="s">
        <v>185</v>
      </c>
      <c r="B71" s="25" t="str">
        <f>'[1]Data_in-situ'!AS120</f>
        <v>0-15</v>
      </c>
      <c r="C71" s="12">
        <f>'[1]Data_in-situ'!AT120</f>
        <v>108.85365853658537</v>
      </c>
      <c r="D71" s="12">
        <f>'[1]Data_in-situ'!AU120</f>
        <v>1.7270220770266173E-2</v>
      </c>
      <c r="E71" s="25" t="str">
        <f>'[1]Data_in-situ'!HB120</f>
        <v>0-15</v>
      </c>
      <c r="F71" s="12">
        <f>'[1]Data_in-situ'!HC120</f>
        <v>0.82</v>
      </c>
      <c r="G71" s="12">
        <f>'[1]Data_in-situ'!HD120</f>
        <v>0.12124355652982141</v>
      </c>
      <c r="H71" s="1">
        <v>0.4</v>
      </c>
      <c r="J71" s="23">
        <f t="shared" si="1"/>
        <v>1309146.6666666667</v>
      </c>
    </row>
    <row r="72" spans="1:10">
      <c r="A72" s="1" t="s">
        <v>185</v>
      </c>
      <c r="B72" s="25" t="str">
        <f>'[1]Data_in-situ'!AS122</f>
        <v>0-15</v>
      </c>
      <c r="C72" s="12">
        <f>'[1]Data_in-situ'!AT122</f>
        <v>96.373015873015888</v>
      </c>
      <c r="D72" s="12">
        <f>'[1]Data_in-situ'!AU122</f>
        <v>2.1326282023838253E-2</v>
      </c>
      <c r="E72" s="25" t="str">
        <f>'[1]Data_in-situ'!HB122</f>
        <v>0-15</v>
      </c>
      <c r="F72" s="12">
        <f>'[1]Data_in-situ'!HC122</f>
        <v>0.84</v>
      </c>
      <c r="G72" s="12">
        <f>'[1]Data_in-situ'!HD122</f>
        <v>0.22516660498395405</v>
      </c>
      <c r="H72" s="1">
        <v>0.4</v>
      </c>
      <c r="J72" s="23">
        <f t="shared" si="1"/>
        <v>1187315.555555556</v>
      </c>
    </row>
    <row r="73" spans="1:10">
      <c r="A73" s="1" t="s">
        <v>185</v>
      </c>
      <c r="B73" s="25" t="str">
        <f>'[1]Data_in-situ'!AS124</f>
        <v>0-15</v>
      </c>
      <c r="C73" s="12">
        <f>'[1]Data_in-situ'!AT124</f>
        <v>91.948220064724921</v>
      </c>
      <c r="D73" s="12">
        <f>'[1]Data_in-situ'!AU124</f>
        <v>1.9252700296627283E-2</v>
      </c>
      <c r="E73" s="25" t="str">
        <f>'[1]Data_in-situ'!HB124</f>
        <v>0-15</v>
      </c>
      <c r="F73" s="12">
        <f>'[1]Data_in-situ'!HC124</f>
        <v>1.03</v>
      </c>
      <c r="G73" s="12">
        <f>'[1]Data_in-situ'!HD124</f>
        <v>0.20784609690826525</v>
      </c>
      <c r="H73" s="1">
        <v>0.4</v>
      </c>
      <c r="J73" s="23">
        <f t="shared" si="1"/>
        <v>1389031.1111111112</v>
      </c>
    </row>
    <row r="74" spans="1:10">
      <c r="A74" s="1" t="s">
        <v>185</v>
      </c>
      <c r="B74" s="25" t="str">
        <f>'[1]Data_in-situ'!AS126</f>
        <v>0-15</v>
      </c>
      <c r="C74" s="12">
        <f>'[1]Data_in-situ'!AT126</f>
        <v>163.6521739130435</v>
      </c>
      <c r="D74" s="12">
        <f>'[1]Data_in-situ'!AU126</f>
        <v>2.1844125519026765E-2</v>
      </c>
      <c r="E74" s="25" t="str">
        <f>'[1]Data_in-situ'!HB126</f>
        <v>0-15</v>
      </c>
      <c r="F74" s="12">
        <f>'[1]Data_in-situ'!HC126</f>
        <v>0.69</v>
      </c>
      <c r="G74" s="12">
        <f>'[1]Data_in-situ'!HD126</f>
        <v>8.6602540378443865E-2</v>
      </c>
      <c r="H74" s="1">
        <v>0.4</v>
      </c>
      <c r="J74" s="23">
        <f t="shared" si="1"/>
        <v>1656160.0000000002</v>
      </c>
    </row>
    <row r="75" spans="1:10">
      <c r="A75" s="1" t="s">
        <v>185</v>
      </c>
      <c r="B75" s="25" t="str">
        <f>'[1]Data_in-situ'!AS134</f>
        <v>0-20</v>
      </c>
      <c r="C75" s="12">
        <f>'[1]Data_in-situ'!AT134</f>
        <v>454</v>
      </c>
      <c r="D75" s="12">
        <f>'[1]Data_in-situ'!AU134</f>
        <v>2.1</v>
      </c>
      <c r="E75" s="25" t="str">
        <f>'[1]Data_in-situ'!HB134</f>
        <v>0-20</v>
      </c>
      <c r="F75" s="12">
        <f>'[1]Data_in-situ'!HC134</f>
        <v>0.16</v>
      </c>
      <c r="G75" s="12">
        <f>'[1]Data_in-situ'!HD134</f>
        <v>0.05</v>
      </c>
      <c r="H75" s="1">
        <v>0.4</v>
      </c>
      <c r="J75" s="23">
        <f t="shared" si="1"/>
        <v>1065386.6666666667</v>
      </c>
    </row>
    <row r="76" spans="1:10">
      <c r="A76" s="1" t="s">
        <v>185</v>
      </c>
      <c r="B76" s="25" t="str">
        <f>'[1]Data_in-situ'!AS156</f>
        <v>0-60</v>
      </c>
      <c r="C76" s="12">
        <f>'[1]Data_in-situ'!AT156</f>
        <v>38.178654292343381</v>
      </c>
      <c r="D76" s="12">
        <f>'[1]Data_in-situ'!AU156</f>
        <v>7.9118329466357311</v>
      </c>
      <c r="E76" s="25" t="str">
        <f>'[1]Data_in-situ'!HB156</f>
        <v>0-60</v>
      </c>
      <c r="F76" s="12">
        <f>'[1]Data_in-situ'!HC156</f>
        <v>0.36</v>
      </c>
      <c r="G76" s="12">
        <f>'[1]Data_in-situ'!HD156</f>
        <v>0.01</v>
      </c>
      <c r="H76" s="1">
        <v>0.4</v>
      </c>
      <c r="J76" s="23">
        <f t="shared" si="1"/>
        <v>201583.29466357303</v>
      </c>
    </row>
    <row r="77" spans="1:10">
      <c r="A77" s="1" t="s">
        <v>185</v>
      </c>
      <c r="B77" s="25" t="str">
        <f>'[1]Data_in-situ'!AS163</f>
        <v>0-10</v>
      </c>
      <c r="C77" s="12">
        <f>'[1]Data_in-situ'!AT163</f>
        <v>149</v>
      </c>
      <c r="D77" s="12">
        <f>'[1]Data_in-situ'!AU163</f>
        <v>12.743544612945268</v>
      </c>
      <c r="E77" s="25" t="str">
        <f>'[1]Data_in-situ'!HB182</f>
        <v>0-10</v>
      </c>
      <c r="F77" s="12">
        <f>'[1]Data_in-situ'!HC182</f>
        <v>0.31</v>
      </c>
      <c r="G77" s="12">
        <f>'[1]Data_in-situ'!HD182</f>
        <v>6.9282032302755092E-2</v>
      </c>
      <c r="H77" s="1">
        <v>0.4</v>
      </c>
      <c r="J77" s="23">
        <f t="shared" si="1"/>
        <v>677453.33333333337</v>
      </c>
    </row>
    <row r="78" spans="1:10">
      <c r="A78" s="1" t="s">
        <v>185</v>
      </c>
      <c r="B78" s="25" t="str">
        <f>'[1]Data_in-situ'!AS166</f>
        <v>0-10</v>
      </c>
      <c r="C78" s="12">
        <f>'[1]Data_in-situ'!AT166</f>
        <v>145</v>
      </c>
      <c r="D78" s="12">
        <f>'[1]Data_in-situ'!AU166</f>
        <v>12.401436032731972</v>
      </c>
      <c r="E78" s="25" t="str">
        <f>'[1]Data_in-situ'!HB185</f>
        <v>0-10</v>
      </c>
      <c r="F78" s="12">
        <f>'[1]Data_in-situ'!HC185</f>
        <v>0.35</v>
      </c>
      <c r="G78" s="12">
        <f>'[1]Data_in-situ'!HD185</f>
        <v>8.6602540378443865E-2</v>
      </c>
      <c r="H78" s="1">
        <v>0.4</v>
      </c>
      <c r="J78" s="23">
        <f t="shared" si="1"/>
        <v>744333.33333333337</v>
      </c>
    </row>
    <row r="79" spans="1:10">
      <c r="A79" s="1" t="s">
        <v>185</v>
      </c>
      <c r="B79" s="25" t="str">
        <f>'[1]Data_in-situ'!AS182</f>
        <v>0-10</v>
      </c>
      <c r="C79" s="12">
        <f>'[1]Data_in-situ'!AT182</f>
        <v>206.37</v>
      </c>
      <c r="D79" s="12">
        <f>'[1]Data_in-situ'!AU182</f>
        <v>34.796900724058744</v>
      </c>
      <c r="E79" s="25" t="str">
        <f>'[1]Data_in-situ'!HB188</f>
        <v>0-10</v>
      </c>
      <c r="F79" s="12">
        <f>'[1]Data_in-situ'!HC188</f>
        <v>0.31</v>
      </c>
      <c r="G79" s="12">
        <f>'[1]Data_in-situ'!HD188</f>
        <v>6.9282032302755092E-2</v>
      </c>
      <c r="H79" s="1">
        <v>0.4</v>
      </c>
      <c r="J79" s="23">
        <f t="shared" si="1"/>
        <v>938295.6</v>
      </c>
    </row>
    <row r="80" spans="1:10">
      <c r="A80" s="1" t="s">
        <v>185</v>
      </c>
      <c r="B80" s="25" t="str">
        <f>'[1]Data_in-situ'!AS185</f>
        <v>0-10</v>
      </c>
      <c r="C80" s="12">
        <f>'[1]Data_in-situ'!AT185</f>
        <v>160.87</v>
      </c>
      <c r="D80" s="12">
        <f>'[1]Data_in-situ'!AU185</f>
        <v>69.680403988495925</v>
      </c>
      <c r="E80" s="25" t="str">
        <f>'[1]Data_in-situ'!HB191</f>
        <v>0-10</v>
      </c>
      <c r="F80" s="12">
        <f>'[1]Data_in-situ'!HC191</f>
        <v>0.35</v>
      </c>
      <c r="G80" s="12">
        <f>'[1]Data_in-situ'!HD191</f>
        <v>8.6602540378443865E-2</v>
      </c>
      <c r="H80" s="1">
        <v>0.4</v>
      </c>
      <c r="J80" s="23">
        <f t="shared" si="1"/>
        <v>825799.33333333337</v>
      </c>
    </row>
    <row r="81" spans="1:10">
      <c r="A81" s="1" t="s">
        <v>185</v>
      </c>
      <c r="B81" s="25" t="str">
        <f>'[1]Data_in-situ'!AS188</f>
        <v>0-10</v>
      </c>
      <c r="C81" s="12">
        <f>'[1]Data_in-situ'!AT188</f>
        <v>206.37</v>
      </c>
      <c r="D81" s="12">
        <f>'[1]Data_in-situ'!AU188</f>
        <v>34.796900724058744</v>
      </c>
      <c r="E81" s="25" t="str">
        <f>'[1]Data_in-situ'!HB203</f>
        <v>0-10</v>
      </c>
      <c r="F81" s="12">
        <f>'[1]Data_in-situ'!HC203</f>
        <v>0.14000000000000001</v>
      </c>
      <c r="G81" s="12">
        <f>'[1]Data_in-situ'!HD203</f>
        <v>2.4494897427831779E-2</v>
      </c>
      <c r="H81" s="1">
        <v>0.4</v>
      </c>
      <c r="J81" s="23">
        <f t="shared" si="1"/>
        <v>423746.40000000008</v>
      </c>
    </row>
    <row r="82" spans="1:10">
      <c r="A82" s="1" t="s">
        <v>185</v>
      </c>
      <c r="B82" s="25" t="str">
        <f>'[1]Data_in-situ'!AS191</f>
        <v>0-10</v>
      </c>
      <c r="C82" s="12">
        <f>'[1]Data_in-situ'!AT191</f>
        <v>160.87</v>
      </c>
      <c r="D82" s="12">
        <f>'[1]Data_in-situ'!AU191</f>
        <v>69.680403988495925</v>
      </c>
      <c r="E82" s="25" t="str">
        <f>'[1]Data_in-situ'!HB213</f>
        <v>0-10</v>
      </c>
      <c r="F82" s="12">
        <f>'[1]Data_in-situ'!HC213</f>
        <v>0.13</v>
      </c>
      <c r="G82" s="12">
        <f>'[1]Data_in-situ'!HD213</f>
        <v>1.7320508075688773E-2</v>
      </c>
      <c r="H82" s="1">
        <v>0.4</v>
      </c>
      <c r="J82" s="23">
        <f t="shared" si="1"/>
        <v>306725.46666666673</v>
      </c>
    </row>
    <row r="83" spans="1:10">
      <c r="A83" s="1" t="s">
        <v>185</v>
      </c>
      <c r="B83" s="25" t="str">
        <f>'[1]Data_in-situ'!AS193</f>
        <v>0-10</v>
      </c>
      <c r="C83" s="12">
        <f>'[1]Data_in-situ'!AT193</f>
        <v>206.37</v>
      </c>
      <c r="D83" s="12">
        <f>'[1]Data_in-situ'!AU193</f>
        <v>34.796900724058744</v>
      </c>
      <c r="E83" s="25" t="str">
        <f>'[1]Data_in-situ'!HB216</f>
        <v>0-15</v>
      </c>
      <c r="F83" s="12">
        <f>'[1]Data_in-situ'!HC216</f>
        <v>0.01</v>
      </c>
      <c r="G83" s="12">
        <f>'[1]Data_in-situ'!HD216</f>
        <v>1.7241174314649096E-3</v>
      </c>
      <c r="H83" s="1">
        <v>0.4</v>
      </c>
      <c r="J83" s="23">
        <f t="shared" si="1"/>
        <v>30267.599999999995</v>
      </c>
    </row>
    <row r="84" spans="1:10">
      <c r="A84" s="1" t="s">
        <v>185</v>
      </c>
      <c r="B84" s="25" t="str">
        <f>'[1]Data_in-situ'!AS203</f>
        <v>0-10</v>
      </c>
      <c r="C84" s="12">
        <f>'[1]Data_in-situ'!AT203</f>
        <v>352</v>
      </c>
      <c r="D84" s="12">
        <f>'[1]Data_in-situ'!AU203</f>
        <v>24.248711305964282</v>
      </c>
      <c r="E84" s="25" t="str">
        <f>'[1]Data_in-situ'!HB219</f>
        <v>0-10</v>
      </c>
      <c r="F84" s="12">
        <f>'[1]Data_in-situ'!HC219</f>
        <v>0.13</v>
      </c>
      <c r="G84" s="12">
        <f>'[1]Data_in-situ'!HD219</f>
        <v>1.7320508075688773E-2</v>
      </c>
      <c r="H84" s="1">
        <v>0.4</v>
      </c>
      <c r="J84" s="23">
        <f t="shared" si="1"/>
        <v>671146.66666666663</v>
      </c>
    </row>
    <row r="85" spans="1:10">
      <c r="A85" s="1" t="s">
        <v>185</v>
      </c>
      <c r="B85" s="25" t="str">
        <f>'[1]Data_in-situ'!AS213</f>
        <v>0-15</v>
      </c>
      <c r="C85" s="12">
        <f>'[1]Data_in-situ'!AT213</f>
        <v>499.4</v>
      </c>
      <c r="D85" s="12">
        <f>'[1]Data_in-situ'!AU213</f>
        <v>7.9674337148168348</v>
      </c>
      <c r="E85" s="25" t="str">
        <f>'[1]Data_in-situ'!HB272</f>
        <v>0-10</v>
      </c>
      <c r="F85" s="12">
        <f>'[1]Data_in-situ'!HC272</f>
        <v>0.02</v>
      </c>
      <c r="G85" s="12">
        <f>'[1]Data_in-situ'!HD272</f>
        <v>8.4852813742385715E-3</v>
      </c>
      <c r="H85" s="1">
        <v>0.4</v>
      </c>
      <c r="J85" s="23">
        <f t="shared" si="1"/>
        <v>146490.66666666666</v>
      </c>
    </row>
    <row r="86" spans="1:10">
      <c r="A86" s="1" t="s">
        <v>185</v>
      </c>
      <c r="B86" s="25" t="str">
        <f>'[1]Data_in-situ'!AS216</f>
        <v>0-15</v>
      </c>
      <c r="C86" s="12">
        <f>'[1]Data_in-situ'!AT216</f>
        <v>530</v>
      </c>
      <c r="D86" s="12">
        <f>'[1]Data_in-situ'!AU216</f>
        <v>45.329386878261687</v>
      </c>
      <c r="E86" s="25" t="str">
        <f>'[1]Data_in-situ'!HB273</f>
        <v>0-10</v>
      </c>
      <c r="F86" s="12">
        <f>'[1]Data_in-situ'!HC273</f>
        <v>0.04</v>
      </c>
      <c r="G86" s="12">
        <f>'[1]Data_in-situ'!HD273</f>
        <v>5.656854249492381E-3</v>
      </c>
      <c r="H86" s="1">
        <v>0.4</v>
      </c>
      <c r="J86" s="23">
        <f t="shared" si="1"/>
        <v>310933.33333333331</v>
      </c>
    </row>
    <row r="87" spans="1:10">
      <c r="A87" s="1" t="s">
        <v>185</v>
      </c>
      <c r="B87" s="25" t="str">
        <f>'[1]Data_in-situ'!AS217</f>
        <v>0-10</v>
      </c>
      <c r="C87" s="12">
        <f>'[1]Data_in-situ'!AT217</f>
        <v>350</v>
      </c>
      <c r="D87" s="12">
        <f>'[1]Data_in-situ'!AU217</f>
        <v>29.93450076866338</v>
      </c>
      <c r="E87" s="25" t="str">
        <f>'[1]Data_in-situ'!HB394</f>
        <v>0-10</v>
      </c>
      <c r="F87" s="12">
        <f>'[1]Data_in-situ'!HC394</f>
        <v>0.83443708609271505</v>
      </c>
      <c r="G87" s="12">
        <f>'[1]Data_in-situ'!HD394</f>
        <v>0.21324503311258391</v>
      </c>
      <c r="H87" s="1">
        <v>0.4</v>
      </c>
      <c r="J87" s="23">
        <f t="shared" si="1"/>
        <v>4283443.7086092709</v>
      </c>
    </row>
    <row r="88" spans="1:10">
      <c r="A88" s="1" t="s">
        <v>185</v>
      </c>
      <c r="B88" s="25" t="str">
        <f>'[1]Data_in-situ'!AS219</f>
        <v>0-10</v>
      </c>
      <c r="C88" s="12">
        <f>'[1]Data_in-situ'!AT219</f>
        <v>460.92</v>
      </c>
      <c r="D88" s="12">
        <f>'[1]Data_in-situ'!AU219</f>
        <v>8.6948950539957632</v>
      </c>
      <c r="E88" s="25" t="str">
        <f>'[1]Data_in-situ'!HB416</f>
        <v>0-30</v>
      </c>
      <c r="F88" s="12">
        <f>'[1]Data_in-situ'!HC416</f>
        <v>0.12</v>
      </c>
      <c r="G88" s="12">
        <f>'[1]Data_in-situ'!HD416</f>
        <v>0.02</v>
      </c>
      <c r="H88" s="1">
        <v>0.4</v>
      </c>
      <c r="J88" s="23">
        <f t="shared" si="1"/>
        <v>811219.20000000007</v>
      </c>
    </row>
    <row r="89" spans="1:10">
      <c r="A89" s="1" t="s">
        <v>185</v>
      </c>
      <c r="B89" s="25" t="str">
        <f>'[1]Data_in-situ'!AS331</f>
        <v>0-10</v>
      </c>
      <c r="C89" s="12">
        <f>'[1]Data_in-situ'!AT331</f>
        <v>251.7</v>
      </c>
      <c r="D89" s="12">
        <f>'[1]Data_in-situ'!AU331</f>
        <v>4.8151012450414781</v>
      </c>
      <c r="E89" s="25" t="str">
        <f>'[1]Data_in-situ'!HB417</f>
        <v>0-30</v>
      </c>
      <c r="F89" s="12">
        <f>'[1]Data_in-situ'!HC417</f>
        <v>0.06</v>
      </c>
      <c r="G89" s="12">
        <f>'[1]Data_in-situ'!HD417</f>
        <v>0.01</v>
      </c>
      <c r="H89" s="1">
        <v>0.4</v>
      </c>
      <c r="J89" s="23">
        <f t="shared" si="1"/>
        <v>221496.00000000003</v>
      </c>
    </row>
    <row r="90" spans="1:10">
      <c r="A90" s="1" t="s">
        <v>185</v>
      </c>
      <c r="B90" s="25" t="str">
        <f>'[1]Data_in-situ'!AS364</f>
        <v>0-10</v>
      </c>
      <c r="C90" s="12">
        <f>'[1]Data_in-situ'!AT364</f>
        <v>350</v>
      </c>
      <c r="D90" s="12">
        <f>'[1]Data_in-situ'!AU364</f>
        <v>29.93450076866338</v>
      </c>
      <c r="E90" s="25" t="str">
        <f>'[1]Data_in-situ'!HB441</f>
        <v>0-5</v>
      </c>
      <c r="F90" s="12">
        <f>'[1]Data_in-situ'!HC441</f>
        <v>0.1</v>
      </c>
      <c r="G90" s="12">
        <f>'[1]Data_in-situ'!HD441</f>
        <v>0.02</v>
      </c>
      <c r="H90" s="1">
        <v>0.4</v>
      </c>
      <c r="J90" s="23">
        <f t="shared" si="1"/>
        <v>513333.33333333331</v>
      </c>
    </row>
    <row r="91" spans="1:10">
      <c r="A91" s="1" t="s">
        <v>185</v>
      </c>
      <c r="B91" s="25" t="str">
        <f>'[1]Data_in-situ'!AS394</f>
        <v>0-10</v>
      </c>
      <c r="C91" s="12">
        <f>'[1]Data_in-situ'!AT394</f>
        <v>82.029520295203014</v>
      </c>
      <c r="D91" s="12">
        <f>'[1]Data_in-situ'!AU394</f>
        <v>6.6420664206641788</v>
      </c>
      <c r="E91" s="25" t="str">
        <f>'[2]Data_in-situ'!CG2</f>
        <v>0-5</v>
      </c>
      <c r="F91" s="12">
        <f>'[2]Data_in-situ'!CH2</f>
        <v>0.1</v>
      </c>
      <c r="G91" s="12">
        <f>'[2]Data_in-situ'!CI2</f>
        <v>0.02</v>
      </c>
      <c r="H91" s="1">
        <v>0.4</v>
      </c>
      <c r="J91" s="23">
        <f t="shared" si="1"/>
        <v>120309.96309963109</v>
      </c>
    </row>
    <row r="92" spans="1:10">
      <c r="A92" s="1" t="s">
        <v>185</v>
      </c>
      <c r="B92" s="25" t="str">
        <f>'[1]Data_in-situ'!AS416</f>
        <v>0-30</v>
      </c>
      <c r="C92" s="12">
        <f>'[1]Data_in-situ'!AT416</f>
        <v>479</v>
      </c>
      <c r="D92" s="12">
        <f>'[1]Data_in-situ'!AU416</f>
        <v>15</v>
      </c>
      <c r="E92" s="25" t="str">
        <f>'[2]Data_in-situ'!CG87</f>
        <v>0-10</v>
      </c>
      <c r="F92" s="12">
        <f>'[2]Data_in-situ'!CH87</f>
        <v>0.14000000000000001</v>
      </c>
      <c r="G92" s="12">
        <f>'[2]Data_in-situ'!CI87</f>
        <v>2.4494897427831779E-2</v>
      </c>
      <c r="H92" s="1">
        <v>0.4</v>
      </c>
      <c r="J92" s="23">
        <f t="shared" si="1"/>
        <v>983546.66666666686</v>
      </c>
    </row>
    <row r="93" spans="1:10">
      <c r="A93" s="1" t="s">
        <v>185</v>
      </c>
      <c r="B93" s="25" t="str">
        <f>'[1]Data_in-situ'!AS417</f>
        <v>0-30</v>
      </c>
      <c r="C93" s="12">
        <f>'[1]Data_in-situ'!AT417</f>
        <v>434</v>
      </c>
      <c r="D93" s="12">
        <f>'[1]Data_in-situ'!AU417</f>
        <v>2</v>
      </c>
      <c r="E93" s="25" t="str">
        <f>'[2]Data_in-situ'!CG90</f>
        <v>0-10</v>
      </c>
      <c r="F93" s="12">
        <f>'[2]Data_in-situ'!CH90</f>
        <v>0.13</v>
      </c>
      <c r="G93" s="12">
        <f>'[2]Data_in-situ'!CI90</f>
        <v>1.7320508075688773E-2</v>
      </c>
      <c r="H93" s="1">
        <v>0.4</v>
      </c>
      <c r="J93" s="23">
        <f t="shared" si="1"/>
        <v>827493.33333333349</v>
      </c>
    </row>
    <row r="94" spans="1:10">
      <c r="A94" s="1" t="s">
        <v>185</v>
      </c>
      <c r="B94" s="25" t="str">
        <f>'[1]Data_in-situ'!AS437</f>
        <v>0-10</v>
      </c>
      <c r="C94" s="12">
        <f>'[1]Data_in-situ'!AT437</f>
        <v>128.1</v>
      </c>
      <c r="D94" s="12">
        <f>'[1]Data_in-situ'!AU437</f>
        <v>24.2</v>
      </c>
      <c r="E94" s="25" t="str">
        <f>'[2]Data_in-situ'!CG92</f>
        <v>0-15</v>
      </c>
      <c r="F94" s="12">
        <f>'[2]Data_in-situ'!CH92</f>
        <v>0.01</v>
      </c>
      <c r="G94" s="12" t="str">
        <f>'[2]Data_in-situ'!CI92</f>
        <v>/</v>
      </c>
      <c r="H94" s="1">
        <v>0.4</v>
      </c>
      <c r="J94" s="23">
        <f t="shared" si="1"/>
        <v>18788</v>
      </c>
    </row>
    <row r="95" spans="1:10">
      <c r="A95" s="1" t="s">
        <v>185</v>
      </c>
      <c r="B95" s="25" t="str">
        <f>'[1]Data_in-situ'!AS441</f>
        <v>0-25</v>
      </c>
      <c r="C95" s="12">
        <f>'[1]Data_in-situ'!AT441</f>
        <v>410</v>
      </c>
      <c r="D95" s="12">
        <f>'[1]Data_in-situ'!AU441</f>
        <v>20</v>
      </c>
      <c r="E95" s="25" t="str">
        <f>'[2]Data_in-situ'!CG94</f>
        <v>0-10</v>
      </c>
      <c r="F95" s="12">
        <f>'[2]Data_in-situ'!CH94</f>
        <v>0.13</v>
      </c>
      <c r="G95" s="12">
        <f>'[2]Data_in-situ'!CI94</f>
        <v>1.7320508075688773E-2</v>
      </c>
      <c r="H95" s="1">
        <v>0.4</v>
      </c>
      <c r="J95" s="23">
        <f t="shared" si="1"/>
        <v>781733.33333333337</v>
      </c>
    </row>
    <row r="96" spans="1:10">
      <c r="A96" s="1" t="s">
        <v>185</v>
      </c>
      <c r="B96" s="25" t="str">
        <f>'[1]Data_in-situ'!AS448</f>
        <v>0-10</v>
      </c>
      <c r="C96" s="12">
        <f>'[1]Data_in-situ'!AT448</f>
        <v>498</v>
      </c>
      <c r="D96" s="12">
        <f>'[1]Data_in-situ'!AU448</f>
        <v>42.592518236555321</v>
      </c>
      <c r="E96" s="25"/>
      <c r="F96" s="12">
        <f>'[2]Data_in-situ'!CH292</f>
        <v>0.14000000000000001</v>
      </c>
      <c r="G96" s="12">
        <f>'[2]Data_in-situ'!CI292</f>
        <v>0.08</v>
      </c>
      <c r="H96" s="1">
        <v>0.4</v>
      </c>
      <c r="J96" s="23">
        <f t="shared" si="1"/>
        <v>1022560.0000000001</v>
      </c>
    </row>
    <row r="97" spans="1:10">
      <c r="A97" s="1" t="s">
        <v>185</v>
      </c>
      <c r="B97" s="25" t="str">
        <f>'[2]Data_in-situ'!AY2</f>
        <v>0-25</v>
      </c>
      <c r="C97" s="12">
        <f>'[2]Data_in-situ'!AZ2</f>
        <v>410</v>
      </c>
      <c r="D97" s="12">
        <f>'[2]Data_in-situ'!BA2</f>
        <v>20</v>
      </c>
      <c r="E97" s="25"/>
      <c r="F97" s="12">
        <f>'[2]Data_in-situ'!CH293</f>
        <v>0.06</v>
      </c>
      <c r="G97" s="12">
        <f>'[2]Data_in-situ'!CI293</f>
        <v>0.01</v>
      </c>
      <c r="H97" s="1">
        <v>0.4</v>
      </c>
      <c r="J97" s="23">
        <f t="shared" si="1"/>
        <v>360800</v>
      </c>
    </row>
    <row r="98" spans="1:10">
      <c r="A98" s="1" t="s">
        <v>185</v>
      </c>
      <c r="B98" s="25" t="str">
        <f>'[2]Data_in-situ'!AY79</f>
        <v>0-10</v>
      </c>
      <c r="C98" s="12">
        <f>'[2]Data_in-situ'!AZ79</f>
        <v>145</v>
      </c>
      <c r="D98" s="12" t="str">
        <f>'[2]Data_in-situ'!BA79</f>
        <v>/</v>
      </c>
      <c r="E98" s="25"/>
      <c r="F98" s="12">
        <f>'[2]Data_in-situ'!CH319</f>
        <v>0.16</v>
      </c>
      <c r="G98" s="12">
        <f>'[2]Data_in-situ'!CI319</f>
        <v>0.05</v>
      </c>
      <c r="H98" s="1">
        <v>0.4</v>
      </c>
      <c r="J98" s="23">
        <f t="shared" si="1"/>
        <v>340266.66666666669</v>
      </c>
    </row>
    <row r="99" spans="1:10">
      <c r="A99" s="1" t="s">
        <v>185</v>
      </c>
      <c r="B99" s="25" t="str">
        <f>'[2]Data_in-situ'!AY87</f>
        <v>0-10</v>
      </c>
      <c r="C99" s="12">
        <f>'[2]Data_in-situ'!AZ87</f>
        <v>352</v>
      </c>
      <c r="D99" s="12">
        <f>'[2]Data_in-situ'!BA87</f>
        <v>24.248711305964282</v>
      </c>
      <c r="E99" s="25"/>
      <c r="F99" s="12">
        <f>'[2]Data_in-situ'!CH329</f>
        <v>0.14000000000000001</v>
      </c>
      <c r="G99" s="12">
        <f>'[2]Data_in-situ'!CI329</f>
        <v>0</v>
      </c>
      <c r="H99" s="1">
        <v>0.4</v>
      </c>
      <c r="J99" s="23">
        <f t="shared" si="1"/>
        <v>722773.33333333349</v>
      </c>
    </row>
    <row r="100" spans="1:10">
      <c r="A100" s="1" t="s">
        <v>185</v>
      </c>
      <c r="B100" s="25" t="str">
        <f>'[2]Data_in-situ'!AY90</f>
        <v>0-15</v>
      </c>
      <c r="C100" s="12">
        <f>'[2]Data_in-situ'!AZ90</f>
        <v>499.4</v>
      </c>
      <c r="D100" s="12">
        <f>'[2]Data_in-situ'!BA90</f>
        <v>7.9674337148168348</v>
      </c>
      <c r="E100" s="25" t="str">
        <f>'[2]Data_in-situ'!CG508</f>
        <v>0-60</v>
      </c>
      <c r="F100" s="12">
        <f>'[2]Data_in-situ'!CH508</f>
        <v>0.36</v>
      </c>
      <c r="G100" s="12">
        <f>'[2]Data_in-situ'!CI508</f>
        <v>0.01</v>
      </c>
      <c r="H100" s="1">
        <v>0.4</v>
      </c>
      <c r="J100" s="23">
        <f t="shared" si="1"/>
        <v>2636832</v>
      </c>
    </row>
    <row r="101" spans="1:10">
      <c r="A101" s="1" t="s">
        <v>185</v>
      </c>
      <c r="B101" s="25" t="str">
        <f>'[2]Data_in-situ'!AY92</f>
        <v>0-15</v>
      </c>
      <c r="C101" s="12">
        <f>'[2]Data_in-situ'!AZ92</f>
        <v>530</v>
      </c>
      <c r="D101" s="12" t="str">
        <f>'[2]Data_in-situ'!BA92</f>
        <v>/</v>
      </c>
      <c r="E101" s="25" t="str">
        <f>'[2]Data_in-situ'!CG519</f>
        <v>0-5</v>
      </c>
      <c r="F101" s="12">
        <f>'[2]Data_in-situ'!CH519</f>
        <v>0.35</v>
      </c>
      <c r="G101" s="12">
        <f>'[2]Data_in-situ'!CI519</f>
        <v>0.08</v>
      </c>
      <c r="H101" s="1">
        <v>0.4</v>
      </c>
      <c r="J101" s="23">
        <f t="shared" si="1"/>
        <v>2720666.6666666665</v>
      </c>
    </row>
    <row r="102" spans="1:10">
      <c r="A102" s="1" t="s">
        <v>185</v>
      </c>
      <c r="B102" s="25" t="str">
        <f>'[2]Data_in-situ'!AY94</f>
        <v>0-10</v>
      </c>
      <c r="C102" s="12">
        <f>'[2]Data_in-situ'!AZ94</f>
        <v>460.92</v>
      </c>
      <c r="D102" s="12">
        <f>'[2]Data_in-situ'!BA94</f>
        <v>8.6948950539957632</v>
      </c>
      <c r="E102" s="25" t="str">
        <f>'[2]Data_in-situ'!CG521</f>
        <v>0-5</v>
      </c>
      <c r="F102" s="12">
        <f>'[2]Data_in-situ'!CH521</f>
        <v>0.56000000000000005</v>
      </c>
      <c r="G102" s="12">
        <f>'[2]Data_in-situ'!CI521</f>
        <v>0.21</v>
      </c>
      <c r="H102" s="1">
        <v>0.4</v>
      </c>
      <c r="J102" s="23">
        <f t="shared" si="1"/>
        <v>3785689.600000001</v>
      </c>
    </row>
    <row r="103" spans="1:10">
      <c r="A103" s="1" t="s">
        <v>185</v>
      </c>
      <c r="B103" s="25">
        <f>'[2]Data_in-situ'!AY294</f>
        <v>0</v>
      </c>
      <c r="C103" s="12">
        <f>'[2]Data_in-situ'!AZ294</f>
        <v>420</v>
      </c>
      <c r="D103" s="12">
        <f>'[2]Data_in-situ'!BA294</f>
        <v>0</v>
      </c>
      <c r="F103" s="1"/>
      <c r="G103" s="1"/>
    </row>
    <row r="104" spans="1:10">
      <c r="A104" s="1" t="s">
        <v>185</v>
      </c>
      <c r="B104" s="25">
        <f>'[2]Data_in-situ'!AY319</f>
        <v>0</v>
      </c>
      <c r="C104" s="12">
        <f>'[2]Data_in-situ'!AZ319</f>
        <v>454</v>
      </c>
      <c r="D104" s="12">
        <f>'[2]Data_in-situ'!BA319</f>
        <v>2.1</v>
      </c>
      <c r="F104" s="1"/>
      <c r="G104" s="1"/>
    </row>
    <row r="105" spans="1:10">
      <c r="A105" s="1" t="s">
        <v>185</v>
      </c>
      <c r="B105" s="25">
        <f>'[2]Data_in-situ'!AY329</f>
        <v>0</v>
      </c>
      <c r="C105" s="12">
        <f>'[2]Data_in-situ'!AZ329</f>
        <v>295</v>
      </c>
      <c r="D105" s="12">
        <f>'[2]Data_in-situ'!BA329</f>
        <v>0</v>
      </c>
      <c r="F105" s="1"/>
      <c r="G105" s="1"/>
    </row>
    <row r="106" spans="1:10">
      <c r="A106" s="1" t="s">
        <v>185</v>
      </c>
      <c r="B106" s="25" t="str">
        <f>'[2]Data_in-situ'!AY508</f>
        <v>0-60</v>
      </c>
      <c r="C106" s="12">
        <f>'[2]Data_in-situ'!AZ508</f>
        <v>38.178654292343381</v>
      </c>
      <c r="D106" s="12">
        <f>'[2]Data_in-situ'!BA508</f>
        <v>7.9118329466357311</v>
      </c>
      <c r="F106" s="1"/>
      <c r="G106" s="1"/>
    </row>
    <row r="107" spans="1:10">
      <c r="A107" s="1" t="s">
        <v>185</v>
      </c>
      <c r="B107" s="25" t="str">
        <f>'[2]Data_in-situ'!AY516</f>
        <v>0-10</v>
      </c>
      <c r="C107" s="12">
        <f>'[2]Data_in-situ'!AZ516</f>
        <v>350</v>
      </c>
      <c r="D107" s="12" t="str">
        <f>'[2]Data_in-situ'!BA516</f>
        <v>/</v>
      </c>
      <c r="F107" s="1"/>
      <c r="G107" s="1"/>
    </row>
    <row r="108" spans="1:10">
      <c r="A108" s="1" t="s">
        <v>185</v>
      </c>
      <c r="B108" s="25" t="str">
        <f>'[2]Data_in-situ'!AY519</f>
        <v>0-5</v>
      </c>
      <c r="C108" s="12">
        <f>'[2]Data_in-situ'!AZ519</f>
        <v>321.8</v>
      </c>
      <c r="D108" s="12">
        <f>'[2]Data_in-situ'!BA519</f>
        <v>19.100000000000001</v>
      </c>
      <c r="F108" s="1"/>
      <c r="G108" s="1"/>
    </row>
    <row r="109" spans="1:10">
      <c r="A109" s="1" t="s">
        <v>185</v>
      </c>
      <c r="B109" s="25" t="str">
        <f>'[2]Data_in-situ'!AY521</f>
        <v>0-5</v>
      </c>
      <c r="C109" s="12">
        <f>'[2]Data_in-situ'!AZ521</f>
        <v>148.1</v>
      </c>
      <c r="D109" s="12">
        <f>'[2]Data_in-situ'!BA521</f>
        <v>51</v>
      </c>
      <c r="F109" s="1"/>
      <c r="G109" s="1"/>
    </row>
    <row r="110" spans="1:10">
      <c r="A110" s="1" t="s">
        <v>185</v>
      </c>
      <c r="B110" s="25" t="str">
        <f>'[2]Data_in-situ'!AY523</f>
        <v>0-10</v>
      </c>
      <c r="C110" s="12">
        <f>'[2]Data_in-situ'!AZ523</f>
        <v>301.60000000000002</v>
      </c>
      <c r="D110" s="12">
        <f>'[2]Data_in-situ'!BA523</f>
        <v>0</v>
      </c>
      <c r="F110" s="1"/>
      <c r="G110" s="1"/>
    </row>
    <row r="111" spans="1:10">
      <c r="A111" s="1" t="s">
        <v>185</v>
      </c>
      <c r="B111" s="25" t="str">
        <f>'[2]Data_in-situ'!AY524</f>
        <v>0-10</v>
      </c>
      <c r="C111" s="12">
        <f>'[2]Data_in-situ'!AZ524</f>
        <v>301.60000000000002</v>
      </c>
      <c r="D111" s="12">
        <f>'[2]Data_in-situ'!BA524</f>
        <v>0</v>
      </c>
      <c r="F111" s="1"/>
      <c r="G111" s="1"/>
    </row>
    <row r="112" spans="1:10">
      <c r="A112" s="1" t="s">
        <v>185</v>
      </c>
      <c r="B112" s="25" t="str">
        <f>'[2]Data_in-situ'!AY526</f>
        <v>0-10</v>
      </c>
      <c r="C112" s="12">
        <f>'[2]Data_in-situ'!AZ526</f>
        <v>130.9</v>
      </c>
      <c r="D112" s="12">
        <f>'[2]Data_in-situ'!BA526</f>
        <v>0</v>
      </c>
      <c r="E112" s="25"/>
    </row>
    <row r="113" spans="1:10">
      <c r="A113" s="1" t="s">
        <v>185</v>
      </c>
      <c r="B113" s="25" t="str">
        <f>'[2]Data_in-situ'!AY529</f>
        <v>0-10</v>
      </c>
      <c r="C113" s="12">
        <f>'[2]Data_in-situ'!AZ529</f>
        <v>102.3</v>
      </c>
      <c r="D113" s="12">
        <f>'[2]Data_in-situ'!BA529</f>
        <v>0</v>
      </c>
    </row>
    <row r="114" spans="1:10">
      <c r="A114" s="1" t="s">
        <v>185</v>
      </c>
      <c r="B114" s="25" t="str">
        <f>'[2]Data_in-situ'!AY532</f>
        <v>0-10</v>
      </c>
      <c r="C114" s="12">
        <f>'[2]Data_in-situ'!AZ532</f>
        <v>128.1</v>
      </c>
      <c r="D114" s="12">
        <f>'[2]Data_in-situ'!BA532</f>
        <v>24.2</v>
      </c>
    </row>
    <row r="115" spans="1:10">
      <c r="A115" s="1" t="s">
        <v>185</v>
      </c>
      <c r="B115" s="25" t="str">
        <f>'[2]Data_in-situ'!AY535</f>
        <v>0-10</v>
      </c>
      <c r="C115" s="12">
        <f>'[2]Data_in-situ'!AZ535</f>
        <v>89.03</v>
      </c>
      <c r="D115" s="12">
        <f>'[2]Data_in-situ'!BA535</f>
        <v>2.14</v>
      </c>
    </row>
    <row r="116" spans="1:10">
      <c r="A116" s="1" t="s">
        <v>185</v>
      </c>
      <c r="B116" s="25" t="str">
        <f>'[2]Data_in-situ'!AY536</f>
        <v>0-10</v>
      </c>
      <c r="C116" s="12">
        <f>'[2]Data_in-situ'!AZ536</f>
        <v>31.01</v>
      </c>
      <c r="D116" s="12">
        <f>'[2]Data_in-situ'!BA536</f>
        <v>1.83</v>
      </c>
    </row>
    <row r="117" spans="1:10">
      <c r="C117" s="1"/>
      <c r="D117" s="1"/>
    </row>
    <row r="118" spans="1:10">
      <c r="A118" s="1" t="s">
        <v>313</v>
      </c>
      <c r="C118" s="12">
        <f>AVERAGEA(C65:C116)</f>
        <v>269.68258722240637</v>
      </c>
      <c r="F118" s="12">
        <f>AVERAGEA(F65:F116)</f>
        <v>0.31006413384454512</v>
      </c>
      <c r="H118" s="1">
        <v>0.4</v>
      </c>
      <c r="J118" s="23"/>
    </row>
    <row r="119" spans="1:10">
      <c r="A119" s="1" t="s">
        <v>314</v>
      </c>
      <c r="C119" s="12">
        <f>STDEVA(C65:C116)/SQRT(COUNT(C65:C116))</f>
        <v>21.929899153956267</v>
      </c>
      <c r="F119" s="12">
        <f>STDEVA(F65:F116)/SQRT(COUNT(F65:F116))</f>
        <v>4.7520408889261873E-2</v>
      </c>
      <c r="H119" s="1">
        <v>0.4</v>
      </c>
      <c r="J119" s="23"/>
    </row>
    <row r="123" spans="1:10">
      <c r="A123" s="1" t="s">
        <v>174</v>
      </c>
      <c r="B123" s="25" t="str">
        <f>'[1]Data_in-situ'!AS34</f>
        <v>0-10</v>
      </c>
      <c r="C123" s="12">
        <f>'[1]Data_in-situ'!AT34</f>
        <v>498.6</v>
      </c>
      <c r="D123" s="12">
        <f>'[1]Data_in-situ'!AU34</f>
        <v>3.6</v>
      </c>
      <c r="E123" s="25" t="str">
        <f>'[1]Data_in-situ'!HB194</f>
        <v>0-20</v>
      </c>
      <c r="F123" s="12">
        <f>'[1]Data_in-situ'!HC194</f>
        <v>0.15</v>
      </c>
      <c r="G123" s="12">
        <f>'[1]Data_in-situ'!HD194</f>
        <v>2.5861761471973645E-2</v>
      </c>
      <c r="H123" s="1">
        <v>0.4</v>
      </c>
      <c r="J123" s="23">
        <f t="shared" ref="J123:J140" si="2">C123*1*H123*10^4*F123*1000/1000*44/12</f>
        <v>1096920</v>
      </c>
    </row>
    <row r="124" spans="1:10">
      <c r="A124" s="1" t="s">
        <v>174</v>
      </c>
      <c r="B124" s="25" t="str">
        <f>'[1]Data_in-situ'!AS98</f>
        <v>0-10</v>
      </c>
      <c r="C124" s="12">
        <f>'[1]Data_in-situ'!AT98</f>
        <v>340</v>
      </c>
      <c r="D124" s="12">
        <f>'[1]Data_in-situ'!AU98</f>
        <v>3.4641016151377544</v>
      </c>
      <c r="E124" s="25" t="str">
        <f>'[1]Data_in-situ'!HB205</f>
        <v>10-15</v>
      </c>
      <c r="F124" s="12">
        <f>'[1]Data_in-situ'!HC205</f>
        <v>0.13200000000000001</v>
      </c>
      <c r="G124" s="12">
        <f>'[1]Data_in-situ'!HD205</f>
        <v>8.9999999999999993E-3</v>
      </c>
      <c r="H124" s="1">
        <v>0.4</v>
      </c>
      <c r="J124" s="23">
        <f t="shared" si="2"/>
        <v>658240</v>
      </c>
    </row>
    <row r="125" spans="1:10">
      <c r="A125" s="1" t="s">
        <v>174</v>
      </c>
      <c r="B125" s="25" t="str">
        <f>'[1]Data_in-situ'!AS172</f>
        <v>0-10</v>
      </c>
      <c r="C125" s="12">
        <f>'[1]Data_in-situ'!AT172</f>
        <v>540</v>
      </c>
      <c r="D125" s="12">
        <f>'[1]Data_in-situ'!AU172</f>
        <v>17.320508075688771</v>
      </c>
      <c r="E125" s="25" t="str">
        <f>'[1]Data_in-situ'!HB410</f>
        <v>0-5</v>
      </c>
      <c r="F125" s="12">
        <f>'[1]Data_in-situ'!HC410</f>
        <v>0.14000000000000001</v>
      </c>
      <c r="G125" s="12">
        <f>'[1]Data_in-situ'!HD410</f>
        <v>2.4137644040508738E-2</v>
      </c>
      <c r="H125" s="1">
        <v>0.4</v>
      </c>
      <c r="J125" s="23">
        <f t="shared" si="2"/>
        <v>1108800</v>
      </c>
    </row>
    <row r="126" spans="1:10">
      <c r="A126" s="1" t="s">
        <v>174</v>
      </c>
      <c r="B126" s="25" t="str">
        <f>'[1]Data_in-situ'!AS194</f>
        <v>0-20</v>
      </c>
      <c r="C126" s="12">
        <f>'[1]Data_in-situ'!AT194</f>
        <v>276</v>
      </c>
      <c r="D126" s="12">
        <f>'[1]Data_in-situ'!AU194</f>
        <v>23.605492034717408</v>
      </c>
      <c r="E126" s="25" t="str">
        <f>'[1]Data_in-situ'!HB414</f>
        <v>0-10</v>
      </c>
      <c r="F126" s="12">
        <f>'[1]Data_in-situ'!HC414</f>
        <v>0.1</v>
      </c>
      <c r="G126" s="12">
        <f>'[1]Data_in-situ'!HD414</f>
        <v>8.0000000000000002E-3</v>
      </c>
      <c r="H126" s="1">
        <v>0.4</v>
      </c>
      <c r="J126" s="23">
        <f t="shared" si="2"/>
        <v>404800</v>
      </c>
    </row>
    <row r="127" spans="1:10">
      <c r="A127" s="1" t="s">
        <v>174</v>
      </c>
      <c r="B127" s="25" t="str">
        <f>'[1]Data_in-situ'!AS205</f>
        <v>10-15</v>
      </c>
      <c r="C127" s="12">
        <f>'[1]Data_in-situ'!AT205</f>
        <v>553</v>
      </c>
      <c r="D127" s="12">
        <f>'[1]Data_in-situ'!AU205</f>
        <v>7</v>
      </c>
      <c r="E127" s="25" t="str">
        <f>'[1]Data_in-situ'!HB439</f>
        <v>0-10</v>
      </c>
      <c r="F127" s="12">
        <f>'[1]Data_in-situ'!HC439</f>
        <v>0.15</v>
      </c>
      <c r="G127" s="12">
        <f>'[1]Data_in-situ'!HD439</f>
        <v>6.9282032302755087E-3</v>
      </c>
      <c r="H127" s="1">
        <v>0.4</v>
      </c>
      <c r="J127" s="23">
        <f t="shared" si="2"/>
        <v>1216600</v>
      </c>
    </row>
    <row r="128" spans="1:10">
      <c r="A128" s="1" t="s">
        <v>174</v>
      </c>
      <c r="B128" s="25" t="str">
        <f>'[1]Data_in-situ'!AS221</f>
        <v>0-10</v>
      </c>
      <c r="C128" s="12">
        <f>'[1]Data_in-situ'!AT221</f>
        <v>555</v>
      </c>
      <c r="D128" s="12">
        <f>'[1]Data_in-situ'!AU221</f>
        <v>8</v>
      </c>
      <c r="E128" s="25" t="str">
        <f>'[1]Data_in-situ'!HB445</f>
        <v>0-10</v>
      </c>
      <c r="F128" s="12">
        <f>'[1]Data_in-situ'!HC445</f>
        <v>0.1</v>
      </c>
      <c r="G128" s="12">
        <f>'[1]Data_in-situ'!HD445</f>
        <v>8.0000000000000002E-3</v>
      </c>
      <c r="H128" s="1">
        <v>0.4</v>
      </c>
      <c r="J128" s="23">
        <f t="shared" si="2"/>
        <v>814000</v>
      </c>
    </row>
    <row r="129" spans="1:16">
      <c r="A129" s="1" t="s">
        <v>174</v>
      </c>
      <c r="B129" s="25" t="str">
        <f>'[1]Data_in-situ'!AS392</f>
        <v>0-10</v>
      </c>
      <c r="C129" s="12">
        <f>'[1]Data_in-situ'!AT392</f>
        <v>540</v>
      </c>
      <c r="D129" s="12">
        <f>'[1]Data_in-situ'!AU392</f>
        <v>17.320508075688771</v>
      </c>
      <c r="E129" s="25" t="str">
        <f>'[1]Data_in-situ'!HB456</f>
        <v>0-5</v>
      </c>
      <c r="F129" s="12">
        <f>'[1]Data_in-situ'!HC456</f>
        <v>0.11</v>
      </c>
      <c r="G129" s="12">
        <f>'[1]Data_in-situ'!HD456</f>
        <v>1.8965291746114006E-2</v>
      </c>
      <c r="H129" s="1">
        <v>0.4</v>
      </c>
      <c r="J129" s="23">
        <f t="shared" si="2"/>
        <v>871200</v>
      </c>
    </row>
    <row r="130" spans="1:16">
      <c r="A130" s="1" t="s">
        <v>174</v>
      </c>
      <c r="B130" s="25" t="str">
        <f>'[1]Data_in-situ'!AS410</f>
        <v>0-5</v>
      </c>
      <c r="C130" s="12">
        <f>'[1]Data_in-situ'!AT410</f>
        <v>578</v>
      </c>
      <c r="D130" s="12">
        <f>'[1]Data_in-situ'!AU410</f>
        <v>49.434689840821235</v>
      </c>
      <c r="E130" s="25" t="str">
        <f>'[1]Data_in-situ'!HB461</f>
        <v>0-5</v>
      </c>
      <c r="F130" s="12">
        <f>'[1]Data_in-situ'!HC461</f>
        <v>0.11</v>
      </c>
      <c r="G130" s="12">
        <f>'[1]Data_in-situ'!HD461</f>
        <v>1.8965291746114006E-2</v>
      </c>
      <c r="H130" s="1">
        <v>0.4</v>
      </c>
      <c r="J130" s="23">
        <f t="shared" si="2"/>
        <v>932506.66666666663</v>
      </c>
    </row>
    <row r="131" spans="1:16">
      <c r="A131" s="1" t="s">
        <v>174</v>
      </c>
      <c r="B131" s="25" t="str">
        <f>'[1]Data_in-situ'!AS414</f>
        <v>0-10</v>
      </c>
      <c r="C131" s="12">
        <f>'[1]Data_in-situ'!AT414</f>
        <v>551.62412993039436</v>
      </c>
      <c r="D131" s="12">
        <f>'[1]Data_in-situ'!AU414</f>
        <v>12.840529569169325</v>
      </c>
      <c r="E131" s="25" t="str">
        <f>'[4]Data_in-situ'!GK95</f>
        <v>10-15</v>
      </c>
      <c r="F131" s="12">
        <f>'[4]Data_in-situ'!GL95</f>
        <v>0.13200000000000001</v>
      </c>
      <c r="G131" s="12">
        <f>'[4]Data_in-situ'!GM95</f>
        <v>8.9999999999999993E-3</v>
      </c>
      <c r="H131" s="1">
        <v>0.4</v>
      </c>
      <c r="J131" s="23">
        <f t="shared" si="2"/>
        <v>1067944.3155452434</v>
      </c>
    </row>
    <row r="132" spans="1:16">
      <c r="A132" s="1" t="s">
        <v>174</v>
      </c>
      <c r="B132" s="25" t="str">
        <f>'[1]Data_in-situ'!AS439</f>
        <v>0-25</v>
      </c>
      <c r="C132" s="12">
        <f>'[1]Data_in-situ'!AT439</f>
        <v>478.1</v>
      </c>
      <c r="D132" s="12">
        <f>'[1]Data_in-situ'!AU439</f>
        <v>15.06884202584923</v>
      </c>
      <c r="E132" s="25" t="str">
        <f>'[4]Data_in-situ'!GK171</f>
        <v>0-10</v>
      </c>
      <c r="F132" s="12">
        <f>'[4]Data_in-situ'!GL171</f>
        <v>0.15</v>
      </c>
      <c r="G132" s="12">
        <f>'[4]Data_in-situ'!GM171</f>
        <v>6.9282032302755087E-3</v>
      </c>
      <c r="H132" s="1">
        <v>0.4</v>
      </c>
      <c r="J132" s="23">
        <f t="shared" si="2"/>
        <v>1051820</v>
      </c>
    </row>
    <row r="133" spans="1:16">
      <c r="A133" s="1" t="s">
        <v>174</v>
      </c>
      <c r="B133" s="25" t="str">
        <f>'[1]Data_in-situ'!AS445</f>
        <v>0-10</v>
      </c>
      <c r="C133" s="12">
        <f>'[1]Data_in-situ'!AT445</f>
        <v>551.62412993039436</v>
      </c>
      <c r="D133" s="12">
        <f>'[1]Data_in-situ'!AU445</f>
        <v>12.840529569169325</v>
      </c>
      <c r="E133" s="25" t="str">
        <f>'[4]Data_in-situ'!GK173</f>
        <v>0-10</v>
      </c>
      <c r="F133" s="12">
        <f>'[4]Data_in-situ'!GL173</f>
        <v>0.1</v>
      </c>
      <c r="G133" s="12">
        <f>'[4]Data_in-situ'!GM173</f>
        <v>8.0000000000000002E-3</v>
      </c>
      <c r="H133" s="1">
        <v>0.4</v>
      </c>
      <c r="J133" s="23">
        <f t="shared" si="2"/>
        <v>809048.72389791172</v>
      </c>
    </row>
    <row r="134" spans="1:16">
      <c r="A134" s="1" t="s">
        <v>174</v>
      </c>
      <c r="B134" s="25" t="str">
        <f>'[4]Data_in-situ'!AH20</f>
        <v>0-10</v>
      </c>
      <c r="C134" s="12">
        <f>'[4]Data_in-situ'!AI20</f>
        <v>498.6</v>
      </c>
      <c r="D134" s="12">
        <f>'[4]Data_in-situ'!AJ20</f>
        <v>3.6</v>
      </c>
      <c r="E134" s="25" t="str">
        <f>'[4]Data_in-situ'!GK198</f>
        <v>0-5</v>
      </c>
      <c r="F134" s="12">
        <f>'[4]Data_in-situ'!GL198</f>
        <v>0.11</v>
      </c>
      <c r="G134" s="12">
        <f>'[4]Data_in-situ'!GM198</f>
        <v>0.01</v>
      </c>
      <c r="H134" s="1">
        <v>0.4</v>
      </c>
      <c r="J134" s="23">
        <f t="shared" si="2"/>
        <v>804408.00000000012</v>
      </c>
    </row>
    <row r="135" spans="1:16">
      <c r="A135" s="1" t="s">
        <v>174</v>
      </c>
      <c r="B135" s="25" t="str">
        <f>'[4]Data_in-situ'!AH22</f>
        <v>0-10</v>
      </c>
      <c r="C135" s="12">
        <f>'[4]Data_in-situ'!AI22</f>
        <v>544.08352668213456</v>
      </c>
      <c r="D135" s="12">
        <f>'[4]Data_in-situ'!AJ22</f>
        <v>1.9721577726218098</v>
      </c>
      <c r="E135" s="25" t="str">
        <f>'[4]Data_in-situ'!GK200</f>
        <v>0-25</v>
      </c>
      <c r="F135" s="12">
        <f>'[4]Data_in-situ'!GL200</f>
        <v>0.14599999999999999</v>
      </c>
      <c r="G135" s="12">
        <f>'[4]Data_in-situ'!GM200</f>
        <v>8.0000000000000002E-3</v>
      </c>
      <c r="H135" s="1">
        <v>0.4</v>
      </c>
      <c r="J135" s="23">
        <f t="shared" si="2"/>
        <v>1165064.1918020109</v>
      </c>
    </row>
    <row r="136" spans="1:16">
      <c r="A136" s="1" t="s">
        <v>174</v>
      </c>
      <c r="B136" s="25" t="str">
        <f>'[4]Data_in-situ'!AH53</f>
        <v>0-10</v>
      </c>
      <c r="C136" s="12">
        <f>'[4]Data_in-situ'!AI53</f>
        <v>340</v>
      </c>
      <c r="D136" s="12">
        <f>'[4]Data_in-situ'!AJ53</f>
        <v>3.4641016151377544</v>
      </c>
      <c r="E136" s="25" t="str">
        <f>'[4]Data_in-situ'!GK278</f>
        <v>0-5</v>
      </c>
      <c r="F136" s="12">
        <f>'[4]Data_in-situ'!GL278</f>
        <v>0.2</v>
      </c>
      <c r="G136" s="12">
        <f>'[4]Data_in-situ'!GM278</f>
        <v>3.4641016151377546E-2</v>
      </c>
      <c r="H136" s="1">
        <v>0.4</v>
      </c>
      <c r="J136" s="23">
        <f t="shared" si="2"/>
        <v>997333.33333333337</v>
      </c>
    </row>
    <row r="137" spans="1:16">
      <c r="A137" s="1" t="s">
        <v>174</v>
      </c>
      <c r="B137" s="25" t="str">
        <f>'[4]Data_in-situ'!AH87</f>
        <v>0-10</v>
      </c>
      <c r="C137" s="12">
        <f>'[4]Data_in-situ'!AI87</f>
        <v>540</v>
      </c>
      <c r="D137" s="12">
        <f>'[4]Data_in-situ'!AJ87</f>
        <v>17.320508075688771</v>
      </c>
      <c r="E137" s="25" t="str">
        <f>'[4]Data_in-situ'!GK299</f>
        <v>0-10</v>
      </c>
      <c r="F137" s="12">
        <f>'[4]Data_in-situ'!GL299</f>
        <v>0.46</v>
      </c>
      <c r="G137" s="12">
        <f>'[4]Data_in-situ'!GM299</f>
        <v>3.4641016151377546E-2</v>
      </c>
      <c r="H137" s="1">
        <v>0.4</v>
      </c>
      <c r="J137" s="23">
        <f t="shared" si="2"/>
        <v>3643200</v>
      </c>
    </row>
    <row r="138" spans="1:16">
      <c r="A138" s="1" t="s">
        <v>174</v>
      </c>
      <c r="B138" s="25" t="str">
        <f>'[4]Data_in-situ'!AH95</f>
        <v>10-15</v>
      </c>
      <c r="C138" s="12">
        <f>'[4]Data_in-situ'!AI95</f>
        <v>553</v>
      </c>
      <c r="D138" s="12">
        <f>'[4]Data_in-situ'!AJ95</f>
        <v>7</v>
      </c>
      <c r="E138" s="25" t="str">
        <f>'[4]Data_in-situ'!GK315</f>
        <v>6-15</v>
      </c>
      <c r="F138" s="12">
        <f>'[4]Data_in-situ'!GL315</f>
        <v>0.15</v>
      </c>
      <c r="G138" s="12">
        <f>'[4]Data_in-situ'!GM315</f>
        <v>0.01</v>
      </c>
      <c r="H138" s="1">
        <v>0.4</v>
      </c>
      <c r="J138" s="23">
        <f t="shared" si="2"/>
        <v>1216600</v>
      </c>
    </row>
    <row r="139" spans="1:16">
      <c r="A139" s="1" t="s">
        <v>174</v>
      </c>
      <c r="B139" s="25" t="str">
        <f>'[4]Data_in-situ'!AH104</f>
        <v>0-10</v>
      </c>
      <c r="C139" s="12">
        <f>'[4]Data_in-situ'!AI104</f>
        <v>555</v>
      </c>
      <c r="D139" s="12">
        <f>'[4]Data_in-situ'!AJ104</f>
        <v>8</v>
      </c>
      <c r="E139" s="25" t="str">
        <f>'[4]Data_in-situ'!GK317</f>
        <v>6-15</v>
      </c>
      <c r="F139" s="12">
        <f>'[4]Data_in-situ'!GL317</f>
        <v>0.18</v>
      </c>
      <c r="G139" s="12">
        <f>'[4]Data_in-situ'!GM317</f>
        <v>0.02</v>
      </c>
      <c r="H139" s="1">
        <v>0.4</v>
      </c>
      <c r="J139" s="23">
        <f t="shared" si="2"/>
        <v>1465200</v>
      </c>
    </row>
    <row r="140" spans="1:16">
      <c r="A140" s="1" t="s">
        <v>174</v>
      </c>
      <c r="B140" s="25" t="str">
        <f>'[4]Data_in-situ'!AH171</f>
        <v>0-25</v>
      </c>
      <c r="C140" s="12">
        <f>'[4]Data_in-situ'!AI171</f>
        <v>478.1</v>
      </c>
      <c r="D140" s="12">
        <f>'[4]Data_in-situ'!AJ171</f>
        <v>15.06884202584923</v>
      </c>
      <c r="E140" s="25" t="str">
        <f>'[4]Data_in-situ'!GK321</f>
        <v>6-15</v>
      </c>
      <c r="F140" s="12">
        <f>'[4]Data_in-situ'!GL321</f>
        <v>0.16499999999999998</v>
      </c>
      <c r="G140" s="12">
        <f>'[4]Data_in-situ'!GM321</f>
        <v>1.1180339887498949E-2</v>
      </c>
      <c r="H140" s="1">
        <v>0.4</v>
      </c>
      <c r="J140" s="23">
        <f t="shared" si="2"/>
        <v>1157001.9999999998</v>
      </c>
    </row>
    <row r="141" spans="1:16">
      <c r="A141" s="1" t="s">
        <v>174</v>
      </c>
      <c r="B141" s="25" t="str">
        <f>'[4]Data_in-situ'!AH173</f>
        <v>0-10</v>
      </c>
      <c r="C141" s="12">
        <f>'[4]Data_in-situ'!AI173</f>
        <v>551.62412993039436</v>
      </c>
      <c r="D141" s="12">
        <f>'[4]Data_in-situ'!AJ173</f>
        <v>12.840529569169325</v>
      </c>
      <c r="E141" s="25"/>
    </row>
    <row r="142" spans="1:16">
      <c r="A142" s="1" t="s">
        <v>174</v>
      </c>
      <c r="B142" s="25" t="str">
        <f>'[4]Data_in-situ'!AH198</f>
        <v>0-5</v>
      </c>
      <c r="C142" s="12">
        <f>'[4]Data_in-situ'!AI198</f>
        <v>499</v>
      </c>
      <c r="D142" s="12">
        <f>'[4]Data_in-situ'!AJ198</f>
        <v>2</v>
      </c>
      <c r="F142" s="1"/>
      <c r="G142" s="1"/>
    </row>
    <row r="143" spans="1:16">
      <c r="A143" s="1" t="s">
        <v>174</v>
      </c>
      <c r="B143" s="25" t="str">
        <f>'[4]Data_in-situ'!AH299</f>
        <v>0-10</v>
      </c>
      <c r="C143" s="12">
        <f>'[4]Data_in-situ'!AI299</f>
        <v>431</v>
      </c>
      <c r="D143" s="12">
        <f>'[4]Data_in-situ'!AJ299</f>
        <v>3.4641016151377544</v>
      </c>
      <c r="F143" s="1"/>
      <c r="G143" s="1"/>
    </row>
    <row r="144" spans="1:16">
      <c r="A144" s="1" t="s">
        <v>174</v>
      </c>
      <c r="B144" s="25" t="str">
        <f>'[4]Data_in-situ'!AH315</f>
        <v>6-15</v>
      </c>
      <c r="C144" s="12">
        <f>'[4]Data_in-situ'!AI315</f>
        <v>485</v>
      </c>
      <c r="D144" s="12">
        <f>'[4]Data_in-situ'!AJ315</f>
        <v>49.477267507411923</v>
      </c>
      <c r="F144" s="1"/>
      <c r="G144" s="1"/>
      <c r="P144" s="1">
        <f>777/430000</f>
        <v>1.8069767441860464E-3</v>
      </c>
    </row>
    <row r="145" spans="1:7">
      <c r="C145" s="1"/>
      <c r="D145" s="1"/>
      <c r="E145" s="25"/>
    </row>
    <row r="146" spans="1:7">
      <c r="A146" s="1" t="s">
        <v>313</v>
      </c>
      <c r="C146" s="12">
        <f>AVERAGEA(C123:C144)</f>
        <v>497.15254165787815</v>
      </c>
      <c r="F146" s="12">
        <f>AVERAGEA(F123:F144)</f>
        <v>0.15472222222222223</v>
      </c>
      <c r="G146" s="1"/>
    </row>
    <row r="147" spans="1:7">
      <c r="A147" s="1" t="s">
        <v>314</v>
      </c>
      <c r="C147" s="12">
        <f>STDEVA(C123:C144)/SQRT(COUNT(C123:C144))</f>
        <v>17.385262286238266</v>
      </c>
      <c r="F147" s="12">
        <f>STDEVA(F123:F144)/SQRT(COUNT(F123:F144))</f>
        <v>1.9164544734298076E-2</v>
      </c>
    </row>
    <row r="148" spans="1:7">
      <c r="B148" s="25"/>
      <c r="E148" s="25"/>
    </row>
    <row r="149" spans="1:7">
      <c r="B149" s="25"/>
      <c r="E149" s="25"/>
    </row>
    <row r="150" spans="1:7">
      <c r="A150" s="1" t="s">
        <v>327</v>
      </c>
      <c r="C150" s="12">
        <f>AVERAGEA(C123:C144,C65:C116,C3:C57)</f>
        <v>385.02534791876332</v>
      </c>
      <c r="E150" s="25"/>
      <c r="F150" s="12">
        <f>AVERAGEA(F123:F144,F65:F116,F3:F57)</f>
        <v>0.17415168546029469</v>
      </c>
    </row>
    <row r="151" spans="1:7">
      <c r="B151" s="25"/>
      <c r="C151" s="12">
        <f>STDEVA(C123:C144,C65:C116,C3:C57)/SQRT(COUNT(C123:C144,C65:C116,C3:C57))</f>
        <v>15.292139955207714</v>
      </c>
      <c r="E151" s="25"/>
      <c r="F151" s="12">
        <f>STDEVA(F123:F144,F65:F116,F3:F57)/SQRT(COUNT(F123:F144,F65:F116,F3:F57))</f>
        <v>1.9528729861087848E-2</v>
      </c>
    </row>
    <row r="152" spans="1:7">
      <c r="C152" s="1"/>
      <c r="D152" s="1"/>
      <c r="E152" s="25"/>
    </row>
    <row r="153" spans="1:7">
      <c r="B153" s="25"/>
      <c r="E153" s="25"/>
    </row>
    <row r="154" spans="1:7">
      <c r="B154" s="25"/>
      <c r="E154" s="25"/>
    </row>
    <row r="155" spans="1:7">
      <c r="B155" s="25"/>
      <c r="E155" s="25"/>
    </row>
    <row r="156" spans="1:7">
      <c r="B156" s="25"/>
      <c r="E156" s="25"/>
    </row>
    <row r="157" spans="1:7">
      <c r="C157" s="1"/>
      <c r="D157" s="1"/>
      <c r="F157" s="1"/>
      <c r="G157" s="1"/>
    </row>
    <row r="158" spans="1:7">
      <c r="B158" s="25"/>
      <c r="F158" s="1"/>
      <c r="G158" s="1"/>
    </row>
    <row r="159" spans="1:7">
      <c r="B159" s="25"/>
      <c r="F159" s="1"/>
      <c r="G159" s="1"/>
    </row>
    <row r="160" spans="1:7">
      <c r="B160" s="25"/>
      <c r="F160" s="1"/>
      <c r="G160" s="1"/>
    </row>
    <row r="161" spans="2:7">
      <c r="B161" s="25"/>
      <c r="E161" s="25"/>
    </row>
    <row r="162" spans="2:7">
      <c r="B162" s="25"/>
      <c r="F162" s="1"/>
      <c r="G162" s="1"/>
    </row>
    <row r="163" spans="2:7">
      <c r="B163" s="25"/>
      <c r="E163" s="25"/>
    </row>
    <row r="164" spans="2:7">
      <c r="B164" s="25"/>
      <c r="F164" s="1"/>
      <c r="G164" s="1"/>
    </row>
    <row r="165" spans="2:7">
      <c r="E165" s="25"/>
    </row>
    <row r="166" spans="2:7">
      <c r="E166" s="25"/>
    </row>
    <row r="167" spans="2:7">
      <c r="E167" s="25"/>
    </row>
    <row r="168" spans="2:7">
      <c r="F168" s="1"/>
      <c r="G168" s="1"/>
    </row>
    <row r="169" spans="2:7">
      <c r="E169" s="25"/>
    </row>
  </sheetData>
  <autoFilter ref="A1:J169" xr:uid="{FEE64A28-85D1-430D-9BA8-284800495644}"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GHG fluxes</vt:lpstr>
      <vt:lpstr>ditches CH4 N2O</vt:lpstr>
      <vt:lpstr>Peat extraction information</vt:lpstr>
      <vt:lpstr>SOC loss via peat extraction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Ma</dc:creator>
  <cp:lastModifiedBy>Lei Ma</cp:lastModifiedBy>
  <dcterms:created xsi:type="dcterms:W3CDTF">2021-03-02T21:34:30Z</dcterms:created>
  <dcterms:modified xsi:type="dcterms:W3CDTF">2023-04-19T14:09:49Z</dcterms:modified>
</cp:coreProperties>
</file>