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ersonalmicrosoftsoftware0-my.sharepoint.com/personal/kevinclack_personalmicrosoftsoftware_ucla_edu/Documents/Manuscripts/Bioresource Recovery/"/>
    </mc:Choice>
  </mc:AlternateContent>
  <xr:revisionPtr revIDLastSave="34866" documentId="8_{E4555FDB-DDC5-314A-B174-5458218CFEA9}" xr6:coauthVersionLast="47" xr6:coauthVersionMax="47" xr10:uidLastSave="{928CDD45-B8BB-C443-AA10-28B5BCA38C6A}"/>
  <bookViews>
    <workbookView xWindow="51200" yWindow="0" windowWidth="33600" windowHeight="21000" tabRatio="826" activeTab="7" xr2:uid="{D2F3EA62-A25B-7444-ABB0-9A7FF3117B73}"/>
  </bookViews>
  <sheets>
    <sheet name="SI" sheetId="34" r:id="rId1"/>
    <sheet name="Energy Balance" sheetId="14" r:id="rId2"/>
    <sheet name="GWP" sheetId="21" r:id="rId3"/>
    <sheet name="Commercial Viability" sheetId="13" r:id="rId4"/>
    <sheet name="ENV BENEFIT - VIABILITY" sheetId="2" r:id="rId5"/>
    <sheet name="ENV-Com" sheetId="18" r:id="rId6"/>
    <sheet name="ENV-TRL" sheetId="23" r:id="rId7"/>
    <sheet name="CO2e v NPV" sheetId="47" r:id="rId8"/>
    <sheet name="CORREL" sheetId="46" r:id="rId9"/>
    <sheet name="EROI_Electricity" sheetId="39" r:id="rId10"/>
    <sheet name="EF_disp,crude" sheetId="40" r:id="rId11"/>
    <sheet name="EF_elec" sheetId="42" r:id="rId12"/>
  </sheets>
  <externalReferences>
    <externalReference r:id="rId13"/>
  </externalReferences>
  <definedNames>
    <definedName name="_xlnm._FilterDatabase" localSheetId="1" hidden="1">'Energy Balance'!$A$9:$X$9</definedName>
    <definedName name="_xlnm._FilterDatabase" localSheetId="2" hidden="1">GWP!$A$7:$E$7</definedName>
    <definedName name="_xlnm.Print_Area" localSheetId="0">SI!$A$1:$F$2403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46" l="1"/>
  <c r="K5" i="46"/>
  <c r="L5" i="46"/>
  <c r="M5" i="46"/>
  <c r="N5" i="46"/>
  <c r="J6" i="46"/>
  <c r="K6" i="46"/>
  <c r="L6" i="46"/>
  <c r="M6" i="46"/>
  <c r="N6" i="46"/>
  <c r="J7" i="46"/>
  <c r="K7" i="46"/>
  <c r="L7" i="46"/>
  <c r="M7" i="46"/>
  <c r="N7" i="46"/>
  <c r="J8" i="46"/>
  <c r="K8" i="46"/>
  <c r="L8" i="46"/>
  <c r="M8" i="46"/>
  <c r="N8" i="46"/>
  <c r="J9" i="46"/>
  <c r="K9" i="46"/>
  <c r="L9" i="46"/>
  <c r="M9" i="46"/>
  <c r="N9" i="46"/>
  <c r="J10" i="46"/>
  <c r="K10" i="46"/>
  <c r="L10" i="46"/>
  <c r="M10" i="46"/>
  <c r="N10" i="46"/>
  <c r="J11" i="46"/>
  <c r="K11" i="46"/>
  <c r="L11" i="46"/>
  <c r="M11" i="46"/>
  <c r="N11" i="46"/>
  <c r="J12" i="46"/>
  <c r="K12" i="46"/>
  <c r="L12" i="46"/>
  <c r="M12" i="46"/>
  <c r="N12" i="46"/>
  <c r="J13" i="46"/>
  <c r="K13" i="46"/>
  <c r="L13" i="46"/>
  <c r="M13" i="46"/>
  <c r="N13" i="46"/>
  <c r="J14" i="46"/>
  <c r="K14" i="46"/>
  <c r="L14" i="46"/>
  <c r="M14" i="46"/>
  <c r="N14" i="46"/>
  <c r="J15" i="46"/>
  <c r="K15" i="46"/>
  <c r="L15" i="46"/>
  <c r="M15" i="46"/>
  <c r="N15" i="46"/>
  <c r="J16" i="46"/>
  <c r="K16" i="46"/>
  <c r="L16" i="46"/>
  <c r="M16" i="46"/>
  <c r="N16" i="46"/>
  <c r="J17" i="46"/>
  <c r="K17" i="46"/>
  <c r="L17" i="46"/>
  <c r="M17" i="46"/>
  <c r="N17" i="46"/>
  <c r="J18" i="46"/>
  <c r="K18" i="46"/>
  <c r="L18" i="46"/>
  <c r="M18" i="46"/>
  <c r="N18" i="46"/>
  <c r="J19" i="46"/>
  <c r="K19" i="46"/>
  <c r="L19" i="46"/>
  <c r="M19" i="46"/>
  <c r="N19" i="46"/>
  <c r="J20" i="46"/>
  <c r="K20" i="46"/>
  <c r="L20" i="46"/>
  <c r="M20" i="46"/>
  <c r="N20" i="46"/>
  <c r="J21" i="46"/>
  <c r="K21" i="46"/>
  <c r="L21" i="46"/>
  <c r="M21" i="46"/>
  <c r="N21" i="46"/>
  <c r="J22" i="46"/>
  <c r="K22" i="46"/>
  <c r="L22" i="46"/>
  <c r="M22" i="46"/>
  <c r="N22" i="46"/>
  <c r="J23" i="46"/>
  <c r="K23" i="46"/>
  <c r="L23" i="46"/>
  <c r="M23" i="46"/>
  <c r="N23" i="46"/>
  <c r="J24" i="46"/>
  <c r="K24" i="46"/>
  <c r="L24" i="46"/>
  <c r="M24" i="46"/>
  <c r="N24" i="46"/>
  <c r="J25" i="46"/>
  <c r="K25" i="46"/>
  <c r="L25" i="46"/>
  <c r="M25" i="46"/>
  <c r="N25" i="46"/>
  <c r="J26" i="46"/>
  <c r="K26" i="46"/>
  <c r="L26" i="46"/>
  <c r="M26" i="46"/>
  <c r="N26" i="46"/>
  <c r="J27" i="46"/>
  <c r="K27" i="46"/>
  <c r="L27" i="46"/>
  <c r="M27" i="46"/>
  <c r="N27" i="46"/>
  <c r="J28" i="46"/>
  <c r="K28" i="46"/>
  <c r="L28" i="46"/>
  <c r="M28" i="46"/>
  <c r="N28" i="46"/>
  <c r="J29" i="46"/>
  <c r="K29" i="46"/>
  <c r="L29" i="46"/>
  <c r="M29" i="46"/>
  <c r="N29" i="46"/>
  <c r="J30" i="46"/>
  <c r="K30" i="46"/>
  <c r="L30" i="46"/>
  <c r="M30" i="46"/>
  <c r="N30" i="46"/>
  <c r="J31" i="46"/>
  <c r="K31" i="46"/>
  <c r="L31" i="46"/>
  <c r="M31" i="46"/>
  <c r="N31" i="46"/>
  <c r="J32" i="46"/>
  <c r="K32" i="46"/>
  <c r="L32" i="46"/>
  <c r="M32" i="46"/>
  <c r="N32" i="46"/>
  <c r="J33" i="46"/>
  <c r="K33" i="46"/>
  <c r="L33" i="46"/>
  <c r="M33" i="46"/>
  <c r="N33" i="46"/>
  <c r="J34" i="46"/>
  <c r="K34" i="46"/>
  <c r="L34" i="46"/>
  <c r="M34" i="46"/>
  <c r="N34" i="46"/>
  <c r="J35" i="46"/>
  <c r="K35" i="46"/>
  <c r="L35" i="46"/>
  <c r="M35" i="46"/>
  <c r="N35" i="46"/>
  <c r="J36" i="46"/>
  <c r="K36" i="46"/>
  <c r="L36" i="46"/>
  <c r="M36" i="46"/>
  <c r="N36" i="46"/>
  <c r="J37" i="46"/>
  <c r="K37" i="46"/>
  <c r="L37" i="46"/>
  <c r="M37" i="46"/>
  <c r="N37" i="46"/>
  <c r="J38" i="46"/>
  <c r="K38" i="46"/>
  <c r="L38" i="46"/>
  <c r="M38" i="46"/>
  <c r="N38" i="46"/>
  <c r="N4" i="46"/>
  <c r="M4" i="46"/>
  <c r="L4" i="46"/>
  <c r="K4" i="46"/>
  <c r="J4" i="46"/>
  <c r="J44" i="46" s="1"/>
  <c r="G6" i="47" l="1"/>
  <c r="G7" i="47"/>
  <c r="G8" i="47"/>
  <c r="G9" i="47"/>
  <c r="G10" i="47"/>
  <c r="G11" i="47"/>
  <c r="G12" i="47"/>
  <c r="G13" i="47"/>
  <c r="G14" i="47"/>
  <c r="G15" i="47"/>
  <c r="G16" i="47"/>
  <c r="G17" i="47"/>
  <c r="G18" i="47"/>
  <c r="G19" i="47"/>
  <c r="G20" i="47"/>
  <c r="G21" i="47"/>
  <c r="G22" i="47"/>
  <c r="G23" i="47"/>
  <c r="G24" i="47"/>
  <c r="G25" i="47"/>
  <c r="G26" i="47"/>
  <c r="G27" i="47"/>
  <c r="G28" i="47"/>
  <c r="G29" i="47"/>
  <c r="G30" i="47"/>
  <c r="G31" i="47"/>
  <c r="G32" i="47"/>
  <c r="G33" i="47"/>
  <c r="G34" i="47"/>
  <c r="G35" i="47"/>
  <c r="G36" i="47"/>
  <c r="G37" i="47"/>
  <c r="G38" i="47"/>
  <c r="G39" i="47"/>
  <c r="G5" i="47"/>
  <c r="I6" i="47"/>
  <c r="I7" i="47"/>
  <c r="I8" i="47"/>
  <c r="I9" i="47"/>
  <c r="I10" i="47"/>
  <c r="I11" i="47"/>
  <c r="I12" i="47"/>
  <c r="I13" i="47"/>
  <c r="I14" i="47"/>
  <c r="I15" i="47"/>
  <c r="I16" i="47"/>
  <c r="I17" i="47"/>
  <c r="I18" i="47"/>
  <c r="I19" i="47"/>
  <c r="I20" i="47"/>
  <c r="I21" i="47"/>
  <c r="I22" i="47"/>
  <c r="I23" i="47"/>
  <c r="I24" i="47"/>
  <c r="I25" i="47"/>
  <c r="I26" i="47"/>
  <c r="I27" i="47"/>
  <c r="I28" i="47"/>
  <c r="I29" i="47"/>
  <c r="I30" i="47"/>
  <c r="I31" i="47"/>
  <c r="I32" i="47"/>
  <c r="I33" i="47"/>
  <c r="I34" i="47"/>
  <c r="I35" i="47"/>
  <c r="I36" i="47"/>
  <c r="I37" i="47"/>
  <c r="I38" i="47"/>
  <c r="I39" i="47"/>
  <c r="I5" i="47"/>
  <c r="F21" i="47" l="1"/>
  <c r="F22" i="47"/>
  <c r="F23" i="47"/>
  <c r="F24" i="47"/>
  <c r="F25" i="47"/>
  <c r="L25" i="47" s="1"/>
  <c r="F26" i="47"/>
  <c r="T26" i="47" s="1"/>
  <c r="F27" i="47"/>
  <c r="X27" i="47" s="1"/>
  <c r="F28" i="47"/>
  <c r="F29" i="47"/>
  <c r="F30" i="47"/>
  <c r="F31" i="47"/>
  <c r="F32" i="47"/>
  <c r="X32" i="47" s="1"/>
  <c r="F33" i="47"/>
  <c r="X33" i="47" s="1"/>
  <c r="F34" i="47"/>
  <c r="X34" i="47" s="1"/>
  <c r="F35" i="47"/>
  <c r="T35" i="47" s="1"/>
  <c r="F36" i="47"/>
  <c r="X36" i="47" s="1"/>
  <c r="F37" i="47"/>
  <c r="F38" i="47"/>
  <c r="F39" i="47"/>
  <c r="E21" i="47"/>
  <c r="E22" i="47"/>
  <c r="E23" i="47"/>
  <c r="E24" i="47"/>
  <c r="E25" i="47"/>
  <c r="E26" i="47"/>
  <c r="E27" i="47"/>
  <c r="E28" i="47"/>
  <c r="E29" i="47"/>
  <c r="E30" i="47"/>
  <c r="E31" i="47"/>
  <c r="E32" i="47"/>
  <c r="E33" i="47"/>
  <c r="E34" i="47"/>
  <c r="E35" i="47"/>
  <c r="E36" i="47"/>
  <c r="E37" i="47"/>
  <c r="E38" i="47"/>
  <c r="E39" i="47"/>
  <c r="D21" i="47"/>
  <c r="D22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8" i="47"/>
  <c r="D39" i="47"/>
  <c r="C21" i="47"/>
  <c r="C22" i="47"/>
  <c r="C23" i="47"/>
  <c r="C24" i="47"/>
  <c r="C25" i="47"/>
  <c r="C26" i="47"/>
  <c r="C27" i="47"/>
  <c r="C28" i="47"/>
  <c r="C29" i="47"/>
  <c r="C30" i="47"/>
  <c r="C31" i="47"/>
  <c r="C32" i="47"/>
  <c r="C33" i="47"/>
  <c r="C34" i="47"/>
  <c r="C35" i="47"/>
  <c r="C36" i="47"/>
  <c r="C37" i="47"/>
  <c r="C38" i="47"/>
  <c r="C39" i="47"/>
  <c r="B21" i="47"/>
  <c r="B22" i="47"/>
  <c r="B23" i="47"/>
  <c r="B24" i="47"/>
  <c r="B25" i="47"/>
  <c r="B26" i="47"/>
  <c r="B27" i="47"/>
  <c r="B28" i="47"/>
  <c r="B29" i="47"/>
  <c r="B30" i="47"/>
  <c r="B31" i="47"/>
  <c r="B32" i="47"/>
  <c r="B33" i="47"/>
  <c r="B34" i="47"/>
  <c r="B35" i="47"/>
  <c r="B36" i="47"/>
  <c r="B37" i="47"/>
  <c r="B38" i="47"/>
  <c r="B39" i="47"/>
  <c r="F6" i="47"/>
  <c r="F7" i="47"/>
  <c r="L7" i="47" s="1"/>
  <c r="F8" i="47"/>
  <c r="F9" i="47"/>
  <c r="F10" i="47"/>
  <c r="F11" i="47"/>
  <c r="F12" i="47"/>
  <c r="T12" i="47" s="1"/>
  <c r="F13" i="47"/>
  <c r="F14" i="47"/>
  <c r="F15" i="47"/>
  <c r="X15" i="47" s="1"/>
  <c r="F16" i="47"/>
  <c r="F17" i="47"/>
  <c r="F18" i="47"/>
  <c r="F19" i="47"/>
  <c r="F20" i="47"/>
  <c r="X20" i="47" s="1"/>
  <c r="X23" i="47"/>
  <c r="X28" i="47"/>
  <c r="T29" i="47"/>
  <c r="T31" i="47"/>
  <c r="X37" i="47"/>
  <c r="T39" i="47"/>
  <c r="F5" i="47"/>
  <c r="E6" i="47"/>
  <c r="E7" i="47"/>
  <c r="E8" i="47"/>
  <c r="E9" i="47"/>
  <c r="E10" i="47"/>
  <c r="E11" i="47"/>
  <c r="E12" i="47"/>
  <c r="E13" i="47"/>
  <c r="E14" i="47"/>
  <c r="E15" i="47"/>
  <c r="E16" i="47"/>
  <c r="E17" i="47"/>
  <c r="E18" i="47"/>
  <c r="E19" i="47"/>
  <c r="E20" i="47"/>
  <c r="E5" i="47"/>
  <c r="D6" i="47"/>
  <c r="D7" i="47"/>
  <c r="D8" i="47"/>
  <c r="D9" i="47"/>
  <c r="D10" i="47"/>
  <c r="D11" i="47"/>
  <c r="D12" i="47"/>
  <c r="D13" i="47"/>
  <c r="D14" i="47"/>
  <c r="D15" i="47"/>
  <c r="D16" i="47"/>
  <c r="D17" i="47"/>
  <c r="D18" i="47"/>
  <c r="D19" i="47"/>
  <c r="D20" i="47"/>
  <c r="D5" i="47"/>
  <c r="C6" i="47"/>
  <c r="C7" i="47"/>
  <c r="C8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5" i="47"/>
  <c r="B6" i="47"/>
  <c r="B7" i="47"/>
  <c r="B8" i="47"/>
  <c r="B9" i="47"/>
  <c r="B10" i="47"/>
  <c r="B11" i="47"/>
  <c r="B12" i="47"/>
  <c r="B13" i="47"/>
  <c r="B14" i="47"/>
  <c r="B15" i="47"/>
  <c r="B16" i="47"/>
  <c r="B17" i="47"/>
  <c r="B18" i="47"/>
  <c r="B19" i="47"/>
  <c r="B20" i="47"/>
  <c r="B5" i="47"/>
  <c r="H39" i="47"/>
  <c r="X38" i="47"/>
  <c r="P38" i="47"/>
  <c r="H38" i="47"/>
  <c r="T38" i="47"/>
  <c r="U38" i="47" s="1"/>
  <c r="H37" i="47"/>
  <c r="H36" i="47"/>
  <c r="H35" i="47"/>
  <c r="H34" i="47"/>
  <c r="T34" i="47"/>
  <c r="L33" i="47"/>
  <c r="H33" i="47"/>
  <c r="H32" i="47"/>
  <c r="H31" i="47"/>
  <c r="X30" i="47"/>
  <c r="P30" i="47"/>
  <c r="H30" i="47"/>
  <c r="T30" i="47"/>
  <c r="X29" i="47"/>
  <c r="H29" i="47"/>
  <c r="H28" i="47"/>
  <c r="H27" i="47"/>
  <c r="T27" i="47"/>
  <c r="P26" i="47"/>
  <c r="H26" i="47"/>
  <c r="X25" i="47"/>
  <c r="T25" i="47"/>
  <c r="U25" i="47" s="1"/>
  <c r="V25" i="47" s="1"/>
  <c r="P25" i="47"/>
  <c r="H25" i="47"/>
  <c r="H24" i="47"/>
  <c r="X24" i="47"/>
  <c r="AH23" i="47"/>
  <c r="H23" i="47"/>
  <c r="T22" i="47"/>
  <c r="L22" i="47"/>
  <c r="H22" i="47"/>
  <c r="X22" i="47"/>
  <c r="H21" i="47"/>
  <c r="P20" i="47"/>
  <c r="H20" i="47"/>
  <c r="T20" i="47"/>
  <c r="X19" i="47"/>
  <c r="T19" i="47"/>
  <c r="P19" i="47"/>
  <c r="L19" i="47"/>
  <c r="H19" i="47"/>
  <c r="T18" i="47"/>
  <c r="L18" i="47"/>
  <c r="H18" i="47"/>
  <c r="X18" i="47"/>
  <c r="H17" i="47"/>
  <c r="X16" i="47"/>
  <c r="P16" i="47"/>
  <c r="J16" i="47"/>
  <c r="H16" i="47"/>
  <c r="T16" i="47"/>
  <c r="P15" i="47"/>
  <c r="L15" i="47"/>
  <c r="H15" i="47"/>
  <c r="T14" i="47"/>
  <c r="L14" i="47"/>
  <c r="H14" i="47"/>
  <c r="X14" i="47"/>
  <c r="H13" i="47"/>
  <c r="H12" i="47"/>
  <c r="T11" i="47"/>
  <c r="P11" i="47"/>
  <c r="L11" i="47"/>
  <c r="J11" i="47"/>
  <c r="H11" i="47"/>
  <c r="X11" i="47"/>
  <c r="T10" i="47"/>
  <c r="L10" i="47"/>
  <c r="H10" i="47"/>
  <c r="X10" i="47"/>
  <c r="H9" i="47"/>
  <c r="X8" i="47"/>
  <c r="P8" i="47"/>
  <c r="J8" i="47"/>
  <c r="H8" i="47"/>
  <c r="T8" i="47"/>
  <c r="X7" i="47"/>
  <c r="T7" i="47"/>
  <c r="P7" i="47"/>
  <c r="J7" i="47"/>
  <c r="H7" i="47"/>
  <c r="L6" i="47"/>
  <c r="H6" i="47"/>
  <c r="T5" i="47"/>
  <c r="L5" i="47"/>
  <c r="L48" i="47" s="1"/>
  <c r="J5" i="47"/>
  <c r="H5" i="47"/>
  <c r="P5" i="47"/>
  <c r="J26" i="47" l="1"/>
  <c r="J12" i="47"/>
  <c r="K12" i="47" s="1"/>
  <c r="J20" i="47"/>
  <c r="K20" i="47" s="1"/>
  <c r="J36" i="47"/>
  <c r="U29" i="47"/>
  <c r="V29" i="47" s="1"/>
  <c r="K7" i="47"/>
  <c r="U16" i="47"/>
  <c r="V16" i="47" s="1"/>
  <c r="W16" i="47" s="1"/>
  <c r="M33" i="47"/>
  <c r="N33" i="47" s="1"/>
  <c r="O33" i="47" s="1"/>
  <c r="U12" i="47"/>
  <c r="V12" i="47" s="1"/>
  <c r="K5" i="47"/>
  <c r="M25" i="47"/>
  <c r="N25" i="47" s="1"/>
  <c r="O25" i="47" s="1"/>
  <c r="Q7" i="47"/>
  <c r="R7" i="47" s="1"/>
  <c r="S7" i="47" s="1"/>
  <c r="U8" i="47"/>
  <c r="V8" i="47" s="1"/>
  <c r="W8" i="47" s="1"/>
  <c r="Q5" i="47"/>
  <c r="R5" i="47" s="1"/>
  <c r="S5" i="47" s="1"/>
  <c r="W29" i="47"/>
  <c r="U5" i="47"/>
  <c r="V5" i="47" s="1"/>
  <c r="W5" i="47" s="1"/>
  <c r="U20" i="47"/>
  <c r="V20" i="47" s="1"/>
  <c r="W20" i="47" s="1"/>
  <c r="K26" i="47"/>
  <c r="W25" i="47"/>
  <c r="P35" i="47"/>
  <c r="X35" i="47"/>
  <c r="Y35" i="47" s="1"/>
  <c r="Z35" i="47" s="1"/>
  <c r="AA35" i="47" s="1"/>
  <c r="P34" i="47"/>
  <c r="Q34" i="47" s="1"/>
  <c r="R34" i="47" s="1"/>
  <c r="S34" i="47" s="1"/>
  <c r="P27" i="47"/>
  <c r="Q27" i="47" s="1"/>
  <c r="R27" i="47" s="1"/>
  <c r="S27" i="47" s="1"/>
  <c r="P33" i="47"/>
  <c r="Q33" i="47" s="1"/>
  <c r="R33" i="47" s="1"/>
  <c r="S33" i="47" s="1"/>
  <c r="T33" i="47"/>
  <c r="U33" i="47" s="1"/>
  <c r="V33" i="47" s="1"/>
  <c r="W33" i="47" s="1"/>
  <c r="U22" i="47"/>
  <c r="V22" i="47" s="1"/>
  <c r="W22" i="47" s="1"/>
  <c r="Y8" i="47"/>
  <c r="Z8" i="47" s="1"/>
  <c r="Y37" i="47"/>
  <c r="Z37" i="47" s="1"/>
  <c r="AA37" i="47" s="1"/>
  <c r="T15" i="47"/>
  <c r="L23" i="47"/>
  <c r="Y27" i="47"/>
  <c r="Z27" i="47" s="1"/>
  <c r="AA27" i="47" s="1"/>
  <c r="Y38" i="47"/>
  <c r="Z38" i="47" s="1"/>
  <c r="AA38" i="47" s="1"/>
  <c r="U14" i="47"/>
  <c r="V14" i="47" s="1"/>
  <c r="W14" i="47" s="1"/>
  <c r="P23" i="47"/>
  <c r="Q23" i="47" s="1"/>
  <c r="R23" i="47" s="1"/>
  <c r="S23" i="47" s="1"/>
  <c r="L29" i="47"/>
  <c r="M29" i="47" s="1"/>
  <c r="P31" i="47"/>
  <c r="P37" i="47"/>
  <c r="P12" i="47"/>
  <c r="Q12" i="47" s="1"/>
  <c r="R12" i="47" s="1"/>
  <c r="S12" i="47" s="1"/>
  <c r="U19" i="47"/>
  <c r="V19" i="47" s="1"/>
  <c r="W19" i="47" s="1"/>
  <c r="T23" i="47"/>
  <c r="U23" i="47" s="1"/>
  <c r="V23" i="47" s="1"/>
  <c r="W23" i="47" s="1"/>
  <c r="Y25" i="47"/>
  <c r="Z25" i="47" s="1"/>
  <c r="AA25" i="47" s="1"/>
  <c r="X31" i="47"/>
  <c r="Y31" i="47" s="1"/>
  <c r="Z31" i="47" s="1"/>
  <c r="AA31" i="47" s="1"/>
  <c r="T37" i="47"/>
  <c r="U37" i="47" s="1"/>
  <c r="L37" i="47"/>
  <c r="M37" i="47" s="1"/>
  <c r="N37" i="47" s="1"/>
  <c r="O37" i="47" s="1"/>
  <c r="X12" i="47"/>
  <c r="P29" i="47"/>
  <c r="Q29" i="47" s="1"/>
  <c r="R29" i="47" s="1"/>
  <c r="S29" i="47" s="1"/>
  <c r="Y36" i="47"/>
  <c r="Z36" i="47" s="1"/>
  <c r="AA36" i="47" s="1"/>
  <c r="U15" i="47"/>
  <c r="V15" i="47" s="1"/>
  <c r="W15" i="47" s="1"/>
  <c r="V38" i="47"/>
  <c r="W38" i="47" s="1"/>
  <c r="J24" i="47"/>
  <c r="K24" i="47" s="1"/>
  <c r="V37" i="47"/>
  <c r="W37" i="47" s="1"/>
  <c r="U10" i="47"/>
  <c r="V10" i="47" s="1"/>
  <c r="W10" i="47" s="1"/>
  <c r="J13" i="47"/>
  <c r="K13" i="47" s="1"/>
  <c r="J17" i="47"/>
  <c r="K17" i="47" s="1"/>
  <c r="J21" i="47"/>
  <c r="K21" i="47" s="1"/>
  <c r="Y28" i="47"/>
  <c r="Z28" i="47" s="1"/>
  <c r="AA28" i="47" s="1"/>
  <c r="Y29" i="47"/>
  <c r="Z29" i="47" s="1"/>
  <c r="AA29" i="47" s="1"/>
  <c r="J6" i="47"/>
  <c r="K6" i="47" s="1"/>
  <c r="J9" i="47"/>
  <c r="K9" i="47" s="1"/>
  <c r="U11" i="47"/>
  <c r="V11" i="47" s="1"/>
  <c r="W11" i="47" s="1"/>
  <c r="J15" i="47"/>
  <c r="K15" i="47" s="1"/>
  <c r="J19" i="47"/>
  <c r="K19" i="47" s="1"/>
  <c r="J23" i="47"/>
  <c r="K23" i="47" s="1"/>
  <c r="Y32" i="47"/>
  <c r="Z32" i="47" s="1"/>
  <c r="AA32" i="47" s="1"/>
  <c r="Y33" i="47"/>
  <c r="Z33" i="47" s="1"/>
  <c r="AA33" i="47" s="1"/>
  <c r="N29" i="47"/>
  <c r="O29" i="47" s="1"/>
  <c r="AA8" i="47"/>
  <c r="X6" i="47"/>
  <c r="P6" i="47"/>
  <c r="Q6" i="47" s="1"/>
  <c r="R6" i="47" s="1"/>
  <c r="S6" i="47" s="1"/>
  <c r="Q35" i="47"/>
  <c r="R35" i="47" s="1"/>
  <c r="S35" i="47" s="1"/>
  <c r="M5" i="47"/>
  <c r="X17" i="47"/>
  <c r="Y17" i="47" s="1"/>
  <c r="Z17" i="47" s="1"/>
  <c r="AA17" i="47" s="1"/>
  <c r="P17" i="47"/>
  <c r="Q17" i="47" s="1"/>
  <c r="R17" i="47" s="1"/>
  <c r="S17" i="47" s="1"/>
  <c r="T17" i="47"/>
  <c r="U17" i="47" s="1"/>
  <c r="V17" i="47" s="1"/>
  <c r="W17" i="47" s="1"/>
  <c r="L17" i="47"/>
  <c r="M17" i="47" s="1"/>
  <c r="N17" i="47" s="1"/>
  <c r="O17" i="47" s="1"/>
  <c r="Q31" i="47"/>
  <c r="R31" i="47" s="1"/>
  <c r="S31" i="47" s="1"/>
  <c r="X5" i="47"/>
  <c r="Y5" i="47" s="1"/>
  <c r="Z5" i="47" s="1"/>
  <c r="AA5" i="47" s="1"/>
  <c r="U26" i="47"/>
  <c r="V26" i="47" s="1"/>
  <c r="W26" i="47" s="1"/>
  <c r="U30" i="47"/>
  <c r="V30" i="47" s="1"/>
  <c r="W30" i="47" s="1"/>
  <c r="U34" i="47"/>
  <c r="V34" i="47" s="1"/>
  <c r="W34" i="47" s="1"/>
  <c r="K8" i="47"/>
  <c r="K11" i="47"/>
  <c r="X9" i="47"/>
  <c r="Y9" i="47" s="1"/>
  <c r="Z9" i="47" s="1"/>
  <c r="AA9" i="47" s="1"/>
  <c r="P9" i="47"/>
  <c r="Q9" i="47" s="1"/>
  <c r="R9" i="47" s="1"/>
  <c r="S9" i="47" s="1"/>
  <c r="T9" i="47"/>
  <c r="U9" i="47" s="1"/>
  <c r="V9" i="47" s="1"/>
  <c r="W9" i="47" s="1"/>
  <c r="L9" i="47"/>
  <c r="M9" i="47" s="1"/>
  <c r="N9" i="47" s="1"/>
  <c r="O9" i="47" s="1"/>
  <c r="Y16" i="47"/>
  <c r="Z16" i="47" s="1"/>
  <c r="AA16" i="47" s="1"/>
  <c r="Y24" i="47"/>
  <c r="Z24" i="47" s="1"/>
  <c r="AA24" i="47" s="1"/>
  <c r="W12" i="47"/>
  <c r="K16" i="47"/>
  <c r="K36" i="47"/>
  <c r="M6" i="47"/>
  <c r="N6" i="47" s="1"/>
  <c r="O6" i="47" s="1"/>
  <c r="T6" i="47"/>
  <c r="U6" i="47" s="1"/>
  <c r="V6" i="47" s="1"/>
  <c r="W6" i="47" s="1"/>
  <c r="Y6" i="47"/>
  <c r="Z6" i="47" s="1"/>
  <c r="AA6" i="47" s="1"/>
  <c r="U7" i="47"/>
  <c r="V7" i="47" s="1"/>
  <c r="W7" i="47" s="1"/>
  <c r="M7" i="47"/>
  <c r="N7" i="47" s="1"/>
  <c r="O7" i="47" s="1"/>
  <c r="Y7" i="47"/>
  <c r="Z7" i="47" s="1"/>
  <c r="AA7" i="47" s="1"/>
  <c r="Y12" i="47"/>
  <c r="Z12" i="47" s="1"/>
  <c r="AA12" i="47" s="1"/>
  <c r="X13" i="47"/>
  <c r="Y13" i="47" s="1"/>
  <c r="Z13" i="47" s="1"/>
  <c r="AA13" i="47" s="1"/>
  <c r="P13" i="47"/>
  <c r="Q13" i="47" s="1"/>
  <c r="R13" i="47" s="1"/>
  <c r="S13" i="47" s="1"/>
  <c r="T13" i="47"/>
  <c r="U13" i="47" s="1"/>
  <c r="V13" i="47" s="1"/>
  <c r="W13" i="47" s="1"/>
  <c r="L13" i="47"/>
  <c r="M13" i="47" s="1"/>
  <c r="N13" i="47" s="1"/>
  <c r="O13" i="47" s="1"/>
  <c r="U18" i="47"/>
  <c r="V18" i="47" s="1"/>
  <c r="W18" i="47" s="1"/>
  <c r="Y20" i="47"/>
  <c r="Z20" i="47" s="1"/>
  <c r="AA20" i="47" s="1"/>
  <c r="X21" i="47"/>
  <c r="Y21" i="47" s="1"/>
  <c r="Z21" i="47" s="1"/>
  <c r="AA21" i="47" s="1"/>
  <c r="P21" i="47"/>
  <c r="Q21" i="47" s="1"/>
  <c r="R21" i="47" s="1"/>
  <c r="S21" i="47" s="1"/>
  <c r="T21" i="47"/>
  <c r="U21" i="47" s="1"/>
  <c r="V21" i="47" s="1"/>
  <c r="W21" i="47" s="1"/>
  <c r="L21" i="47"/>
  <c r="M21" i="47" s="1"/>
  <c r="N21" i="47" s="1"/>
  <c r="O21" i="47" s="1"/>
  <c r="U27" i="47"/>
  <c r="V27" i="47" s="1"/>
  <c r="W27" i="47" s="1"/>
  <c r="J27" i="47"/>
  <c r="K27" i="47" s="1"/>
  <c r="U31" i="47"/>
  <c r="V31" i="47" s="1"/>
  <c r="W31" i="47" s="1"/>
  <c r="J31" i="47"/>
  <c r="K31" i="47" s="1"/>
  <c r="U35" i="47"/>
  <c r="V35" i="47" s="1"/>
  <c r="W35" i="47" s="1"/>
  <c r="J35" i="47"/>
  <c r="K35" i="47" s="1"/>
  <c r="U39" i="47"/>
  <c r="V39" i="47" s="1"/>
  <c r="W39" i="47" s="1"/>
  <c r="J39" i="47"/>
  <c r="K39" i="47" s="1"/>
  <c r="Y10" i="47"/>
  <c r="Z10" i="47" s="1"/>
  <c r="AA10" i="47" s="1"/>
  <c r="Y14" i="47"/>
  <c r="Z14" i="47" s="1"/>
  <c r="AA14" i="47" s="1"/>
  <c r="Y18" i="47"/>
  <c r="Z18" i="47" s="1"/>
  <c r="AA18" i="47" s="1"/>
  <c r="Y22" i="47"/>
  <c r="Z22" i="47" s="1"/>
  <c r="AA22" i="47" s="1"/>
  <c r="L24" i="47"/>
  <c r="M24" i="47" s="1"/>
  <c r="N24" i="47" s="1"/>
  <c r="O24" i="47" s="1"/>
  <c r="T24" i="47"/>
  <c r="J25" i="47"/>
  <c r="K25" i="47" s="1"/>
  <c r="X26" i="47"/>
  <c r="Y26" i="47" s="1"/>
  <c r="Z26" i="47" s="1"/>
  <c r="AA26" i="47" s="1"/>
  <c r="L28" i="47"/>
  <c r="T28" i="47"/>
  <c r="J29" i="47"/>
  <c r="K29" i="47" s="1"/>
  <c r="L32" i="47"/>
  <c r="M32" i="47" s="1"/>
  <c r="N32" i="47" s="1"/>
  <c r="O32" i="47" s="1"/>
  <c r="T32" i="47"/>
  <c r="U32" i="47" s="1"/>
  <c r="V32" i="47" s="1"/>
  <c r="W32" i="47" s="1"/>
  <c r="J33" i="47"/>
  <c r="K33" i="47" s="1"/>
  <c r="L36" i="47"/>
  <c r="M36" i="47" s="1"/>
  <c r="N36" i="47" s="1"/>
  <c r="O36" i="47" s="1"/>
  <c r="T36" i="47"/>
  <c r="U36" i="47" s="1"/>
  <c r="V36" i="47" s="1"/>
  <c r="W36" i="47" s="1"/>
  <c r="J37" i="47"/>
  <c r="K37" i="47" s="1"/>
  <c r="J10" i="47"/>
  <c r="K10" i="47" s="1"/>
  <c r="J14" i="47"/>
  <c r="K14" i="47" s="1"/>
  <c r="J18" i="47"/>
  <c r="K18" i="47" s="1"/>
  <c r="J22" i="47"/>
  <c r="K22" i="47" s="1"/>
  <c r="U24" i="47"/>
  <c r="V24" i="47" s="1"/>
  <c r="W24" i="47" s="1"/>
  <c r="Q26" i="47"/>
  <c r="R26" i="47" s="1"/>
  <c r="S26" i="47" s="1"/>
  <c r="M28" i="47"/>
  <c r="N28" i="47" s="1"/>
  <c r="O28" i="47" s="1"/>
  <c r="U28" i="47"/>
  <c r="V28" i="47" s="1"/>
  <c r="W28" i="47" s="1"/>
  <c r="Q30" i="47"/>
  <c r="R30" i="47" s="1"/>
  <c r="S30" i="47" s="1"/>
  <c r="Y30" i="47"/>
  <c r="Z30" i="47" s="1"/>
  <c r="AA30" i="47" s="1"/>
  <c r="Y34" i="47"/>
  <c r="Z34" i="47" s="1"/>
  <c r="AA34" i="47" s="1"/>
  <c r="Q38" i="47"/>
  <c r="R38" i="47" s="1"/>
  <c r="S38" i="47" s="1"/>
  <c r="Q11" i="47"/>
  <c r="R11" i="47" s="1"/>
  <c r="S11" i="47" s="1"/>
  <c r="Y11" i="47"/>
  <c r="Z11" i="47" s="1"/>
  <c r="AA11" i="47" s="1"/>
  <c r="Q15" i="47"/>
  <c r="R15" i="47" s="1"/>
  <c r="S15" i="47" s="1"/>
  <c r="Y15" i="47"/>
  <c r="Z15" i="47" s="1"/>
  <c r="AA15" i="47" s="1"/>
  <c r="Q19" i="47"/>
  <c r="R19" i="47" s="1"/>
  <c r="S19" i="47" s="1"/>
  <c r="Y19" i="47"/>
  <c r="Z19" i="47" s="1"/>
  <c r="AA19" i="47" s="1"/>
  <c r="Y23" i="47"/>
  <c r="Z23" i="47" s="1"/>
  <c r="AA23" i="47" s="1"/>
  <c r="J30" i="47"/>
  <c r="K30" i="47" s="1"/>
  <c r="J34" i="47"/>
  <c r="K34" i="47" s="1"/>
  <c r="J38" i="47"/>
  <c r="K38" i="47" s="1"/>
  <c r="P39" i="47"/>
  <c r="Q39" i="47" s="1"/>
  <c r="R39" i="47" s="1"/>
  <c r="S39" i="47" s="1"/>
  <c r="X39" i="47"/>
  <c r="Y39" i="47" s="1"/>
  <c r="Z39" i="47" s="1"/>
  <c r="AA39" i="47" s="1"/>
  <c r="Q8" i="47"/>
  <c r="R8" i="47" s="1"/>
  <c r="S8" i="47" s="1"/>
  <c r="M10" i="47"/>
  <c r="N10" i="47" s="1"/>
  <c r="O10" i="47" s="1"/>
  <c r="M14" i="47"/>
  <c r="N14" i="47" s="1"/>
  <c r="O14" i="47" s="1"/>
  <c r="Q16" i="47"/>
  <c r="R16" i="47" s="1"/>
  <c r="S16" i="47" s="1"/>
  <c r="M18" i="47"/>
  <c r="N18" i="47" s="1"/>
  <c r="O18" i="47" s="1"/>
  <c r="Q20" i="47"/>
  <c r="R20" i="47" s="1"/>
  <c r="S20" i="47" s="1"/>
  <c r="M22" i="47"/>
  <c r="N22" i="47" s="1"/>
  <c r="O22" i="47" s="1"/>
  <c r="P24" i="47"/>
  <c r="Q24" i="47" s="1"/>
  <c r="R24" i="47" s="1"/>
  <c r="S24" i="47" s="1"/>
  <c r="L26" i="47"/>
  <c r="M26" i="47" s="1"/>
  <c r="N26" i="47" s="1"/>
  <c r="O26" i="47" s="1"/>
  <c r="P28" i="47"/>
  <c r="Q28" i="47" s="1"/>
  <c r="R28" i="47" s="1"/>
  <c r="S28" i="47" s="1"/>
  <c r="L30" i="47"/>
  <c r="M30" i="47" s="1"/>
  <c r="N30" i="47" s="1"/>
  <c r="O30" i="47" s="1"/>
  <c r="P32" i="47"/>
  <c r="Q32" i="47" s="1"/>
  <c r="R32" i="47" s="1"/>
  <c r="S32" i="47" s="1"/>
  <c r="L34" i="47"/>
  <c r="M34" i="47" s="1"/>
  <c r="N34" i="47" s="1"/>
  <c r="O34" i="47" s="1"/>
  <c r="P36" i="47"/>
  <c r="Q36" i="47" s="1"/>
  <c r="R36" i="47" s="1"/>
  <c r="S36" i="47" s="1"/>
  <c r="L38" i="47"/>
  <c r="M38" i="47" s="1"/>
  <c r="N38" i="47" s="1"/>
  <c r="O38" i="47" s="1"/>
  <c r="M11" i="47"/>
  <c r="N11" i="47" s="1"/>
  <c r="O11" i="47" s="1"/>
  <c r="M15" i="47"/>
  <c r="N15" i="47" s="1"/>
  <c r="O15" i="47" s="1"/>
  <c r="M19" i="47"/>
  <c r="N19" i="47" s="1"/>
  <c r="O19" i="47" s="1"/>
  <c r="M23" i="47"/>
  <c r="N23" i="47" s="1"/>
  <c r="O23" i="47" s="1"/>
  <c r="L27" i="47"/>
  <c r="M27" i="47" s="1"/>
  <c r="N27" i="47" s="1"/>
  <c r="O27" i="47" s="1"/>
  <c r="J28" i="47"/>
  <c r="K28" i="47" s="1"/>
  <c r="L31" i="47"/>
  <c r="M31" i="47" s="1"/>
  <c r="N31" i="47" s="1"/>
  <c r="O31" i="47" s="1"/>
  <c r="J32" i="47"/>
  <c r="K32" i="47" s="1"/>
  <c r="L35" i="47"/>
  <c r="M35" i="47" s="1"/>
  <c r="N35" i="47" s="1"/>
  <c r="O35" i="47" s="1"/>
  <c r="L39" i="47"/>
  <c r="M39" i="47" s="1"/>
  <c r="N39" i="47" s="1"/>
  <c r="O39" i="47" s="1"/>
  <c r="L8" i="47"/>
  <c r="M8" i="47" s="1"/>
  <c r="N8" i="47" s="1"/>
  <c r="O8" i="47" s="1"/>
  <c r="P10" i="47"/>
  <c r="Q10" i="47" s="1"/>
  <c r="R10" i="47" s="1"/>
  <c r="S10" i="47" s="1"/>
  <c r="L12" i="47"/>
  <c r="M12" i="47" s="1"/>
  <c r="N12" i="47" s="1"/>
  <c r="O12" i="47" s="1"/>
  <c r="P14" i="47"/>
  <c r="Q14" i="47" s="1"/>
  <c r="R14" i="47" s="1"/>
  <c r="S14" i="47" s="1"/>
  <c r="L16" i="47"/>
  <c r="M16" i="47" s="1"/>
  <c r="N16" i="47" s="1"/>
  <c r="O16" i="47" s="1"/>
  <c r="P18" i="47"/>
  <c r="Q18" i="47" s="1"/>
  <c r="R18" i="47" s="1"/>
  <c r="S18" i="47" s="1"/>
  <c r="L20" i="47"/>
  <c r="M20" i="47" s="1"/>
  <c r="N20" i="47" s="1"/>
  <c r="O20" i="47" s="1"/>
  <c r="P22" i="47"/>
  <c r="Q22" i="47" s="1"/>
  <c r="R22" i="47" s="1"/>
  <c r="S22" i="47" s="1"/>
  <c r="Q25" i="47"/>
  <c r="R25" i="47" s="1"/>
  <c r="S25" i="47" s="1"/>
  <c r="Q37" i="47"/>
  <c r="R37" i="47" s="1"/>
  <c r="S37" i="47" s="1"/>
  <c r="M48" i="47" l="1"/>
  <c r="N5" i="47"/>
  <c r="O5" i="47" s="1"/>
  <c r="N52" i="46" l="1"/>
  <c r="N51" i="46"/>
  <c r="N49" i="46"/>
  <c r="N53" i="46"/>
  <c r="N48" i="46"/>
  <c r="N41" i="46"/>
  <c r="N42" i="46"/>
  <c r="N43" i="46"/>
  <c r="N47" i="46"/>
  <c r="N44" i="46"/>
  <c r="N45" i="46"/>
  <c r="N46" i="46"/>
  <c r="D1704" i="34"/>
  <c r="D334" i="34"/>
  <c r="D9" i="21"/>
  <c r="D320" i="34"/>
  <c r="D332" i="34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21" i="2"/>
  <c r="R22" i="2"/>
  <c r="R17" i="2"/>
  <c r="R14" i="2"/>
  <c r="R10" i="2"/>
  <c r="R9" i="2"/>
  <c r="R7" i="2"/>
  <c r="D2361" i="34"/>
  <c r="D2206" i="34"/>
  <c r="D1360" i="34"/>
  <c r="N50" i="46" l="1"/>
  <c r="G7" i="14"/>
  <c r="B26" i="46" l="1"/>
  <c r="B27" i="46"/>
  <c r="B36" i="46"/>
  <c r="B37" i="46"/>
  <c r="A5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A20" i="46"/>
  <c r="A21" i="46"/>
  <c r="A22" i="46"/>
  <c r="A23" i="46"/>
  <c r="A24" i="46"/>
  <c r="A25" i="46"/>
  <c r="A26" i="46"/>
  <c r="A27" i="46"/>
  <c r="A28" i="46"/>
  <c r="A29" i="46"/>
  <c r="A30" i="46"/>
  <c r="A31" i="46"/>
  <c r="A32" i="46"/>
  <c r="A33" i="46"/>
  <c r="A34" i="46"/>
  <c r="A35" i="46"/>
  <c r="A36" i="46"/>
  <c r="A37" i="46"/>
  <c r="A38" i="46"/>
  <c r="A4" i="46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38" i="14"/>
  <c r="N39" i="14"/>
  <c r="N10" i="14"/>
  <c r="U9" i="21" l="1"/>
  <c r="V9" i="21"/>
  <c r="W9" i="21"/>
  <c r="X9" i="21"/>
  <c r="Y9" i="21"/>
  <c r="U10" i="21"/>
  <c r="V10" i="21"/>
  <c r="W10" i="21"/>
  <c r="X10" i="21"/>
  <c r="Y10" i="21"/>
  <c r="U11" i="21"/>
  <c r="V11" i="21"/>
  <c r="W11" i="21"/>
  <c r="X11" i="21"/>
  <c r="Y11" i="21"/>
  <c r="U12" i="21"/>
  <c r="Z12" i="21" s="1"/>
  <c r="V12" i="21"/>
  <c r="W12" i="21"/>
  <c r="X12" i="21"/>
  <c r="Y12" i="21"/>
  <c r="U13" i="21"/>
  <c r="V13" i="21"/>
  <c r="W13" i="21"/>
  <c r="X13" i="21"/>
  <c r="Y13" i="21"/>
  <c r="U14" i="21"/>
  <c r="V14" i="21"/>
  <c r="W14" i="21"/>
  <c r="X14" i="21"/>
  <c r="Y14" i="21"/>
  <c r="U15" i="21"/>
  <c r="V15" i="21"/>
  <c r="W15" i="21"/>
  <c r="X15" i="21"/>
  <c r="Y15" i="21"/>
  <c r="U16" i="21"/>
  <c r="V16" i="21"/>
  <c r="W16" i="21"/>
  <c r="X16" i="21"/>
  <c r="Y16" i="21"/>
  <c r="U17" i="21"/>
  <c r="V17" i="21"/>
  <c r="W17" i="21"/>
  <c r="X17" i="21"/>
  <c r="Y17" i="21"/>
  <c r="U18" i="21"/>
  <c r="V18" i="21"/>
  <c r="W18" i="21"/>
  <c r="X18" i="21"/>
  <c r="Y18" i="21"/>
  <c r="U19" i="21"/>
  <c r="V19" i="21"/>
  <c r="W19" i="21"/>
  <c r="X19" i="21"/>
  <c r="Y19" i="21"/>
  <c r="U20" i="21"/>
  <c r="Z20" i="21" s="1"/>
  <c r="V20" i="21"/>
  <c r="W20" i="21"/>
  <c r="X20" i="21"/>
  <c r="Y20" i="21"/>
  <c r="U21" i="21"/>
  <c r="V21" i="21"/>
  <c r="W21" i="21"/>
  <c r="X21" i="21"/>
  <c r="Y21" i="21"/>
  <c r="U22" i="21"/>
  <c r="V22" i="21"/>
  <c r="W22" i="21"/>
  <c r="X22" i="21"/>
  <c r="Y22" i="21"/>
  <c r="U23" i="21"/>
  <c r="V23" i="21"/>
  <c r="W23" i="21"/>
  <c r="X23" i="21"/>
  <c r="Y23" i="21"/>
  <c r="U24" i="21"/>
  <c r="V24" i="21"/>
  <c r="W24" i="21"/>
  <c r="X24" i="21"/>
  <c r="Y24" i="21"/>
  <c r="U25" i="21"/>
  <c r="V25" i="21"/>
  <c r="W25" i="21"/>
  <c r="X25" i="21"/>
  <c r="Y25" i="21"/>
  <c r="U26" i="21"/>
  <c r="W26" i="21"/>
  <c r="X26" i="21"/>
  <c r="Y26" i="21"/>
  <c r="V27" i="21"/>
  <c r="X27" i="21"/>
  <c r="Y27" i="21"/>
  <c r="U28" i="21"/>
  <c r="W28" i="21"/>
  <c r="X28" i="21"/>
  <c r="Y28" i="21"/>
  <c r="V29" i="21"/>
  <c r="X29" i="21"/>
  <c r="Y29" i="21"/>
  <c r="U30" i="21"/>
  <c r="W30" i="21"/>
  <c r="X30" i="21"/>
  <c r="Y30" i="21"/>
  <c r="U31" i="21"/>
  <c r="W31" i="21"/>
  <c r="X31" i="21"/>
  <c r="Y31" i="21"/>
  <c r="U32" i="21"/>
  <c r="W32" i="21"/>
  <c r="X32" i="21"/>
  <c r="Y32" i="21"/>
  <c r="U33" i="21"/>
  <c r="W33" i="21"/>
  <c r="X33" i="21"/>
  <c r="Y33" i="21"/>
  <c r="U34" i="21"/>
  <c r="W34" i="21"/>
  <c r="X34" i="21"/>
  <c r="Y34" i="21"/>
  <c r="U35" i="21"/>
  <c r="W35" i="21"/>
  <c r="X35" i="21"/>
  <c r="Y35" i="21"/>
  <c r="U36" i="21"/>
  <c r="V36" i="21"/>
  <c r="W36" i="21"/>
  <c r="X36" i="21"/>
  <c r="Y36" i="21"/>
  <c r="U37" i="21"/>
  <c r="V37" i="21"/>
  <c r="W37" i="21"/>
  <c r="X37" i="21"/>
  <c r="Y37" i="21"/>
  <c r="U38" i="21"/>
  <c r="V38" i="21"/>
  <c r="W38" i="21"/>
  <c r="X38" i="21"/>
  <c r="U39" i="21"/>
  <c r="V39" i="21"/>
  <c r="W39" i="21"/>
  <c r="X39" i="21"/>
  <c r="W40" i="21"/>
  <c r="Y40" i="21"/>
  <c r="U41" i="21"/>
  <c r="W41" i="21"/>
  <c r="U42" i="21"/>
  <c r="V42" i="21"/>
  <c r="W42" i="21"/>
  <c r="X42" i="21"/>
  <c r="V8" i="21"/>
  <c r="W8" i="21"/>
  <c r="X8" i="21"/>
  <c r="Y8" i="21"/>
  <c r="U8" i="21"/>
  <c r="G5" i="21"/>
  <c r="C15" i="42"/>
  <c r="C4" i="42" s="1"/>
  <c r="C7" i="42" s="1"/>
  <c r="C13" i="40"/>
  <c r="Z13" i="21" l="1"/>
  <c r="Z10" i="21"/>
  <c r="Z16" i="21"/>
  <c r="Z15" i="21"/>
  <c r="Z18" i="21"/>
  <c r="Z11" i="21"/>
  <c r="Z23" i="21"/>
  <c r="Z36" i="21"/>
  <c r="Z24" i="21"/>
  <c r="Z14" i="21"/>
  <c r="Z21" i="21"/>
  <c r="Z19" i="21"/>
  <c r="Z8" i="21"/>
  <c r="Z22" i="21"/>
  <c r="Z37" i="21"/>
  <c r="Z25" i="21"/>
  <c r="Z17" i="21"/>
  <c r="Z9" i="21"/>
  <c r="D2349" i="34"/>
  <c r="D2249" i="34"/>
  <c r="D2252" i="34"/>
  <c r="D1255" i="34"/>
  <c r="D1079" i="34" l="1"/>
  <c r="D2080" i="34"/>
  <c r="D2009" i="34"/>
  <c r="H7" i="14"/>
  <c r="I7" i="14"/>
  <c r="J7" i="14"/>
  <c r="K7" i="14"/>
  <c r="L7" i="14"/>
  <c r="D1183" i="34"/>
  <c r="G6" i="14"/>
  <c r="C7" i="39"/>
  <c r="C4" i="39"/>
  <c r="C15" i="39"/>
  <c r="B13" i="40"/>
  <c r="D303" i="34"/>
  <c r="D2294" i="34"/>
  <c r="D2399" i="34"/>
  <c r="D2396" i="34"/>
  <c r="D2392" i="34"/>
  <c r="D204" i="34"/>
  <c r="E15" i="13" s="1"/>
  <c r="D199" i="34"/>
  <c r="D15" i="13" s="1"/>
  <c r="D72" i="34"/>
  <c r="E12" i="13" s="1"/>
  <c r="D68" i="34"/>
  <c r="D12" i="13" s="1"/>
  <c r="D33" i="34"/>
  <c r="E11" i="13" s="1"/>
  <c r="D29" i="34"/>
  <c r="D11" i="13" s="1"/>
  <c r="D1080" i="34" l="1"/>
  <c r="D1097" i="34"/>
  <c r="D2400" i="34"/>
  <c r="D2402" i="34" s="1"/>
  <c r="AA17" i="21"/>
  <c r="I45" i="13"/>
  <c r="AA42" i="21"/>
  <c r="S42" i="21"/>
  <c r="U44" i="14"/>
  <c r="E44" i="14"/>
  <c r="O42" i="21"/>
  <c r="M42" i="21"/>
  <c r="P44" i="14"/>
  <c r="D2367" i="34"/>
  <c r="D2345" i="34"/>
  <c r="D2347" i="34" s="1"/>
  <c r="D2343" i="34"/>
  <c r="D2341" i="34"/>
  <c r="D2334" i="34"/>
  <c r="C44" i="14" s="1"/>
  <c r="D2328" i="34"/>
  <c r="O44" i="14" s="1"/>
  <c r="D2321" i="34"/>
  <c r="D2372" i="34"/>
  <c r="D2373" i="34" s="1"/>
  <c r="D2382" i="34"/>
  <c r="D2383" i="34" s="1"/>
  <c r="G45" i="13" s="1"/>
  <c r="D2350" i="34"/>
  <c r="I44" i="13"/>
  <c r="AA41" i="21"/>
  <c r="S41" i="21"/>
  <c r="Q41" i="21"/>
  <c r="O41" i="21"/>
  <c r="M41" i="21"/>
  <c r="C43" i="14"/>
  <c r="D2229" i="34"/>
  <c r="P43" i="14"/>
  <c r="O43" i="14"/>
  <c r="D2296" i="34"/>
  <c r="D2281" i="34"/>
  <c r="D2283" i="34" s="1"/>
  <c r="D2265" i="34"/>
  <c r="D2241" i="34"/>
  <c r="D2224" i="34"/>
  <c r="D2250" i="34" s="1"/>
  <c r="L43" i="14" s="1"/>
  <c r="Y41" i="21" s="1"/>
  <c r="I43" i="13"/>
  <c r="AA40" i="21"/>
  <c r="S40" i="21"/>
  <c r="Q40" i="21"/>
  <c r="O40" i="21"/>
  <c r="M40" i="21"/>
  <c r="C42" i="14"/>
  <c r="D2131" i="34"/>
  <c r="P42" i="14"/>
  <c r="D2146" i="34"/>
  <c r="D2147" i="34" s="1"/>
  <c r="D2189" i="34"/>
  <c r="D2201" i="34"/>
  <c r="D2175" i="34"/>
  <c r="D2176" i="34" s="1"/>
  <c r="U42" i="14" s="1"/>
  <c r="D2158" i="34"/>
  <c r="D2152" i="34"/>
  <c r="D2129" i="34"/>
  <c r="O42" i="14" s="1"/>
  <c r="D2195" i="34"/>
  <c r="D2168" i="34"/>
  <c r="D2169" i="34" s="1"/>
  <c r="D2164" i="34"/>
  <c r="D2165" i="34" s="1"/>
  <c r="D2156" i="34"/>
  <c r="D2208" i="34" s="1"/>
  <c r="D2150" i="34"/>
  <c r="D2141" i="34"/>
  <c r="D2142" i="34" s="1"/>
  <c r="E42" i="14" s="1"/>
  <c r="D2125" i="34"/>
  <c r="I42" i="13"/>
  <c r="AA39" i="21"/>
  <c r="S39" i="21"/>
  <c r="Q39" i="21"/>
  <c r="O39" i="21"/>
  <c r="M39" i="21"/>
  <c r="C41" i="14"/>
  <c r="D2085" i="34"/>
  <c r="D2086" i="34" s="1"/>
  <c r="D2112" i="34"/>
  <c r="D2076" i="34"/>
  <c r="D2077" i="34" s="1"/>
  <c r="D2075" i="34"/>
  <c r="D2059" i="34"/>
  <c r="P41" i="14" s="1"/>
  <c r="D2057" i="34"/>
  <c r="D2050" i="34"/>
  <c r="D2049" i="34"/>
  <c r="I41" i="13"/>
  <c r="AA38" i="21"/>
  <c r="S38" i="21"/>
  <c r="Q38" i="21"/>
  <c r="U40" i="14"/>
  <c r="O38" i="21"/>
  <c r="M38" i="21"/>
  <c r="C40" i="14"/>
  <c r="D2036" i="34"/>
  <c r="D2004" i="34"/>
  <c r="D1988" i="34"/>
  <c r="P40" i="14" s="1"/>
  <c r="D1986" i="34"/>
  <c r="D2005" i="34"/>
  <c r="D2006" i="34" s="1"/>
  <c r="D1979" i="34"/>
  <c r="D1978" i="34"/>
  <c r="D1982" i="34" s="1"/>
  <c r="D1997" i="34" s="1"/>
  <c r="D1999" i="34" s="1"/>
  <c r="E40" i="14" s="1"/>
  <c r="I40" i="13"/>
  <c r="AA37" i="21"/>
  <c r="S37" i="21"/>
  <c r="Q37" i="21"/>
  <c r="U39" i="14"/>
  <c r="E39" i="14"/>
  <c r="M39" i="14"/>
  <c r="O37" i="21"/>
  <c r="M37" i="21"/>
  <c r="P39" i="14"/>
  <c r="O39" i="14"/>
  <c r="D1957" i="34"/>
  <c r="D1956" i="34"/>
  <c r="D1955" i="34"/>
  <c r="D1950" i="34"/>
  <c r="D1921" i="34"/>
  <c r="D1930" i="34" s="1"/>
  <c r="D1966" i="34" s="1"/>
  <c r="D1968" i="34" s="1"/>
  <c r="G40" i="13" s="1"/>
  <c r="D1919" i="34"/>
  <c r="I39" i="13"/>
  <c r="AA36" i="21"/>
  <c r="S36" i="21"/>
  <c r="Q36" i="21"/>
  <c r="U38" i="14"/>
  <c r="E38" i="14"/>
  <c r="M38" i="14"/>
  <c r="O36" i="21"/>
  <c r="M36" i="21"/>
  <c r="P38" i="14"/>
  <c r="O38" i="14"/>
  <c r="D1897" i="34"/>
  <c r="D1892" i="34"/>
  <c r="D1863" i="34"/>
  <c r="D1872" i="34" s="1"/>
  <c r="D1908" i="34" s="1"/>
  <c r="D1899" i="34"/>
  <c r="D1898" i="34"/>
  <c r="D1861" i="34"/>
  <c r="I38" i="13"/>
  <c r="AA35" i="21"/>
  <c r="S35" i="21"/>
  <c r="Q35" i="21"/>
  <c r="O35" i="21"/>
  <c r="M35" i="21"/>
  <c r="C37" i="14"/>
  <c r="P37" i="14"/>
  <c r="D1832" i="34"/>
  <c r="D1839" i="34"/>
  <c r="D1838" i="34"/>
  <c r="D1810" i="34"/>
  <c r="D1795" i="34"/>
  <c r="D1804" i="34"/>
  <c r="D1780" i="34"/>
  <c r="D1801" i="34" s="1"/>
  <c r="D1776" i="34"/>
  <c r="I37" i="13"/>
  <c r="AA34" i="21"/>
  <c r="S34" i="21"/>
  <c r="Q34" i="21"/>
  <c r="O34" i="21"/>
  <c r="M34" i="21"/>
  <c r="D1710" i="34"/>
  <c r="E36" i="14" s="1"/>
  <c r="P36" i="14"/>
  <c r="D1764" i="34"/>
  <c r="D1745" i="34"/>
  <c r="D1755" i="34"/>
  <c r="D1722" i="34"/>
  <c r="D1703" i="34"/>
  <c r="D1716" i="34"/>
  <c r="D1692" i="34"/>
  <c r="D1696" i="34" s="1"/>
  <c r="O36" i="14" s="1"/>
  <c r="D1688" i="34"/>
  <c r="I36" i="13"/>
  <c r="AA33" i="21"/>
  <c r="S33" i="21"/>
  <c r="Q33" i="21"/>
  <c r="O33" i="21"/>
  <c r="M33" i="21"/>
  <c r="C35" i="14"/>
  <c r="P35" i="14"/>
  <c r="D1624" i="34"/>
  <c r="D1609" i="34"/>
  <c r="D1610" i="34" s="1"/>
  <c r="D1605" i="34"/>
  <c r="D1669" i="34"/>
  <c r="D1659" i="34"/>
  <c r="D1639" i="34"/>
  <c r="D1633" i="34"/>
  <c r="I35" i="13"/>
  <c r="AA32" i="21"/>
  <c r="S32" i="21"/>
  <c r="Q32" i="21"/>
  <c r="O32" i="21"/>
  <c r="M32" i="21"/>
  <c r="C34" i="14"/>
  <c r="P34" i="14"/>
  <c r="D1549" i="34"/>
  <c r="D1586" i="34"/>
  <c r="D1576" i="34"/>
  <c r="D1555" i="34"/>
  <c r="D1540" i="34"/>
  <c r="D1525" i="34"/>
  <c r="D1526" i="34" s="1"/>
  <c r="D1521" i="34"/>
  <c r="I34" i="13"/>
  <c r="AA31" i="21"/>
  <c r="S31" i="21"/>
  <c r="Q31" i="21"/>
  <c r="O31" i="21"/>
  <c r="M31" i="21"/>
  <c r="C33" i="14"/>
  <c r="D1457" i="34"/>
  <c r="P33" i="14"/>
  <c r="D1483" i="34"/>
  <c r="D1455" i="34"/>
  <c r="O33" i="14" s="1"/>
  <c r="D1382" i="34"/>
  <c r="O32" i="14" s="1"/>
  <c r="D1476" i="34"/>
  <c r="D1474" i="34"/>
  <c r="D1481" i="34"/>
  <c r="D1466" i="34"/>
  <c r="D1447" i="34"/>
  <c r="D1448" i="34" s="1"/>
  <c r="D1504" i="34" s="1"/>
  <c r="D1506" i="34" s="1"/>
  <c r="E34" i="13" s="1"/>
  <c r="I33" i="13"/>
  <c r="AA30" i="21"/>
  <c r="S30" i="21"/>
  <c r="Q30" i="21"/>
  <c r="O30" i="21"/>
  <c r="M30" i="21"/>
  <c r="C32" i="14"/>
  <c r="D1384" i="34"/>
  <c r="P32" i="14"/>
  <c r="D1409" i="34"/>
  <c r="D1393" i="34"/>
  <c r="D1401" i="34"/>
  <c r="D1317" i="34"/>
  <c r="D1324" i="34"/>
  <c r="D1407" i="34"/>
  <c r="D1374" i="34"/>
  <c r="D1430" i="34" s="1"/>
  <c r="I32" i="13"/>
  <c r="AA29" i="21"/>
  <c r="S29" i="21"/>
  <c r="Q29" i="21"/>
  <c r="O29" i="21"/>
  <c r="M29" i="21"/>
  <c r="C31" i="14"/>
  <c r="P31" i="14"/>
  <c r="D1296" i="34"/>
  <c r="D1251" i="34"/>
  <c r="D1320" i="34"/>
  <c r="D1313" i="34"/>
  <c r="D1291" i="34"/>
  <c r="D1363" i="34"/>
  <c r="I31" i="13"/>
  <c r="AA28" i="21"/>
  <c r="S28" i="21"/>
  <c r="Q28" i="21"/>
  <c r="O28" i="21"/>
  <c r="M28" i="21"/>
  <c r="C30" i="14"/>
  <c r="P30" i="14"/>
  <c r="D1281" i="34"/>
  <c r="D1224" i="34"/>
  <c r="D1273" i="34" s="1"/>
  <c r="D31" i="13" s="1"/>
  <c r="D1244" i="34"/>
  <c r="D1245" i="34" s="1"/>
  <c r="E30" i="14" s="1"/>
  <c r="D1230" i="34"/>
  <c r="D1227" i="34"/>
  <c r="D1248" i="34" s="1"/>
  <c r="D1311" i="34" s="1"/>
  <c r="D1293" i="34" s="1"/>
  <c r="I30" i="13"/>
  <c r="AA27" i="21"/>
  <c r="S27" i="21"/>
  <c r="Q27" i="21"/>
  <c r="O27" i="21"/>
  <c r="M27" i="21"/>
  <c r="C29" i="14"/>
  <c r="P29" i="14"/>
  <c r="D1162" i="34"/>
  <c r="D1214" i="34"/>
  <c r="D1211" i="34"/>
  <c r="D1187" i="34"/>
  <c r="D1155" i="34"/>
  <c r="D1158" i="34"/>
  <c r="D1151" i="34"/>
  <c r="D1043" i="34"/>
  <c r="D1131" i="34"/>
  <c r="I29" i="13"/>
  <c r="D2212" i="34" l="1"/>
  <c r="M44" i="14"/>
  <c r="L44" i="14"/>
  <c r="N44" i="14" s="1"/>
  <c r="D2197" i="34"/>
  <c r="E43" i="13" s="1"/>
  <c r="D2191" i="34"/>
  <c r="D43" i="13" s="1"/>
  <c r="D1952" i="34"/>
  <c r="D40" i="13" s="1"/>
  <c r="D1894" i="34"/>
  <c r="D39" i="13" s="1"/>
  <c r="D1577" i="34"/>
  <c r="D1579" i="34" s="1"/>
  <c r="D35" i="13" s="1"/>
  <c r="D1432" i="34"/>
  <c r="E33" i="13" s="1"/>
  <c r="D2357" i="34"/>
  <c r="Q42" i="21" s="1"/>
  <c r="D2351" i="34"/>
  <c r="D2322" i="34"/>
  <c r="D2324" i="34" s="1"/>
  <c r="D2368" i="34" s="1"/>
  <c r="D2306" i="34"/>
  <c r="D2307" i="34"/>
  <c r="D2308" i="34"/>
  <c r="D2242" i="34"/>
  <c r="D2243" i="34" s="1"/>
  <c r="D2244" i="34" s="1"/>
  <c r="E43" i="14" s="1"/>
  <c r="D2260" i="34"/>
  <c r="I43" i="14" s="1"/>
  <c r="D2256" i="34"/>
  <c r="K43" i="14" s="1"/>
  <c r="X41" i="21" s="1"/>
  <c r="D2247" i="34"/>
  <c r="D2254" i="34"/>
  <c r="D2258" i="34"/>
  <c r="D2266" i="34"/>
  <c r="D2267" i="34" s="1"/>
  <c r="U43" i="14" s="1"/>
  <c r="D2297" i="34"/>
  <c r="D2225" i="34"/>
  <c r="D2284" i="34" s="1"/>
  <c r="D2207" i="34"/>
  <c r="D2202" i="34"/>
  <c r="D2170" i="34"/>
  <c r="K42" i="14" s="1"/>
  <c r="X40" i="21" s="1"/>
  <c r="D2148" i="34"/>
  <c r="H42" i="14" s="1"/>
  <c r="D2153" i="34"/>
  <c r="D2154" i="34" s="1"/>
  <c r="D2159" i="34"/>
  <c r="D2160" i="34" s="1"/>
  <c r="D2210" i="34"/>
  <c r="D2058" i="34"/>
  <c r="O41" i="14" s="1"/>
  <c r="D2052" i="34"/>
  <c r="D2100" i="34" s="1"/>
  <c r="D2053" i="34"/>
  <c r="D2073" i="34" s="1"/>
  <c r="D2030" i="34"/>
  <c r="D2037" i="34"/>
  <c r="D2039" i="34" s="1"/>
  <c r="G41" i="13" s="1"/>
  <c r="D2007" i="34"/>
  <c r="D2002" i="34"/>
  <c r="D1958" i="34"/>
  <c r="D1959" i="34" s="1"/>
  <c r="D1960" i="34" s="1"/>
  <c r="D1961" i="34" s="1"/>
  <c r="C38" i="14"/>
  <c r="C39" i="14"/>
  <c r="D1981" i="34"/>
  <c r="D2024" i="34" s="1"/>
  <c r="D1987" i="34"/>
  <c r="O40" i="14" s="1"/>
  <c r="D1900" i="34"/>
  <c r="D1901" i="34" s="1"/>
  <c r="D1910" i="34"/>
  <c r="G39" i="13" s="1"/>
  <c r="D1842" i="34"/>
  <c r="D1805" i="34"/>
  <c r="D1781" i="34"/>
  <c r="D1796" i="34" s="1"/>
  <c r="D1798" i="34" s="1"/>
  <c r="E37" i="14" s="1"/>
  <c r="D1784" i="34"/>
  <c r="O37" i="14" s="1"/>
  <c r="D1693" i="34"/>
  <c r="D1765" i="34" s="1"/>
  <c r="D1670" i="34"/>
  <c r="D1672" i="34" s="1"/>
  <c r="E36" i="13" s="1"/>
  <c r="D1677" i="34"/>
  <c r="D1713" i="34"/>
  <c r="D1717" i="34" s="1"/>
  <c r="D1660" i="34"/>
  <c r="D1662" i="34" s="1"/>
  <c r="D36" i="13" s="1"/>
  <c r="D1640" i="34"/>
  <c r="D1625" i="34"/>
  <c r="D1627" i="34" s="1"/>
  <c r="E35" i="14" s="1"/>
  <c r="D1630" i="34"/>
  <c r="D1634" i="34" s="1"/>
  <c r="D1613" i="34"/>
  <c r="O35" i="14" s="1"/>
  <c r="D1546" i="34"/>
  <c r="D1550" i="34" s="1"/>
  <c r="D1529" i="34"/>
  <c r="O34" i="14" s="1"/>
  <c r="D1556" i="34"/>
  <c r="D1557" i="34" s="1"/>
  <c r="U34" i="14" s="1"/>
  <c r="D1594" i="34"/>
  <c r="D1596" i="34" s="1"/>
  <c r="G35" i="13" s="1"/>
  <c r="D1541" i="34"/>
  <c r="D1587" i="34"/>
  <c r="D1498" i="34"/>
  <c r="D1467" i="34"/>
  <c r="D1469" i="34" s="1"/>
  <c r="E33" i="14" s="1"/>
  <c r="D1472" i="34"/>
  <c r="D1510" i="34" s="1"/>
  <c r="D1484" i="34"/>
  <c r="D1485" i="34" s="1"/>
  <c r="U33" i="14" s="1"/>
  <c r="D1353" i="34"/>
  <c r="D1410" i="34"/>
  <c r="D1375" i="34"/>
  <c r="D1394" i="34" s="1"/>
  <c r="D1396" i="34" s="1"/>
  <c r="E32" i="14" s="1"/>
  <c r="D1399" i="34"/>
  <c r="D1402" i="34" s="1"/>
  <c r="D1424" i="34"/>
  <c r="D1347" i="34"/>
  <c r="D1348" i="34"/>
  <c r="D1330" i="34"/>
  <c r="D1331" i="34" s="1"/>
  <c r="D1308" i="34"/>
  <c r="D1252" i="34"/>
  <c r="D1321" i="34"/>
  <c r="D1307" i="34"/>
  <c r="D1314" i="34"/>
  <c r="D1282" i="34"/>
  <c r="G31" i="13" s="1"/>
  <c r="D1225" i="34"/>
  <c r="D1277" i="34" s="1"/>
  <c r="D1354" i="34" s="1"/>
  <c r="D1259" i="34"/>
  <c r="D1260" i="34" s="1"/>
  <c r="D1233" i="34"/>
  <c r="AA26" i="21"/>
  <c r="S26" i="21"/>
  <c r="Q26" i="21"/>
  <c r="O26" i="21"/>
  <c r="M26" i="21"/>
  <c r="C28" i="14"/>
  <c r="P28" i="14"/>
  <c r="D1085" i="34"/>
  <c r="D1072" i="34"/>
  <c r="D1049" i="34"/>
  <c r="D1046" i="34"/>
  <c r="D1052" i="34" s="1"/>
  <c r="D1104" i="34"/>
  <c r="D1106" i="34" s="1"/>
  <c r="D29" i="13" s="1"/>
  <c r="P27" i="14"/>
  <c r="O27" i="14"/>
  <c r="I27" i="13"/>
  <c r="D926" i="34"/>
  <c r="U26" i="14" s="1"/>
  <c r="D915" i="34"/>
  <c r="E26" i="14" s="1"/>
  <c r="D908" i="34"/>
  <c r="C26" i="14" s="1"/>
  <c r="D901" i="34"/>
  <c r="O26" i="14" s="1"/>
  <c r="D949" i="34"/>
  <c r="D941" i="34"/>
  <c r="AA24" i="21"/>
  <c r="S24" i="21"/>
  <c r="M26" i="14"/>
  <c r="O24" i="21"/>
  <c r="M24" i="21"/>
  <c r="P26" i="14"/>
  <c r="U40" i="21" l="1"/>
  <c r="V41" i="21"/>
  <c r="Z41" i="21" s="1"/>
  <c r="D2275" i="34" s="1"/>
  <c r="N43" i="14"/>
  <c r="Y42" i="21"/>
  <c r="Z42" i="21" s="1"/>
  <c r="D2161" i="34"/>
  <c r="I42" i="14" s="1"/>
  <c r="V40" i="21" s="1"/>
  <c r="M40" i="14"/>
  <c r="L40" i="14"/>
  <c r="N40" i="14" s="1"/>
  <c r="M37" i="14"/>
  <c r="I37" i="14"/>
  <c r="N37" i="14" s="1"/>
  <c r="M36" i="14"/>
  <c r="I36" i="14"/>
  <c r="N36" i="14" s="1"/>
  <c r="M34" i="14"/>
  <c r="I34" i="14"/>
  <c r="M30" i="14"/>
  <c r="I30" i="14"/>
  <c r="N30" i="14" s="1"/>
  <c r="M35" i="14"/>
  <c r="I35" i="14"/>
  <c r="N35" i="14" s="1"/>
  <c r="D45" i="13"/>
  <c r="D2299" i="34"/>
  <c r="E44" i="13" s="1"/>
  <c r="D2286" i="34"/>
  <c r="D44" i="13" s="1"/>
  <c r="D2102" i="34"/>
  <c r="D42" i="13" s="1"/>
  <c r="D2032" i="34"/>
  <c r="E41" i="13" s="1"/>
  <c r="D2026" i="34"/>
  <c r="D41" i="13" s="1"/>
  <c r="D1963" i="34"/>
  <c r="E40" i="13" s="1"/>
  <c r="D1767" i="34"/>
  <c r="G37" i="13" s="1"/>
  <c r="D1679" i="34"/>
  <c r="G36" i="13" s="1"/>
  <c r="D1589" i="34"/>
  <c r="E35" i="13" s="1"/>
  <c r="D1512" i="34"/>
  <c r="G34" i="13" s="1"/>
  <c r="D1500" i="34"/>
  <c r="D34" i="13" s="1"/>
  <c r="D1426" i="34"/>
  <c r="D33" i="13" s="1"/>
  <c r="D951" i="34"/>
  <c r="E27" i="13" s="1"/>
  <c r="D943" i="34"/>
  <c r="D27" i="13" s="1"/>
  <c r="D2374" i="34"/>
  <c r="D2375" i="34" s="1"/>
  <c r="E45" i="13" s="1"/>
  <c r="D2309" i="34"/>
  <c r="D2261" i="34"/>
  <c r="M43" i="14" s="1"/>
  <c r="D2213" i="34"/>
  <c r="D2171" i="34"/>
  <c r="M42" i="14" s="1"/>
  <c r="D2087" i="34"/>
  <c r="U41" i="14" s="1"/>
  <c r="D2068" i="34"/>
  <c r="D2070" i="34" s="1"/>
  <c r="E41" i="14" s="1"/>
  <c r="D2078" i="34"/>
  <c r="M41" i="14" s="1"/>
  <c r="D2106" i="34"/>
  <c r="D2113" i="34"/>
  <c r="D1902" i="34"/>
  <c r="D1903" i="34" s="1"/>
  <c r="D1850" i="34"/>
  <c r="D1811" i="34"/>
  <c r="D1812" i="34" s="1"/>
  <c r="U37" i="14" s="1"/>
  <c r="D1843" i="34"/>
  <c r="D1833" i="34"/>
  <c r="D1723" i="34"/>
  <c r="D1724" i="34" s="1"/>
  <c r="U36" i="14" s="1"/>
  <c r="C36" i="14"/>
  <c r="D1756" i="34"/>
  <c r="D1746" i="34"/>
  <c r="D1641" i="34"/>
  <c r="U35" i="14" s="1"/>
  <c r="D1543" i="34"/>
  <c r="E34" i="14" s="1"/>
  <c r="D1475" i="34"/>
  <c r="D1436" i="34"/>
  <c r="D1438" i="34" s="1"/>
  <c r="G33" i="13" s="1"/>
  <c r="D1411" i="34"/>
  <c r="U32" i="14" s="1"/>
  <c r="D1361" i="34"/>
  <c r="D1318" i="34"/>
  <c r="H31" i="14" s="1"/>
  <c r="D1325" i="34"/>
  <c r="J31" i="14" s="1"/>
  <c r="W29" i="21" s="1"/>
  <c r="D1364" i="34"/>
  <c r="U30" i="14"/>
  <c r="D1332" i="34"/>
  <c r="D1333" i="34" s="1"/>
  <c r="U31" i="14" s="1"/>
  <c r="D1309" i="34"/>
  <c r="E31" i="14" s="1"/>
  <c r="O30" i="14"/>
  <c r="D1297" i="34"/>
  <c r="O31" i="14" s="1"/>
  <c r="E31" i="13"/>
  <c r="D1195" i="34"/>
  <c r="O28" i="14"/>
  <c r="D1134" i="34"/>
  <c r="O29" i="14" s="1"/>
  <c r="D1075" i="34"/>
  <c r="D1073" i="34"/>
  <c r="D1117" i="34" s="1"/>
  <c r="D1044" i="34"/>
  <c r="D1111" i="34" s="1"/>
  <c r="D1113" i="34" s="1"/>
  <c r="E29" i="13" s="1"/>
  <c r="D1069" i="34"/>
  <c r="D930" i="34"/>
  <c r="Q24" i="21" s="1"/>
  <c r="D955" i="34"/>
  <c r="G27" i="13" s="1"/>
  <c r="I28" i="13"/>
  <c r="AA25" i="21"/>
  <c r="Q25" i="21"/>
  <c r="M27" i="14"/>
  <c r="O25" i="21"/>
  <c r="M25" i="21"/>
  <c r="D1029" i="34"/>
  <c r="D1031" i="34" s="1"/>
  <c r="E28" i="13" s="1"/>
  <c r="D1019" i="34"/>
  <c r="D1021" i="34" s="1"/>
  <c r="D28" i="13" s="1"/>
  <c r="D996" i="34"/>
  <c r="D997" i="34" s="1"/>
  <c r="D1001" i="34"/>
  <c r="D999" i="34"/>
  <c r="D976" i="34"/>
  <c r="D994" i="34"/>
  <c r="D991" i="34"/>
  <c r="D992" i="34" s="1"/>
  <c r="D989" i="34"/>
  <c r="D984" i="34"/>
  <c r="D973" i="34"/>
  <c r="D965" i="34"/>
  <c r="I26" i="13"/>
  <c r="AA23" i="21"/>
  <c r="S23" i="21"/>
  <c r="Q23" i="21"/>
  <c r="M25" i="14"/>
  <c r="O23" i="21"/>
  <c r="P25" i="14"/>
  <c r="D844" i="34"/>
  <c r="D891" i="34" s="1"/>
  <c r="G26" i="13" s="1"/>
  <c r="D885" i="34"/>
  <c r="D877" i="34"/>
  <c r="D861" i="34"/>
  <c r="D858" i="34"/>
  <c r="D859" i="34" s="1"/>
  <c r="D856" i="34"/>
  <c r="D851" i="34"/>
  <c r="E25" i="14" s="1"/>
  <c r="D845" i="34"/>
  <c r="M23" i="21" s="1"/>
  <c r="D837" i="34"/>
  <c r="O25" i="14" s="1"/>
  <c r="I25" i="13"/>
  <c r="AA22" i="21"/>
  <c r="S22" i="21"/>
  <c r="Q22" i="21"/>
  <c r="M24" i="14"/>
  <c r="O22" i="21"/>
  <c r="P24" i="14"/>
  <c r="D797" i="34"/>
  <c r="D787" i="34"/>
  <c r="E24" i="14" s="1"/>
  <c r="D821" i="34"/>
  <c r="D813" i="34"/>
  <c r="D794" i="34"/>
  <c r="D795" i="34" s="1"/>
  <c r="D792" i="34"/>
  <c r="D781" i="34"/>
  <c r="M22" i="21" s="1"/>
  <c r="D780" i="34"/>
  <c r="D827" i="34" s="1"/>
  <c r="G25" i="13" s="1"/>
  <c r="D773" i="34"/>
  <c r="O24" i="14" s="1"/>
  <c r="I24" i="13"/>
  <c r="AA21" i="21"/>
  <c r="Q21" i="21"/>
  <c r="M23" i="14"/>
  <c r="M21" i="21"/>
  <c r="P23" i="14"/>
  <c r="O23" i="14"/>
  <c r="D757" i="34"/>
  <c r="D747" i="34"/>
  <c r="D725" i="34"/>
  <c r="D726" i="34" s="1"/>
  <c r="D727" i="34" s="1"/>
  <c r="D708" i="34"/>
  <c r="D274" i="34"/>
  <c r="D729" i="34"/>
  <c r="D723" i="34"/>
  <c r="D724" i="34" s="1"/>
  <c r="D721" i="34"/>
  <c r="D716" i="34"/>
  <c r="E23" i="14" s="1"/>
  <c r="D705" i="34"/>
  <c r="D697" i="34"/>
  <c r="D736" i="34" s="1"/>
  <c r="S21" i="21" s="1"/>
  <c r="I23" i="13"/>
  <c r="AA20" i="21"/>
  <c r="S20" i="21"/>
  <c r="D646" i="34"/>
  <c r="O21" i="21"/>
  <c r="M20" i="21"/>
  <c r="P22" i="14"/>
  <c r="D681" i="34"/>
  <c r="D672" i="34"/>
  <c r="D655" i="34"/>
  <c r="D652" i="34"/>
  <c r="D653" i="34" s="1"/>
  <c r="D650" i="34"/>
  <c r="D645" i="34"/>
  <c r="E22" i="14" s="1"/>
  <c r="D647" i="34"/>
  <c r="D638" i="34"/>
  <c r="D687" i="34" s="1"/>
  <c r="G23" i="13" s="1"/>
  <c r="D631" i="34"/>
  <c r="D660" i="34" s="1"/>
  <c r="Q20" i="21" s="1"/>
  <c r="I22" i="13"/>
  <c r="AA19" i="21"/>
  <c r="S19" i="21"/>
  <c r="Q19" i="21"/>
  <c r="M21" i="14"/>
  <c r="O19" i="21"/>
  <c r="P21" i="14"/>
  <c r="D615" i="34"/>
  <c r="D606" i="34"/>
  <c r="D589" i="34"/>
  <c r="D586" i="34"/>
  <c r="D587" i="34" s="1"/>
  <c r="D584" i="34"/>
  <c r="D579" i="34"/>
  <c r="E21" i="14" s="1"/>
  <c r="D573" i="34"/>
  <c r="M19" i="21" s="1"/>
  <c r="D572" i="34"/>
  <c r="D621" i="34" s="1"/>
  <c r="G22" i="13" s="1"/>
  <c r="D565" i="34"/>
  <c r="O21" i="14" s="1"/>
  <c r="I21" i="13"/>
  <c r="D549" i="34"/>
  <c r="D540" i="34"/>
  <c r="AA18" i="21"/>
  <c r="S18" i="21"/>
  <c r="Q18" i="21"/>
  <c r="D523" i="34"/>
  <c r="M20" i="14"/>
  <c r="O18" i="21"/>
  <c r="P20" i="14"/>
  <c r="D520" i="34"/>
  <c r="D521" i="34" s="1"/>
  <c r="D518" i="34"/>
  <c r="D513" i="34"/>
  <c r="E20" i="14" s="1"/>
  <c r="D507" i="34"/>
  <c r="M18" i="21" s="1"/>
  <c r="D506" i="34"/>
  <c r="D555" i="34" s="1"/>
  <c r="G21" i="13" s="1"/>
  <c r="D499" i="34"/>
  <c r="O20" i="14" s="1"/>
  <c r="I20" i="13"/>
  <c r="S17" i="21"/>
  <c r="O17" i="21"/>
  <c r="M17" i="21"/>
  <c r="P19" i="14"/>
  <c r="Z40" i="21" l="1"/>
  <c r="D2184" i="34" s="1"/>
  <c r="V32" i="21"/>
  <c r="Z32" i="21" s="1"/>
  <c r="D1565" i="34" s="1"/>
  <c r="N34" i="14"/>
  <c r="U29" i="21"/>
  <c r="Z29" i="21" s="1"/>
  <c r="D1342" i="34" s="1"/>
  <c r="N31" i="14"/>
  <c r="N42" i="14"/>
  <c r="V34" i="21"/>
  <c r="Z34" i="21" s="1"/>
  <c r="D1732" i="34" s="1"/>
  <c r="V33" i="21"/>
  <c r="Z33" i="21" s="1"/>
  <c r="D1649" i="34" s="1"/>
  <c r="V35" i="21"/>
  <c r="Z35" i="21" s="1"/>
  <c r="D1820" i="34" s="1"/>
  <c r="V28" i="21"/>
  <c r="Z28" i="21" s="1"/>
  <c r="D1268" i="34" s="1"/>
  <c r="Y38" i="21"/>
  <c r="Z38" i="21" s="1"/>
  <c r="D2019" i="34" s="1"/>
  <c r="L41" i="14"/>
  <c r="N41" i="14" s="1"/>
  <c r="M32" i="14"/>
  <c r="I32" i="14"/>
  <c r="N32" i="14" s="1"/>
  <c r="M33" i="14"/>
  <c r="I33" i="14"/>
  <c r="N33" i="14" s="1"/>
  <c r="D2311" i="34"/>
  <c r="G44" i="13" s="1"/>
  <c r="D2215" i="34"/>
  <c r="G43" i="13" s="1"/>
  <c r="D2115" i="34"/>
  <c r="G42" i="13" s="1"/>
  <c r="D2108" i="34"/>
  <c r="E42" i="13" s="1"/>
  <c r="D1905" i="34"/>
  <c r="E39" i="13" s="1"/>
  <c r="D1852" i="34"/>
  <c r="G38" i="13" s="1"/>
  <c r="D1845" i="34"/>
  <c r="E38" i="13" s="1"/>
  <c r="D1835" i="34"/>
  <c r="D38" i="13" s="1"/>
  <c r="D1758" i="34"/>
  <c r="E37" i="13" s="1"/>
  <c r="D1748" i="34"/>
  <c r="D37" i="13" s="1"/>
  <c r="D1118" i="34"/>
  <c r="G29" i="13" s="1"/>
  <c r="D887" i="34"/>
  <c r="E26" i="13" s="1"/>
  <c r="D879" i="34"/>
  <c r="D26" i="13" s="1"/>
  <c r="D823" i="34"/>
  <c r="E25" i="13" s="1"/>
  <c r="D815" i="34"/>
  <c r="D25" i="13" s="1"/>
  <c r="D759" i="34"/>
  <c r="E24" i="13" s="1"/>
  <c r="D749" i="34"/>
  <c r="D24" i="13" s="1"/>
  <c r="D683" i="34"/>
  <c r="E23" i="13" s="1"/>
  <c r="D674" i="34"/>
  <c r="D23" i="13" s="1"/>
  <c r="D617" i="34"/>
  <c r="E22" i="13" s="1"/>
  <c r="D608" i="34"/>
  <c r="D22" i="13" s="1"/>
  <c r="D551" i="34"/>
  <c r="E21" i="13" s="1"/>
  <c r="D542" i="34"/>
  <c r="D21" i="13" s="1"/>
  <c r="D1326" i="34"/>
  <c r="M31" i="14" s="1"/>
  <c r="D1149" i="34"/>
  <c r="D1152" i="34" s="1"/>
  <c r="D1184" i="34" s="1"/>
  <c r="D1126" i="34"/>
  <c r="D1127" i="34" s="1"/>
  <c r="D1204" i="34"/>
  <c r="D1076" i="34"/>
  <c r="D1099" i="34" s="1"/>
  <c r="D1087" i="34"/>
  <c r="D1064" i="34"/>
  <c r="D1066" i="34" s="1"/>
  <c r="D1146" i="34" s="1"/>
  <c r="E27" i="14"/>
  <c r="E25" i="21" s="1"/>
  <c r="D1002" i="34"/>
  <c r="U27" i="14" s="1"/>
  <c r="D1008" i="34"/>
  <c r="D977" i="34"/>
  <c r="C25" i="14"/>
  <c r="C24" i="14"/>
  <c r="D862" i="34"/>
  <c r="U25" i="14" s="1"/>
  <c r="D798" i="34"/>
  <c r="U24" i="14" s="1"/>
  <c r="D730" i="34"/>
  <c r="U23" i="14" s="1"/>
  <c r="D709" i="34"/>
  <c r="D763" i="34" s="1"/>
  <c r="D656" i="34"/>
  <c r="U22" i="14" s="1"/>
  <c r="C21" i="14"/>
  <c r="D590" i="34"/>
  <c r="U21" i="14" s="1"/>
  <c r="O22" i="14"/>
  <c r="C22" i="14"/>
  <c r="D524" i="34"/>
  <c r="U20" i="14" s="1"/>
  <c r="C20" i="14"/>
  <c r="D483" i="34"/>
  <c r="D475" i="34"/>
  <c r="D458" i="34"/>
  <c r="D459" i="34" s="1"/>
  <c r="D456" i="34"/>
  <c r="D451" i="34"/>
  <c r="E19" i="14" s="1"/>
  <c r="E17" i="21" s="1"/>
  <c r="D444" i="34"/>
  <c r="D437" i="34"/>
  <c r="I19" i="13"/>
  <c r="AA16" i="21"/>
  <c r="S16" i="21"/>
  <c r="Q16" i="21"/>
  <c r="M18" i="14"/>
  <c r="O16" i="21"/>
  <c r="P18" i="14"/>
  <c r="D421" i="34"/>
  <c r="D413" i="34"/>
  <c r="D396" i="34"/>
  <c r="D397" i="34" s="1"/>
  <c r="D394" i="34"/>
  <c r="D389" i="34"/>
  <c r="E18" i="14" s="1"/>
  <c r="E16" i="21" s="1"/>
  <c r="D383" i="34"/>
  <c r="M16" i="21" s="1"/>
  <c r="D382" i="34"/>
  <c r="D427" i="34" s="1"/>
  <c r="G19" i="13" s="1"/>
  <c r="D375" i="34"/>
  <c r="O18" i="14" s="1"/>
  <c r="I18" i="13"/>
  <c r="D359" i="34"/>
  <c r="D361" i="34" s="1"/>
  <c r="E18" i="13" s="1"/>
  <c r="D351" i="34"/>
  <c r="D353" i="34" s="1"/>
  <c r="D18" i="13" s="1"/>
  <c r="AA15" i="21"/>
  <c r="S15" i="21"/>
  <c r="Q15" i="21"/>
  <c r="M17" i="14"/>
  <c r="O15" i="21"/>
  <c r="D327" i="34"/>
  <c r="E17" i="14" s="1"/>
  <c r="E15" i="21" s="1"/>
  <c r="D321" i="34"/>
  <c r="M15" i="21" s="1"/>
  <c r="D335" i="34"/>
  <c r="C17" i="14"/>
  <c r="P17" i="14"/>
  <c r="D313" i="34"/>
  <c r="O17" i="14" s="1"/>
  <c r="I17" i="13"/>
  <c r="G17" i="13"/>
  <c r="D297" i="34"/>
  <c r="D299" i="34" s="1"/>
  <c r="E17" i="13" s="1"/>
  <c r="D289" i="34"/>
  <c r="D291" i="34" s="1"/>
  <c r="D17" i="13" s="1"/>
  <c r="AA14" i="21"/>
  <c r="S14" i="21"/>
  <c r="Q14" i="21"/>
  <c r="U16" i="14"/>
  <c r="E16" i="14"/>
  <c r="E14" i="21" s="1"/>
  <c r="M16" i="14"/>
  <c r="O14" i="21"/>
  <c r="M14" i="21"/>
  <c r="C16" i="14"/>
  <c r="C14" i="21" s="1"/>
  <c r="P16" i="14"/>
  <c r="O16" i="14"/>
  <c r="I16" i="13"/>
  <c r="G16" i="13"/>
  <c r="AA13" i="21"/>
  <c r="S13" i="21"/>
  <c r="Q13" i="21"/>
  <c r="E15" i="14"/>
  <c r="E13" i="21" s="1"/>
  <c r="M15" i="14"/>
  <c r="O13" i="21"/>
  <c r="M13" i="21"/>
  <c r="C15" i="14"/>
  <c r="P15" i="14"/>
  <c r="O15" i="14"/>
  <c r="D248" i="34"/>
  <c r="D250" i="34" s="1"/>
  <c r="E16" i="13" s="1"/>
  <c r="D241" i="34"/>
  <c r="D226" i="34"/>
  <c r="U15" i="14" s="1"/>
  <c r="I15" i="13"/>
  <c r="G15" i="13"/>
  <c r="AA12" i="21"/>
  <c r="S12" i="21"/>
  <c r="Q12" i="21"/>
  <c r="E14" i="14"/>
  <c r="E12" i="21" s="1"/>
  <c r="D185" i="34"/>
  <c r="U14" i="14" s="1"/>
  <c r="M14" i="14"/>
  <c r="O12" i="21"/>
  <c r="M12" i="21"/>
  <c r="C14" i="14"/>
  <c r="P14" i="14"/>
  <c r="O14" i="14"/>
  <c r="I14" i="13"/>
  <c r="G14" i="13"/>
  <c r="AA11" i="21"/>
  <c r="S11" i="21"/>
  <c r="Q11" i="21"/>
  <c r="E13" i="14"/>
  <c r="E11" i="21" s="1"/>
  <c r="M13" i="14"/>
  <c r="O11" i="21"/>
  <c r="M11" i="21"/>
  <c r="C13" i="14"/>
  <c r="C11" i="21" s="1"/>
  <c r="P13" i="14"/>
  <c r="O13" i="14"/>
  <c r="D161" i="34"/>
  <c r="D163" i="34" s="1"/>
  <c r="E14" i="13" s="1"/>
  <c r="D154" i="34"/>
  <c r="D156" i="34" s="1"/>
  <c r="D14" i="13" s="1"/>
  <c r="D140" i="34"/>
  <c r="U13" i="14" s="1"/>
  <c r="I13" i="13"/>
  <c r="G13" i="13"/>
  <c r="D116" i="34"/>
  <c r="D118" i="34" s="1"/>
  <c r="E13" i="13" s="1"/>
  <c r="D109" i="34"/>
  <c r="D111" i="34" s="1"/>
  <c r="D13" i="13" s="1"/>
  <c r="AA10" i="21"/>
  <c r="S10" i="21"/>
  <c r="Q10" i="21"/>
  <c r="D95" i="34"/>
  <c r="U12" i="14" s="1"/>
  <c r="E12" i="14"/>
  <c r="E10" i="21" s="1"/>
  <c r="M12" i="14"/>
  <c r="O10" i="21"/>
  <c r="M10" i="21"/>
  <c r="C12" i="14"/>
  <c r="C10" i="21" s="1"/>
  <c r="P12" i="14"/>
  <c r="O12" i="14"/>
  <c r="I12" i="13"/>
  <c r="G12" i="13"/>
  <c r="AA8" i="21"/>
  <c r="AA9" i="21"/>
  <c r="S9" i="21"/>
  <c r="Q9" i="21"/>
  <c r="O9" i="21"/>
  <c r="M9" i="21"/>
  <c r="P11" i="14"/>
  <c r="O11" i="14"/>
  <c r="M11" i="14"/>
  <c r="C11" i="14"/>
  <c r="C9" i="21" s="1"/>
  <c r="U11" i="14"/>
  <c r="E11" i="14"/>
  <c r="E9" i="21" s="1"/>
  <c r="U10" i="14"/>
  <c r="E18" i="21"/>
  <c r="E19" i="21"/>
  <c r="E20" i="21"/>
  <c r="E21" i="21"/>
  <c r="E22" i="21"/>
  <c r="E23" i="21"/>
  <c r="E24" i="21"/>
  <c r="E36" i="21"/>
  <c r="E37" i="21"/>
  <c r="E10" i="14"/>
  <c r="E8" i="21" s="1"/>
  <c r="I11" i="13"/>
  <c r="G11" i="13"/>
  <c r="S8" i="21"/>
  <c r="Q8" i="21"/>
  <c r="O8" i="21"/>
  <c r="P10" i="14"/>
  <c r="O10" i="14"/>
  <c r="M10" i="14"/>
  <c r="C10" i="14"/>
  <c r="M8" i="21"/>
  <c r="C26" i="21"/>
  <c r="C27" i="21"/>
  <c r="C28" i="21"/>
  <c r="C29" i="21"/>
  <c r="C30" i="21"/>
  <c r="C31" i="21"/>
  <c r="C33" i="21"/>
  <c r="C38" i="21"/>
  <c r="C39" i="21"/>
  <c r="C40" i="21"/>
  <c r="C41" i="21"/>
  <c r="E42" i="21"/>
  <c r="E40" i="21"/>
  <c r="V31" i="21" l="1"/>
  <c r="Z31" i="21" s="1"/>
  <c r="D1493" i="34" s="1"/>
  <c r="Y39" i="21"/>
  <c r="Z39" i="21" s="1"/>
  <c r="D2095" i="34" s="1"/>
  <c r="V30" i="21"/>
  <c r="Z30" i="21" s="1"/>
  <c r="D1419" i="34" s="1"/>
  <c r="M28" i="14"/>
  <c r="I28" i="14"/>
  <c r="N28" i="14" s="1"/>
  <c r="C13" i="21"/>
  <c r="C12" i="21"/>
  <c r="D485" i="34"/>
  <c r="E20" i="13" s="1"/>
  <c r="D477" i="34"/>
  <c r="D20" i="13" s="1"/>
  <c r="D423" i="34"/>
  <c r="E19" i="13" s="1"/>
  <c r="D415" i="34"/>
  <c r="D19" i="13" s="1"/>
  <c r="D243" i="34"/>
  <c r="D16" i="13" s="1"/>
  <c r="K7" i="2"/>
  <c r="D1159" i="34"/>
  <c r="D1215" i="34" s="1"/>
  <c r="D1212" i="34"/>
  <c r="D1156" i="34"/>
  <c r="H29" i="14" s="1"/>
  <c r="D1145" i="34"/>
  <c r="D1147" i="34" s="1"/>
  <c r="E29" i="14" s="1"/>
  <c r="D1194" i="34"/>
  <c r="D1196" i="34" s="1"/>
  <c r="D1198" i="34" s="1"/>
  <c r="D30" i="13" s="1"/>
  <c r="D1088" i="34"/>
  <c r="U28" i="14" s="1"/>
  <c r="D1170" i="34"/>
  <c r="E28" i="14"/>
  <c r="D1128" i="34"/>
  <c r="C27" i="14"/>
  <c r="D1035" i="34"/>
  <c r="S25" i="21"/>
  <c r="G24" i="13"/>
  <c r="C23" i="14"/>
  <c r="D365" i="34"/>
  <c r="G18" i="13" s="1"/>
  <c r="C18" i="14"/>
  <c r="D489" i="34"/>
  <c r="G20" i="13" s="1"/>
  <c r="C19" i="14"/>
  <c r="D464" i="34"/>
  <c r="Q17" i="21" s="1"/>
  <c r="O19" i="14"/>
  <c r="D460" i="34"/>
  <c r="U19" i="14" s="1"/>
  <c r="D398" i="34"/>
  <c r="U18" i="14" s="1"/>
  <c r="D336" i="34"/>
  <c r="U17" i="14" s="1"/>
  <c r="V38" i="14"/>
  <c r="V39" i="14"/>
  <c r="V40" i="14"/>
  <c r="V42" i="14"/>
  <c r="U27" i="21" l="1"/>
  <c r="L7" i="2"/>
  <c r="E5" i="46"/>
  <c r="V26" i="21"/>
  <c r="Z26" i="21" s="1"/>
  <c r="W42" i="14"/>
  <c r="H40" i="21"/>
  <c r="I40" i="21" s="1"/>
  <c r="W40" i="14"/>
  <c r="H38" i="21"/>
  <c r="I38" i="21" s="1"/>
  <c r="W39" i="14"/>
  <c r="H37" i="21"/>
  <c r="I37" i="21" s="1"/>
  <c r="W38" i="14"/>
  <c r="H36" i="21"/>
  <c r="I36" i="21" s="1"/>
  <c r="D1188" i="34"/>
  <c r="D1163" i="34"/>
  <c r="D1216" i="34"/>
  <c r="G30" i="13" s="1"/>
  <c r="D1169" i="34"/>
  <c r="D1171" i="34" s="1"/>
  <c r="D1172" i="34" s="1"/>
  <c r="U29" i="14" s="1"/>
  <c r="D1203" i="34"/>
  <c r="D1205" i="34" s="1"/>
  <c r="D1207" i="34" s="1"/>
  <c r="E30" i="13" s="1"/>
  <c r="G28" i="13"/>
  <c r="C16" i="21"/>
  <c r="C24" i="21"/>
  <c r="C19" i="21"/>
  <c r="C18" i="21"/>
  <c r="C23" i="21"/>
  <c r="V11" i="14"/>
  <c r="N12" i="21"/>
  <c r="D12" i="21" s="1"/>
  <c r="D14" i="14" s="1"/>
  <c r="N13" i="21"/>
  <c r="D13" i="21" s="1"/>
  <c r="D15" i="14" s="1"/>
  <c r="N17" i="21"/>
  <c r="D17" i="21" s="1"/>
  <c r="D19" i="14" s="1"/>
  <c r="D447" i="34" s="1"/>
  <c r="N20" i="21"/>
  <c r="D20" i="21" s="1"/>
  <c r="D22" i="14" s="1"/>
  <c r="N24" i="21"/>
  <c r="D24" i="21" s="1"/>
  <c r="D26" i="14" s="1"/>
  <c r="N26" i="21"/>
  <c r="D26" i="21" s="1"/>
  <c r="N27" i="21"/>
  <c r="D27" i="21" s="1"/>
  <c r="N28" i="21"/>
  <c r="D28" i="21" s="1"/>
  <c r="N29" i="21"/>
  <c r="D29" i="21" s="1"/>
  <c r="N40" i="21"/>
  <c r="D40" i="21" s="1"/>
  <c r="N41" i="21"/>
  <c r="D41" i="21" s="1"/>
  <c r="N42" i="21"/>
  <c r="D42" i="21" s="1"/>
  <c r="D44" i="14" s="1"/>
  <c r="W11" i="14" l="1"/>
  <c r="H9" i="21"/>
  <c r="I9" i="21" s="1"/>
  <c r="D30" i="14"/>
  <c r="D1240" i="34" s="1"/>
  <c r="F24" i="21"/>
  <c r="G24" i="21" s="1"/>
  <c r="D29" i="14"/>
  <c r="D1141" i="34" s="1"/>
  <c r="D28" i="14"/>
  <c r="F28" i="14" s="1"/>
  <c r="D31" i="14"/>
  <c r="F31" i="14" s="1"/>
  <c r="D43" i="14"/>
  <c r="D2234" i="34" s="1"/>
  <c r="F13" i="21"/>
  <c r="G13" i="21" s="1"/>
  <c r="D42" i="14"/>
  <c r="F42" i="14" s="1"/>
  <c r="F40" i="21"/>
  <c r="G40" i="21" s="1"/>
  <c r="F12" i="21"/>
  <c r="G12" i="21" s="1"/>
  <c r="D1189" i="34"/>
  <c r="D1164" i="34"/>
  <c r="M29" i="14" s="1"/>
  <c r="J29" i="14"/>
  <c r="N29" i="14" s="1"/>
  <c r="D180" i="34"/>
  <c r="F14" i="14"/>
  <c r="D911" i="34"/>
  <c r="F26" i="14"/>
  <c r="D2337" i="34"/>
  <c r="F44" i="14"/>
  <c r="D641" i="34"/>
  <c r="F22" i="14"/>
  <c r="D221" i="34"/>
  <c r="F15" i="14"/>
  <c r="F19" i="14"/>
  <c r="P29" i="21"/>
  <c r="D1337" i="34" s="1"/>
  <c r="P28" i="21"/>
  <c r="D1263" i="34" s="1"/>
  <c r="P27" i="21"/>
  <c r="D1175" i="34" s="1"/>
  <c r="P12" i="21"/>
  <c r="D188" i="34" s="1"/>
  <c r="P26" i="21"/>
  <c r="D1091" i="34" s="1"/>
  <c r="P24" i="21"/>
  <c r="D929" i="34" s="1"/>
  <c r="P42" i="21"/>
  <c r="D2356" i="34" s="1"/>
  <c r="P20" i="21"/>
  <c r="D659" i="34" s="1"/>
  <c r="P41" i="21"/>
  <c r="D2270" i="34" s="1"/>
  <c r="P17" i="21"/>
  <c r="D463" i="34" s="1"/>
  <c r="P40" i="21"/>
  <c r="D2179" i="34" s="1"/>
  <c r="P13" i="21"/>
  <c r="D229" i="34" s="1"/>
  <c r="V18" i="14"/>
  <c r="V26" i="14"/>
  <c r="V21" i="14"/>
  <c r="V25" i="14"/>
  <c r="S5" i="21"/>
  <c r="T14" i="21" s="1"/>
  <c r="D281" i="34" s="1"/>
  <c r="K4" i="13"/>
  <c r="F4" i="13"/>
  <c r="Q5" i="21"/>
  <c r="R36" i="21" s="1"/>
  <c r="D1884" i="34" s="1"/>
  <c r="D1304" i="34" l="1"/>
  <c r="F30" i="14"/>
  <c r="G30" i="14" s="1"/>
  <c r="K5" i="13"/>
  <c r="D1059" i="34"/>
  <c r="W26" i="14"/>
  <c r="H24" i="21"/>
  <c r="I24" i="21" s="1"/>
  <c r="W27" i="21"/>
  <c r="Z27" i="21" s="1"/>
  <c r="W18" i="14"/>
  <c r="H16" i="21"/>
  <c r="I16" i="21" s="1"/>
  <c r="W25" i="14"/>
  <c r="H23" i="21"/>
  <c r="I23" i="21" s="1"/>
  <c r="W21" i="14"/>
  <c r="H19" i="21"/>
  <c r="I19" i="21" s="1"/>
  <c r="F43" i="14"/>
  <c r="G43" i="14" s="1"/>
  <c r="D2136" i="34"/>
  <c r="F29" i="14"/>
  <c r="G29" i="14" s="1"/>
  <c r="G14" i="14"/>
  <c r="G42" i="14"/>
  <c r="G31" i="14"/>
  <c r="G22" i="14"/>
  <c r="G26" i="14"/>
  <c r="G28" i="14"/>
  <c r="G19" i="14"/>
  <c r="G15" i="14"/>
  <c r="G44" i="14"/>
  <c r="T25" i="21"/>
  <c r="D1009" i="34" s="1"/>
  <c r="V20" i="14"/>
  <c r="T21" i="21"/>
  <c r="D737" i="34" s="1"/>
  <c r="T8" i="21"/>
  <c r="D22" i="34" s="1"/>
  <c r="Q10" i="14"/>
  <c r="L9" i="21"/>
  <c r="N9" i="21" s="1"/>
  <c r="F11" i="13" l="1"/>
  <c r="W20" i="14"/>
  <c r="H18" i="21"/>
  <c r="I18" i="21" s="1"/>
  <c r="P9" i="21"/>
  <c r="D57" i="34" s="1"/>
  <c r="F33" i="13"/>
  <c r="F44" i="13"/>
  <c r="F34" i="13"/>
  <c r="F43" i="13"/>
  <c r="R10" i="14"/>
  <c r="D6" i="34"/>
  <c r="C22" i="21"/>
  <c r="C15" i="21"/>
  <c r="T3" i="14"/>
  <c r="S10" i="14" s="1"/>
  <c r="D2300" i="34" l="1"/>
  <c r="D1433" i="34"/>
  <c r="D2198" i="34"/>
  <c r="D1507" i="34"/>
  <c r="H11" i="13"/>
  <c r="T10" i="14"/>
  <c r="J8" i="21"/>
  <c r="K8" i="21" s="1"/>
  <c r="D11" i="14"/>
  <c r="F9" i="21"/>
  <c r="G9" i="21" s="1"/>
  <c r="D34" i="34"/>
  <c r="D36" i="34" s="1"/>
  <c r="S33" i="14"/>
  <c r="J31" i="21" s="1"/>
  <c r="K31" i="21" s="1"/>
  <c r="S42" i="14"/>
  <c r="J40" i="21" s="1"/>
  <c r="K40" i="21" s="1"/>
  <c r="S43" i="14"/>
  <c r="J41" i="21" s="1"/>
  <c r="K41" i="21" s="1"/>
  <c r="D14" i="34"/>
  <c r="S32" i="14"/>
  <c r="J30" i="21" s="1"/>
  <c r="K30" i="21" s="1"/>
  <c r="V13" i="14"/>
  <c r="V24" i="14"/>
  <c r="V15" i="14"/>
  <c r="W15" i="14" l="1"/>
  <c r="H13" i="21"/>
  <c r="I13" i="21" s="1"/>
  <c r="W24" i="14"/>
  <c r="H22" i="21"/>
  <c r="I22" i="21" s="1"/>
  <c r="W13" i="14"/>
  <c r="H11" i="21"/>
  <c r="I11" i="21" s="1"/>
  <c r="D50" i="34"/>
  <c r="F11" i="14"/>
  <c r="G11" i="14" s="1"/>
  <c r="T42" i="14"/>
  <c r="Y42" i="14" s="1"/>
  <c r="D2177" i="34" s="1"/>
  <c r="X42" i="14"/>
  <c r="D1477" i="34"/>
  <c r="T33" i="14"/>
  <c r="D2262" i="34"/>
  <c r="T43" i="14"/>
  <c r="D1403" i="34"/>
  <c r="T32" i="14"/>
  <c r="D2172" i="34"/>
  <c r="F38" i="2" l="1"/>
  <c r="C36" i="46" s="1"/>
  <c r="C42" i="21"/>
  <c r="F42" i="21" s="1"/>
  <c r="G42" i="21" s="1"/>
  <c r="Q44" i="14"/>
  <c r="Q12" i="14"/>
  <c r="O7" i="2"/>
  <c r="O8" i="2"/>
  <c r="G6" i="46" s="1"/>
  <c r="O9" i="2"/>
  <c r="G7" i="46" s="1"/>
  <c r="O10" i="2"/>
  <c r="G8" i="46" s="1"/>
  <c r="O11" i="2"/>
  <c r="G9" i="46" s="1"/>
  <c r="O12" i="2"/>
  <c r="G10" i="46" s="1"/>
  <c r="O13" i="2"/>
  <c r="G11" i="46" s="1"/>
  <c r="O14" i="2"/>
  <c r="G12" i="46" s="1"/>
  <c r="O15" i="2"/>
  <c r="G13" i="46" s="1"/>
  <c r="O16" i="2"/>
  <c r="G14" i="46" s="1"/>
  <c r="O17" i="2"/>
  <c r="G15" i="46" s="1"/>
  <c r="O18" i="2"/>
  <c r="G16" i="46" s="1"/>
  <c r="O19" i="2"/>
  <c r="G17" i="46" s="1"/>
  <c r="O20" i="2"/>
  <c r="G18" i="46" s="1"/>
  <c r="O21" i="2"/>
  <c r="G19" i="46" s="1"/>
  <c r="O22" i="2"/>
  <c r="G20" i="46" s="1"/>
  <c r="O23" i="2"/>
  <c r="G21" i="46" s="1"/>
  <c r="O24" i="2"/>
  <c r="G22" i="46" s="1"/>
  <c r="O25" i="2"/>
  <c r="G23" i="46" s="1"/>
  <c r="O26" i="2"/>
  <c r="G24" i="46" s="1"/>
  <c r="O27" i="2"/>
  <c r="G25" i="46" s="1"/>
  <c r="O28" i="2"/>
  <c r="G26" i="46" s="1"/>
  <c r="O29" i="2"/>
  <c r="G27" i="46" s="1"/>
  <c r="O30" i="2"/>
  <c r="G28" i="46" s="1"/>
  <c r="O31" i="2"/>
  <c r="G29" i="46" s="1"/>
  <c r="O32" i="2"/>
  <c r="G30" i="46" s="1"/>
  <c r="O33" i="2"/>
  <c r="G31" i="46" s="1"/>
  <c r="O34" i="2"/>
  <c r="G32" i="46" s="1"/>
  <c r="O35" i="2"/>
  <c r="G33" i="46" s="1"/>
  <c r="O36" i="2"/>
  <c r="G34" i="46" s="1"/>
  <c r="O37" i="2"/>
  <c r="G35" i="46" s="1"/>
  <c r="O38" i="2"/>
  <c r="G36" i="46" s="1"/>
  <c r="O39" i="2"/>
  <c r="G37" i="46" s="1"/>
  <c r="O40" i="2"/>
  <c r="Q41" i="14"/>
  <c r="K40" i="2"/>
  <c r="B40" i="2"/>
  <c r="B45" i="13"/>
  <c r="C45" i="13"/>
  <c r="P7" i="2" l="1"/>
  <c r="G5" i="46"/>
  <c r="L40" i="2"/>
  <c r="E38" i="46"/>
  <c r="P40" i="2"/>
  <c r="G38" i="46"/>
  <c r="D85" i="34"/>
  <c r="D2330" i="34"/>
  <c r="D2060" i="34"/>
  <c r="S44" i="14"/>
  <c r="J42" i="21" s="1"/>
  <c r="K42" i="21" s="1"/>
  <c r="F45" i="13"/>
  <c r="S41" i="14"/>
  <c r="J39" i="21" s="1"/>
  <c r="K39" i="21" s="1"/>
  <c r="F42" i="13"/>
  <c r="S12" i="14"/>
  <c r="J10" i="21" s="1"/>
  <c r="K10" i="21" s="1"/>
  <c r="F13" i="13"/>
  <c r="R44" i="14"/>
  <c r="D40" i="2"/>
  <c r="B38" i="46" s="1"/>
  <c r="D119" i="34" l="1"/>
  <c r="D121" i="34" s="1"/>
  <c r="D2376" i="34"/>
  <c r="D2109" i="34"/>
  <c r="D93" i="34"/>
  <c r="T12" i="14"/>
  <c r="D2081" i="34"/>
  <c r="T41" i="14"/>
  <c r="D2352" i="34"/>
  <c r="T44" i="14"/>
  <c r="T12" i="21"/>
  <c r="D192" i="34" s="1"/>
  <c r="T15" i="21"/>
  <c r="D343" i="34" s="1"/>
  <c r="T16" i="21"/>
  <c r="D405" i="34" s="1"/>
  <c r="T17" i="21"/>
  <c r="D467" i="34" s="1"/>
  <c r="T18" i="21"/>
  <c r="D531" i="34" s="1"/>
  <c r="T19" i="21"/>
  <c r="D597" i="34" s="1"/>
  <c r="T20" i="21"/>
  <c r="D663" i="34" s="1"/>
  <c r="T23" i="21"/>
  <c r="D869" i="34" s="1"/>
  <c r="T24" i="21"/>
  <c r="D933" i="34" s="1"/>
  <c r="T26" i="21"/>
  <c r="D1095" i="34" s="1"/>
  <c r="T27" i="21"/>
  <c r="D1179" i="34" s="1"/>
  <c r="T28" i="21"/>
  <c r="D1267" i="34" s="1"/>
  <c r="T11" i="21"/>
  <c r="D147" i="34" s="1"/>
  <c r="T29" i="21"/>
  <c r="D1341" i="34" s="1"/>
  <c r="T30" i="21"/>
  <c r="D1418" i="34" s="1"/>
  <c r="T31" i="21"/>
  <c r="D1492" i="34" s="1"/>
  <c r="T32" i="21"/>
  <c r="D1564" i="34" s="1"/>
  <c r="T33" i="21"/>
  <c r="D1648" i="34" s="1"/>
  <c r="T36" i="21"/>
  <c r="D1886" i="34" s="1"/>
  <c r="T37" i="21"/>
  <c r="D1944" i="34" s="1"/>
  <c r="T38" i="21"/>
  <c r="D2018" i="34" s="1"/>
  <c r="T39" i="21"/>
  <c r="D2094" i="34" s="1"/>
  <c r="T40" i="21"/>
  <c r="D2183" i="34" s="1"/>
  <c r="T41" i="21"/>
  <c r="D2274" i="34" s="1"/>
  <c r="T42" i="21"/>
  <c r="D2360" i="34" s="1"/>
  <c r="R40" i="21"/>
  <c r="R16" i="21"/>
  <c r="D403" i="34" s="1"/>
  <c r="R28" i="21"/>
  <c r="D1265" i="34" s="1"/>
  <c r="R32" i="21"/>
  <c r="D1562" i="34" s="1"/>
  <c r="R12" i="21"/>
  <c r="D190" i="34" s="1"/>
  <c r="R24" i="21"/>
  <c r="D931" i="34" s="1"/>
  <c r="Q16" i="14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D2181" i="34" l="1"/>
  <c r="AB40" i="21"/>
  <c r="D262" i="34"/>
  <c r="S16" i="14"/>
  <c r="J14" i="21" s="1"/>
  <c r="K14" i="21" s="1"/>
  <c r="F17" i="13"/>
  <c r="V44" i="14"/>
  <c r="H42" i="21" s="1"/>
  <c r="I42" i="21" s="1"/>
  <c r="T34" i="21"/>
  <c r="D1731" i="34" s="1"/>
  <c r="T9" i="21"/>
  <c r="D61" i="34" s="1"/>
  <c r="T13" i="21"/>
  <c r="D233" i="34" s="1"/>
  <c r="R9" i="21"/>
  <c r="D59" i="34" s="1"/>
  <c r="R8" i="21"/>
  <c r="D20" i="34" s="1"/>
  <c r="R42" i="21"/>
  <c r="D2358" i="34" s="1"/>
  <c r="T35" i="21"/>
  <c r="D1819" i="34" s="1"/>
  <c r="T10" i="21"/>
  <c r="D102" i="34" s="1"/>
  <c r="T22" i="21"/>
  <c r="D805" i="34" s="1"/>
  <c r="R20" i="21"/>
  <c r="D661" i="34" s="1"/>
  <c r="R39" i="21"/>
  <c r="D2092" i="34" s="1"/>
  <c r="R35" i="21"/>
  <c r="D1817" i="34" s="1"/>
  <c r="R31" i="21"/>
  <c r="D1490" i="34" s="1"/>
  <c r="R27" i="21"/>
  <c r="D1177" i="34" s="1"/>
  <c r="R23" i="21"/>
  <c r="D867" i="34" s="1"/>
  <c r="R19" i="21"/>
  <c r="D595" i="34" s="1"/>
  <c r="R15" i="21"/>
  <c r="D341" i="34" s="1"/>
  <c r="R11" i="21"/>
  <c r="D145" i="34" s="1"/>
  <c r="R38" i="21"/>
  <c r="D2016" i="34" s="1"/>
  <c r="R34" i="21"/>
  <c r="D1729" i="34" s="1"/>
  <c r="R30" i="21"/>
  <c r="D1416" i="34" s="1"/>
  <c r="R26" i="21"/>
  <c r="D1093" i="34" s="1"/>
  <c r="R22" i="21"/>
  <c r="D803" i="34" s="1"/>
  <c r="R18" i="21"/>
  <c r="D529" i="34" s="1"/>
  <c r="R14" i="21"/>
  <c r="D279" i="34" s="1"/>
  <c r="R10" i="21"/>
  <c r="D100" i="34" s="1"/>
  <c r="R41" i="21"/>
  <c r="D2272" i="34" s="1"/>
  <c r="R37" i="21"/>
  <c r="D1942" i="34" s="1"/>
  <c r="R33" i="21"/>
  <c r="D1646" i="34" s="1"/>
  <c r="R29" i="21"/>
  <c r="D1339" i="34" s="1"/>
  <c r="R25" i="21"/>
  <c r="D1007" i="34" s="1"/>
  <c r="R21" i="21"/>
  <c r="D735" i="34" s="1"/>
  <c r="R17" i="21"/>
  <c r="D465" i="34" s="1"/>
  <c r="R13" i="21"/>
  <c r="D231" i="34" s="1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Q26" i="14"/>
  <c r="K22" i="2"/>
  <c r="P22" i="2"/>
  <c r="Q36" i="14"/>
  <c r="Q34" i="14"/>
  <c r="L10" i="21"/>
  <c r="L11" i="21"/>
  <c r="N11" i="21" s="1"/>
  <c r="D11" i="21" s="1"/>
  <c r="L14" i="21"/>
  <c r="N14" i="21" s="1"/>
  <c r="D14" i="21" s="1"/>
  <c r="L15" i="21"/>
  <c r="L16" i="21"/>
  <c r="L18" i="21"/>
  <c r="L19" i="21"/>
  <c r="N19" i="21" s="1"/>
  <c r="D19" i="21" s="1"/>
  <c r="L21" i="21"/>
  <c r="N21" i="21" s="1"/>
  <c r="D21" i="21" s="1"/>
  <c r="D23" i="14" s="1"/>
  <c r="L22" i="21"/>
  <c r="L23" i="21"/>
  <c r="L25" i="21"/>
  <c r="L30" i="21"/>
  <c r="N30" i="21" s="1"/>
  <c r="D30" i="21" s="1"/>
  <c r="L31" i="21"/>
  <c r="L32" i="21"/>
  <c r="L33" i="21"/>
  <c r="L34" i="21"/>
  <c r="N34" i="21" s="1"/>
  <c r="D34" i="21" s="1"/>
  <c r="D36" i="14" s="1"/>
  <c r="L35" i="21"/>
  <c r="N35" i="21" s="1"/>
  <c r="D35" i="21" s="1"/>
  <c r="D37" i="14" s="1"/>
  <c r="L36" i="21"/>
  <c r="N36" i="21" s="1"/>
  <c r="D36" i="21" s="1"/>
  <c r="D38" i="14" s="1"/>
  <c r="L37" i="21"/>
  <c r="N37" i="21" s="1"/>
  <c r="D37" i="21" s="1"/>
  <c r="D39" i="14" s="1"/>
  <c r="L38" i="21"/>
  <c r="N38" i="21" s="1"/>
  <c r="D38" i="21" s="1"/>
  <c r="L39" i="21"/>
  <c r="L8" i="21"/>
  <c r="N8" i="21" s="1"/>
  <c r="K9" i="2"/>
  <c r="P9" i="2"/>
  <c r="K10" i="2"/>
  <c r="P10" i="2"/>
  <c r="K11" i="2"/>
  <c r="P11" i="2"/>
  <c r="K12" i="2"/>
  <c r="P12" i="2"/>
  <c r="K13" i="2"/>
  <c r="P13" i="2"/>
  <c r="K14" i="2"/>
  <c r="P14" i="2"/>
  <c r="K15" i="2"/>
  <c r="P15" i="2"/>
  <c r="K16" i="2"/>
  <c r="P16" i="2"/>
  <c r="K17" i="2"/>
  <c r="P17" i="2"/>
  <c r="K18" i="2"/>
  <c r="P18" i="2"/>
  <c r="K19" i="2"/>
  <c r="P19" i="2"/>
  <c r="K20" i="2"/>
  <c r="P20" i="2"/>
  <c r="K21" i="2"/>
  <c r="P21" i="2"/>
  <c r="K23" i="2"/>
  <c r="P23" i="2"/>
  <c r="Q25" i="14"/>
  <c r="Q21" i="14"/>
  <c r="Q18" i="14"/>
  <c r="Q13" i="14"/>
  <c r="F14" i="13" s="1"/>
  <c r="Q11" i="14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7" i="2"/>
  <c r="C25" i="21"/>
  <c r="C21" i="13"/>
  <c r="C23" i="13"/>
  <c r="R15" i="2"/>
  <c r="R16" i="2"/>
  <c r="R18" i="2"/>
  <c r="Q19" i="14"/>
  <c r="Q22" i="14"/>
  <c r="R43" i="14"/>
  <c r="R42" i="14"/>
  <c r="C40" i="13"/>
  <c r="P24" i="2"/>
  <c r="P25" i="2"/>
  <c r="P26" i="2"/>
  <c r="P27" i="2"/>
  <c r="P29" i="2"/>
  <c r="P30" i="2"/>
  <c r="P31" i="2"/>
  <c r="P32" i="2"/>
  <c r="P33" i="2"/>
  <c r="K6" i="2"/>
  <c r="D39" i="2"/>
  <c r="K39" i="2"/>
  <c r="P39" i="2"/>
  <c r="AB42" i="21" l="1"/>
  <c r="L15" i="2"/>
  <c r="E13" i="46"/>
  <c r="L23" i="2"/>
  <c r="E21" i="46"/>
  <c r="L18" i="2"/>
  <c r="E16" i="46"/>
  <c r="L14" i="2"/>
  <c r="E12" i="46"/>
  <c r="L10" i="2"/>
  <c r="E8" i="46"/>
  <c r="L11" i="2"/>
  <c r="E9" i="46"/>
  <c r="L39" i="2"/>
  <c r="E37" i="46"/>
  <c r="L17" i="2"/>
  <c r="E15" i="46"/>
  <c r="L13" i="2"/>
  <c r="E11" i="46"/>
  <c r="L9" i="2"/>
  <c r="E7" i="46"/>
  <c r="L22" i="2"/>
  <c r="E20" i="46"/>
  <c r="L6" i="2"/>
  <c r="E4" i="46"/>
  <c r="L20" i="2"/>
  <c r="E18" i="46"/>
  <c r="L16" i="2"/>
  <c r="E14" i="46"/>
  <c r="L12" i="2"/>
  <c r="E10" i="46"/>
  <c r="L19" i="2"/>
  <c r="E17" i="46"/>
  <c r="L21" i="2"/>
  <c r="E19" i="46"/>
  <c r="D839" i="34"/>
  <c r="D1531" i="34"/>
  <c r="D439" i="34"/>
  <c r="D1698" i="34"/>
  <c r="F12" i="13"/>
  <c r="H12" i="13" s="1"/>
  <c r="D130" i="34"/>
  <c r="D377" i="34"/>
  <c r="D903" i="34"/>
  <c r="D633" i="34"/>
  <c r="D567" i="34"/>
  <c r="D13" i="14"/>
  <c r="D135" i="34" s="1"/>
  <c r="F11" i="21"/>
  <c r="G11" i="21" s="1"/>
  <c r="D16" i="14"/>
  <c r="D267" i="34" s="1"/>
  <c r="F14" i="21"/>
  <c r="G14" i="21" s="1"/>
  <c r="D21" i="14"/>
  <c r="D575" i="34" s="1"/>
  <c r="F19" i="21"/>
  <c r="G19" i="21" s="1"/>
  <c r="D40" i="14"/>
  <c r="D1994" i="34" s="1"/>
  <c r="D32" i="14"/>
  <c r="F32" i="14" s="1"/>
  <c r="W44" i="14"/>
  <c r="Y44" i="14" s="1"/>
  <c r="D2354" i="34" s="1"/>
  <c r="X44" i="14"/>
  <c r="D270" i="34"/>
  <c r="T16" i="14"/>
  <c r="D712" i="34"/>
  <c r="F23" i="14"/>
  <c r="D1791" i="34"/>
  <c r="F37" i="14"/>
  <c r="D1707" i="34"/>
  <c r="F36" i="14"/>
  <c r="D1933" i="34"/>
  <c r="F39" i="14"/>
  <c r="D1875" i="34"/>
  <c r="F38" i="14"/>
  <c r="D300" i="34"/>
  <c r="H17" i="13"/>
  <c r="F27" i="13"/>
  <c r="S25" i="14"/>
  <c r="J23" i="21" s="1"/>
  <c r="K23" i="21" s="1"/>
  <c r="F26" i="13"/>
  <c r="F23" i="13"/>
  <c r="S21" i="14"/>
  <c r="J19" i="21" s="1"/>
  <c r="K19" i="21" s="1"/>
  <c r="F22" i="13"/>
  <c r="S19" i="14"/>
  <c r="J17" i="21" s="1"/>
  <c r="K17" i="21" s="1"/>
  <c r="F20" i="13"/>
  <c r="S13" i="14"/>
  <c r="J11" i="21" s="1"/>
  <c r="K11" i="21" s="1"/>
  <c r="S34" i="14"/>
  <c r="J32" i="21" s="1"/>
  <c r="K32" i="21" s="1"/>
  <c r="F35" i="13"/>
  <c r="S36" i="14"/>
  <c r="J34" i="21" s="1"/>
  <c r="K34" i="21" s="1"/>
  <c r="F37" i="13"/>
  <c r="S18" i="14"/>
  <c r="J16" i="21" s="1"/>
  <c r="K16" i="21" s="1"/>
  <c r="F19" i="13"/>
  <c r="D18" i="2"/>
  <c r="B16" i="46" s="1"/>
  <c r="S22" i="14"/>
  <c r="J20" i="21" s="1"/>
  <c r="K20" i="21" s="1"/>
  <c r="D22" i="2"/>
  <c r="B20" i="46" s="1"/>
  <c r="S26" i="14"/>
  <c r="R11" i="14"/>
  <c r="D45" i="34"/>
  <c r="S11" i="14"/>
  <c r="J9" i="21" s="1"/>
  <c r="K9" i="21" s="1"/>
  <c r="AB9" i="21" s="1"/>
  <c r="C17" i="21"/>
  <c r="F17" i="21" s="1"/>
  <c r="G17" i="21" s="1"/>
  <c r="C20" i="21"/>
  <c r="F20" i="21" s="1"/>
  <c r="G20" i="21" s="1"/>
  <c r="P11" i="21"/>
  <c r="D143" i="34" s="1"/>
  <c r="P35" i="21"/>
  <c r="D1815" i="34" s="1"/>
  <c r="P38" i="21"/>
  <c r="D2014" i="34" s="1"/>
  <c r="P30" i="21"/>
  <c r="D1414" i="34" s="1"/>
  <c r="P37" i="21"/>
  <c r="D1940" i="34" s="1"/>
  <c r="P14" i="21"/>
  <c r="D277" i="34" s="1"/>
  <c r="R26" i="14"/>
  <c r="P34" i="21"/>
  <c r="D1727" i="34" s="1"/>
  <c r="P36" i="21"/>
  <c r="D1882" i="34" s="1"/>
  <c r="P19" i="21"/>
  <c r="D593" i="34" s="1"/>
  <c r="P21" i="21"/>
  <c r="D733" i="34" s="1"/>
  <c r="N32" i="21"/>
  <c r="D32" i="21" s="1"/>
  <c r="D34" i="14" s="1"/>
  <c r="N18" i="21"/>
  <c r="D18" i="21" s="1"/>
  <c r="D7" i="2"/>
  <c r="N39" i="21"/>
  <c r="D39" i="21" s="1"/>
  <c r="N31" i="21"/>
  <c r="D31" i="21" s="1"/>
  <c r="N16" i="21"/>
  <c r="D16" i="21" s="1"/>
  <c r="N15" i="21"/>
  <c r="D15" i="21" s="1"/>
  <c r="N25" i="21"/>
  <c r="D25" i="21" s="1"/>
  <c r="D27" i="14" s="1"/>
  <c r="N23" i="21"/>
  <c r="D23" i="21" s="1"/>
  <c r="R25" i="14"/>
  <c r="D21" i="2"/>
  <c r="B19" i="46" s="1"/>
  <c r="N22" i="21"/>
  <c r="D22" i="21" s="1"/>
  <c r="N10" i="21"/>
  <c r="D10" i="21" s="1"/>
  <c r="R19" i="14"/>
  <c r="D15" i="2"/>
  <c r="D14" i="2"/>
  <c r="N33" i="21"/>
  <c r="D33" i="21" s="1"/>
  <c r="E31" i="21"/>
  <c r="R21" i="14"/>
  <c r="D17" i="2"/>
  <c r="B15" i="46" s="1"/>
  <c r="R13" i="14"/>
  <c r="R18" i="14"/>
  <c r="D9" i="2"/>
  <c r="B7" i="46" s="1"/>
  <c r="R22" i="14"/>
  <c r="F21" i="14" l="1"/>
  <c r="X21" i="14" s="1"/>
  <c r="F13" i="14"/>
  <c r="X13" i="14" s="1"/>
  <c r="E14" i="2"/>
  <c r="B12" i="46"/>
  <c r="E7" i="2"/>
  <c r="B5" i="46"/>
  <c r="E15" i="2"/>
  <c r="B13" i="46"/>
  <c r="D952" i="34"/>
  <c r="D486" i="34"/>
  <c r="D1759" i="34"/>
  <c r="D684" i="34"/>
  <c r="D424" i="34"/>
  <c r="D618" i="34"/>
  <c r="D1590" i="34"/>
  <c r="D888" i="34"/>
  <c r="D164" i="34"/>
  <c r="D166" i="34" s="1"/>
  <c r="D73" i="34"/>
  <c r="D75" i="34" s="1"/>
  <c r="AB11" i="21"/>
  <c r="F40" i="2"/>
  <c r="C38" i="46" s="1"/>
  <c r="AB19" i="21"/>
  <c r="F16" i="14"/>
  <c r="G16" i="14" s="1"/>
  <c r="X26" i="14"/>
  <c r="J24" i="21"/>
  <c r="K24" i="21" s="1"/>
  <c r="D1389" i="34"/>
  <c r="D33" i="14"/>
  <c r="F33" i="14" s="1"/>
  <c r="F31" i="21"/>
  <c r="G31" i="21" s="1"/>
  <c r="F40" i="14"/>
  <c r="G40" i="14" s="1"/>
  <c r="D20" i="14"/>
  <c r="D509" i="34" s="1"/>
  <c r="F18" i="21"/>
  <c r="G18" i="21" s="1"/>
  <c r="D24" i="14"/>
  <c r="F24" i="14" s="1"/>
  <c r="F22" i="21"/>
  <c r="G22" i="21" s="1"/>
  <c r="D41" i="14"/>
  <c r="F41" i="14" s="1"/>
  <c r="D35" i="14"/>
  <c r="D1620" i="34" s="1"/>
  <c r="D25" i="14"/>
  <c r="F25" i="14" s="1"/>
  <c r="G25" i="14" s="1"/>
  <c r="F23" i="21"/>
  <c r="G23" i="21" s="1"/>
  <c r="D17" i="14"/>
  <c r="F17" i="14" s="1"/>
  <c r="F15" i="21"/>
  <c r="G15" i="21" s="1"/>
  <c r="D12" i="14"/>
  <c r="D90" i="34" s="1"/>
  <c r="F10" i="21"/>
  <c r="G10" i="21" s="1"/>
  <c r="D18" i="14"/>
  <c r="F18" i="14" s="1"/>
  <c r="F16" i="21"/>
  <c r="G16" i="21" s="1"/>
  <c r="F25" i="21"/>
  <c r="G25" i="21" s="1"/>
  <c r="G37" i="14"/>
  <c r="G38" i="14"/>
  <c r="G23" i="14"/>
  <c r="T22" i="14"/>
  <c r="G36" i="14"/>
  <c r="G39" i="14"/>
  <c r="G32" i="14"/>
  <c r="T11" i="14"/>
  <c r="Y11" i="14" s="1"/>
  <c r="D55" i="34" s="1"/>
  <c r="X11" i="14"/>
  <c r="D453" i="34"/>
  <c r="T19" i="14"/>
  <c r="D1718" i="34"/>
  <c r="T36" i="14"/>
  <c r="D917" i="34"/>
  <c r="T26" i="14"/>
  <c r="Y26" i="14" s="1"/>
  <c r="D927" i="34" s="1"/>
  <c r="D1551" i="34"/>
  <c r="T34" i="14"/>
  <c r="D581" i="34"/>
  <c r="T21" i="14"/>
  <c r="D853" i="34"/>
  <c r="T25" i="14"/>
  <c r="D391" i="34"/>
  <c r="T18" i="14"/>
  <c r="D138" i="34"/>
  <c r="T13" i="14"/>
  <c r="D980" i="34"/>
  <c r="F27" i="14"/>
  <c r="D1536" i="34"/>
  <c r="F34" i="14"/>
  <c r="H14" i="13"/>
  <c r="D53" i="34"/>
  <c r="V16" i="14"/>
  <c r="V22" i="14"/>
  <c r="V19" i="14"/>
  <c r="X19" i="14" s="1"/>
  <c r="C21" i="21"/>
  <c r="F21" i="21" s="1"/>
  <c r="G21" i="21" s="1"/>
  <c r="V12" i="14"/>
  <c r="V17" i="14"/>
  <c r="P39" i="21"/>
  <c r="D2090" i="34" s="1"/>
  <c r="P16" i="21"/>
  <c r="P15" i="21"/>
  <c r="D339" i="34" s="1"/>
  <c r="P23" i="21"/>
  <c r="P10" i="21"/>
  <c r="D98" i="34" s="1"/>
  <c r="P18" i="21"/>
  <c r="D527" i="34" s="1"/>
  <c r="P25" i="21"/>
  <c r="D1005" i="34" s="1"/>
  <c r="P31" i="21"/>
  <c r="D1488" i="34" s="1"/>
  <c r="P33" i="21"/>
  <c r="D1644" i="34" s="1"/>
  <c r="P22" i="21"/>
  <c r="D801" i="34" s="1"/>
  <c r="P32" i="21"/>
  <c r="D1560" i="34" s="1"/>
  <c r="D38" i="2"/>
  <c r="K38" i="2"/>
  <c r="P38" i="2"/>
  <c r="C43" i="13"/>
  <c r="K36" i="2"/>
  <c r="P36" i="2"/>
  <c r="K37" i="2"/>
  <c r="P37" i="2"/>
  <c r="C41" i="13"/>
  <c r="C42" i="13"/>
  <c r="C44" i="13"/>
  <c r="C24" i="13"/>
  <c r="C25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17" i="13"/>
  <c r="C18" i="13"/>
  <c r="C13" i="13"/>
  <c r="C11" i="13"/>
  <c r="Q40" i="14"/>
  <c r="K34" i="2"/>
  <c r="P34" i="2"/>
  <c r="K35" i="2"/>
  <c r="P35" i="2"/>
  <c r="Q39" i="14"/>
  <c r="Q38" i="14"/>
  <c r="R8" i="2"/>
  <c r="R11" i="2"/>
  <c r="R12" i="2"/>
  <c r="R13" i="2"/>
  <c r="R19" i="2"/>
  <c r="R20" i="2"/>
  <c r="R6" i="2"/>
  <c r="Q37" i="14"/>
  <c r="Q35" i="14"/>
  <c r="G21" i="14" l="1"/>
  <c r="G13" i="14"/>
  <c r="Y13" i="14" s="1"/>
  <c r="D141" i="34" s="1"/>
  <c r="F35" i="14"/>
  <c r="G35" i="14" s="1"/>
  <c r="D847" i="34"/>
  <c r="D1462" i="34"/>
  <c r="D385" i="34"/>
  <c r="L34" i="2"/>
  <c r="E32" i="46"/>
  <c r="L35" i="2"/>
  <c r="E33" i="46"/>
  <c r="L37" i="2"/>
  <c r="E35" i="46"/>
  <c r="L38" i="2"/>
  <c r="E36" i="46"/>
  <c r="L36" i="2"/>
  <c r="E34" i="46"/>
  <c r="D1926" i="34"/>
  <c r="D1615" i="34"/>
  <c r="AB23" i="21"/>
  <c r="Y25" i="14"/>
  <c r="D863" i="34" s="1"/>
  <c r="D1786" i="34"/>
  <c r="AB16" i="21"/>
  <c r="D1868" i="34"/>
  <c r="D1989" i="34"/>
  <c r="F22" i="2"/>
  <c r="C20" i="46" s="1"/>
  <c r="F7" i="2"/>
  <c r="C5" i="46" s="1"/>
  <c r="AB24" i="21"/>
  <c r="W16" i="14"/>
  <c r="Y16" i="14" s="1"/>
  <c r="D275" i="34" s="1"/>
  <c r="H14" i="21"/>
  <c r="I14" i="21" s="1"/>
  <c r="AB14" i="21" s="1"/>
  <c r="W17" i="14"/>
  <c r="H15" i="21"/>
  <c r="I15" i="21" s="1"/>
  <c r="X16" i="14"/>
  <c r="W12" i="14"/>
  <c r="H10" i="21"/>
  <c r="I10" i="21" s="1"/>
  <c r="AB10" i="21" s="1"/>
  <c r="W19" i="14"/>
  <c r="Y19" i="14" s="1"/>
  <c r="D461" i="34" s="1"/>
  <c r="H17" i="21"/>
  <c r="I17" i="21" s="1"/>
  <c r="AB17" i="21" s="1"/>
  <c r="Y21" i="14"/>
  <c r="D591" i="34" s="1"/>
  <c r="W22" i="14"/>
  <c r="Y22" i="14" s="1"/>
  <c r="D657" i="34" s="1"/>
  <c r="H20" i="21"/>
  <c r="I20" i="21" s="1"/>
  <c r="AB20" i="21" s="1"/>
  <c r="D323" i="34"/>
  <c r="D783" i="34"/>
  <c r="X25" i="14"/>
  <c r="F12" i="14"/>
  <c r="X12" i="14" s="1"/>
  <c r="D2065" i="34"/>
  <c r="F20" i="14"/>
  <c r="G20" i="14" s="1"/>
  <c r="G33" i="14"/>
  <c r="G41" i="14"/>
  <c r="G27" i="14"/>
  <c r="G34" i="14"/>
  <c r="G18" i="14"/>
  <c r="Y18" i="14" s="1"/>
  <c r="D399" i="34" s="1"/>
  <c r="X18" i="14"/>
  <c r="X22" i="14"/>
  <c r="G24" i="14"/>
  <c r="G17" i="14"/>
  <c r="D64" i="34"/>
  <c r="D150" i="34"/>
  <c r="S40" i="14"/>
  <c r="F41" i="13"/>
  <c r="S39" i="14"/>
  <c r="F40" i="13"/>
  <c r="S38" i="14"/>
  <c r="F39" i="13"/>
  <c r="S37" i="14"/>
  <c r="J35" i="21" s="1"/>
  <c r="K35" i="21" s="1"/>
  <c r="F38" i="13"/>
  <c r="S35" i="14"/>
  <c r="J33" i="21" s="1"/>
  <c r="K33" i="21" s="1"/>
  <c r="F36" i="13"/>
  <c r="D865" i="34"/>
  <c r="D401" i="34"/>
  <c r="V27" i="14"/>
  <c r="V23" i="14"/>
  <c r="V33" i="14"/>
  <c r="E39" i="21"/>
  <c r="F39" i="21" s="1"/>
  <c r="G39" i="21" s="1"/>
  <c r="AC11" i="21"/>
  <c r="R38" i="14"/>
  <c r="R40" i="14"/>
  <c r="R34" i="14"/>
  <c r="R39" i="14"/>
  <c r="R36" i="14"/>
  <c r="R41" i="14"/>
  <c r="R37" i="14"/>
  <c r="R35" i="14"/>
  <c r="D37" i="2"/>
  <c r="B35" i="46" s="1"/>
  <c r="D36" i="2"/>
  <c r="B34" i="46" s="1"/>
  <c r="D35" i="2"/>
  <c r="B33" i="46" s="1"/>
  <c r="D34" i="2"/>
  <c r="B32" i="46" s="1"/>
  <c r="D33" i="2"/>
  <c r="B31" i="46" s="1"/>
  <c r="D32" i="2"/>
  <c r="B30" i="46" s="1"/>
  <c r="D31" i="2"/>
  <c r="B29" i="46" s="1"/>
  <c r="D30" i="2"/>
  <c r="B28" i="46" s="1"/>
  <c r="E41" i="21"/>
  <c r="F41" i="21" s="1"/>
  <c r="G41" i="21" s="1"/>
  <c r="K33" i="2"/>
  <c r="E35" i="21"/>
  <c r="K32" i="2"/>
  <c r="L33" i="2" l="1"/>
  <c r="E31" i="46"/>
  <c r="L32" i="2"/>
  <c r="E30" i="46"/>
  <c r="D1964" i="34"/>
  <c r="D1673" i="34"/>
  <c r="D2033" i="34"/>
  <c r="D1846" i="34"/>
  <c r="D1906" i="34"/>
  <c r="F9" i="2"/>
  <c r="C7" i="46" s="1"/>
  <c r="F15" i="2"/>
  <c r="C13" i="46" s="1"/>
  <c r="F14" i="2"/>
  <c r="C12" i="46" s="1"/>
  <c r="F12" i="2"/>
  <c r="C10" i="46" s="1"/>
  <c r="F21" i="2"/>
  <c r="C19" i="46" s="1"/>
  <c r="F18" i="2"/>
  <c r="C16" i="46" s="1"/>
  <c r="F17" i="2"/>
  <c r="C15" i="46" s="1"/>
  <c r="X40" i="14"/>
  <c r="J38" i="21"/>
  <c r="K38" i="21" s="1"/>
  <c r="W27" i="14"/>
  <c r="H25" i="21"/>
  <c r="I25" i="21" s="1"/>
  <c r="X38" i="14"/>
  <c r="J36" i="21"/>
  <c r="K36" i="21" s="1"/>
  <c r="X33" i="14"/>
  <c r="H31" i="21"/>
  <c r="I31" i="21" s="1"/>
  <c r="AB31" i="21" s="1"/>
  <c r="W23" i="14"/>
  <c r="H21" i="21"/>
  <c r="I21" i="21" s="1"/>
  <c r="X39" i="14"/>
  <c r="J37" i="21"/>
  <c r="K37" i="21" s="1"/>
  <c r="G12" i="14"/>
  <c r="Y12" i="14" s="1"/>
  <c r="D96" i="34" s="1"/>
  <c r="W33" i="14"/>
  <c r="Y33" i="14" s="1"/>
  <c r="D1486" i="34" s="1"/>
  <c r="D1635" i="34"/>
  <c r="T35" i="14"/>
  <c r="D1806" i="34"/>
  <c r="T37" i="14"/>
  <c r="D2010" i="34"/>
  <c r="T40" i="14"/>
  <c r="Y40" i="14" s="1"/>
  <c r="D2012" i="34" s="1"/>
  <c r="D1878" i="34"/>
  <c r="T38" i="14"/>
  <c r="Y38" i="14" s="1"/>
  <c r="D1880" i="34" s="1"/>
  <c r="D1936" i="34"/>
  <c r="T39" i="14"/>
  <c r="Y39" i="14" s="1"/>
  <c r="D1938" i="34" s="1"/>
  <c r="H9" i="2"/>
  <c r="D7" i="46" s="1"/>
  <c r="D470" i="34"/>
  <c r="E38" i="21"/>
  <c r="F38" i="21" s="1"/>
  <c r="AC17" i="21"/>
  <c r="C37" i="21"/>
  <c r="F37" i="21" s="1"/>
  <c r="G37" i="21" s="1"/>
  <c r="V43" i="14"/>
  <c r="H41" i="21" s="1"/>
  <c r="I41" i="21" s="1"/>
  <c r="AB41" i="21" s="1"/>
  <c r="V41" i="14"/>
  <c r="H39" i="21" s="1"/>
  <c r="I39" i="21" s="1"/>
  <c r="AB39" i="21" s="1"/>
  <c r="C36" i="21"/>
  <c r="F36" i="21" s="1"/>
  <c r="G36" i="21" s="1"/>
  <c r="AC9" i="21"/>
  <c r="K30" i="2"/>
  <c r="K31" i="2"/>
  <c r="Q14" i="14"/>
  <c r="Q15" i="14"/>
  <c r="Q17" i="14"/>
  <c r="Q20" i="14"/>
  <c r="Q23" i="14"/>
  <c r="Q24" i="14"/>
  <c r="Q27" i="14"/>
  <c r="Q28" i="14"/>
  <c r="Q29" i="14"/>
  <c r="Q30" i="14"/>
  <c r="Q31" i="14"/>
  <c r="P8" i="2"/>
  <c r="P28" i="2"/>
  <c r="K8" i="2"/>
  <c r="K24" i="2"/>
  <c r="K25" i="2"/>
  <c r="K26" i="2"/>
  <c r="K28" i="2"/>
  <c r="K29" i="2"/>
  <c r="O6" i="2"/>
  <c r="B6" i="2"/>
  <c r="B11" i="13"/>
  <c r="AB36" i="21" l="1"/>
  <c r="G38" i="21"/>
  <c r="AB38" i="21" s="1"/>
  <c r="L29" i="2"/>
  <c r="E27" i="46"/>
  <c r="L26" i="2"/>
  <c r="E24" i="46"/>
  <c r="L28" i="2"/>
  <c r="E26" i="46"/>
  <c r="P6" i="2"/>
  <c r="G4" i="46"/>
  <c r="L30" i="2"/>
  <c r="E28" i="46"/>
  <c r="L31" i="2"/>
  <c r="E29" i="46"/>
  <c r="L25" i="2"/>
  <c r="E23" i="46"/>
  <c r="L24" i="2"/>
  <c r="E22" i="46"/>
  <c r="L8" i="2"/>
  <c r="E6" i="46"/>
  <c r="F34" i="2"/>
  <c r="C32" i="46" s="1"/>
  <c r="F29" i="2"/>
  <c r="C27" i="46" s="1"/>
  <c r="D501" i="34"/>
  <c r="AB37" i="21"/>
  <c r="D700" i="34"/>
  <c r="D1299" i="34"/>
  <c r="D315" i="34"/>
  <c r="F36" i="2"/>
  <c r="C34" i="46" s="1"/>
  <c r="F8" i="2"/>
  <c r="C6" i="46" s="1"/>
  <c r="D1235" i="34"/>
  <c r="D216" i="34"/>
  <c r="F35" i="2"/>
  <c r="C33" i="46" s="1"/>
  <c r="W41" i="14"/>
  <c r="Y41" i="14" s="1"/>
  <c r="D2088" i="34" s="1"/>
  <c r="X41" i="14"/>
  <c r="W43" i="14"/>
  <c r="Y43" i="14" s="1"/>
  <c r="D2268" i="34" s="1"/>
  <c r="X43" i="14"/>
  <c r="H7" i="2"/>
  <c r="D5" i="46" s="1"/>
  <c r="H15" i="2"/>
  <c r="D13" i="46" s="1"/>
  <c r="D408" i="34"/>
  <c r="D666" i="34"/>
  <c r="E34" i="21"/>
  <c r="F30" i="13"/>
  <c r="D1136" i="34"/>
  <c r="F29" i="13"/>
  <c r="D1054" i="34"/>
  <c r="S31" i="14"/>
  <c r="J29" i="21" s="1"/>
  <c r="K29" i="21" s="1"/>
  <c r="F32" i="13"/>
  <c r="S30" i="14"/>
  <c r="J28" i="21" s="1"/>
  <c r="K28" i="21" s="1"/>
  <c r="F31" i="13"/>
  <c r="F28" i="13"/>
  <c r="D968" i="34"/>
  <c r="F25" i="13"/>
  <c r="D775" i="34"/>
  <c r="S23" i="14"/>
  <c r="F24" i="13"/>
  <c r="AC16" i="21"/>
  <c r="S20" i="14"/>
  <c r="J18" i="21" s="1"/>
  <c r="K18" i="21" s="1"/>
  <c r="AB18" i="21" s="1"/>
  <c r="F21" i="13"/>
  <c r="S17" i="14"/>
  <c r="J15" i="21" s="1"/>
  <c r="K15" i="21" s="1"/>
  <c r="AB15" i="21" s="1"/>
  <c r="F18" i="13"/>
  <c r="S15" i="14"/>
  <c r="J13" i="21" s="1"/>
  <c r="K13" i="21" s="1"/>
  <c r="AB13" i="21" s="1"/>
  <c r="F16" i="13"/>
  <c r="F15" i="13"/>
  <c r="D175" i="34"/>
  <c r="D10" i="2"/>
  <c r="S14" i="14"/>
  <c r="J12" i="21" s="1"/>
  <c r="K12" i="21" s="1"/>
  <c r="D23" i="2"/>
  <c r="B21" i="46" s="1"/>
  <c r="S27" i="14"/>
  <c r="J25" i="21" s="1"/>
  <c r="K25" i="21" s="1"/>
  <c r="AB25" i="21" s="1"/>
  <c r="D24" i="2"/>
  <c r="B22" i="46" s="1"/>
  <c r="S28" i="14"/>
  <c r="J26" i="21" s="1"/>
  <c r="K26" i="21" s="1"/>
  <c r="D25" i="2"/>
  <c r="B23" i="46" s="1"/>
  <c r="S29" i="14"/>
  <c r="J27" i="21" s="1"/>
  <c r="K27" i="21" s="1"/>
  <c r="D20" i="2"/>
  <c r="B18" i="46" s="1"/>
  <c r="S24" i="14"/>
  <c r="J22" i="21" s="1"/>
  <c r="K22" i="21" s="1"/>
  <c r="AB22" i="21" s="1"/>
  <c r="AC20" i="21"/>
  <c r="V37" i="14"/>
  <c r="H35" i="21" s="1"/>
  <c r="I35" i="21" s="1"/>
  <c r="E28" i="21"/>
  <c r="F28" i="21" s="1"/>
  <c r="G28" i="21" s="1"/>
  <c r="D19" i="2"/>
  <c r="B17" i="46" s="1"/>
  <c r="H45" i="13"/>
  <c r="H27" i="13"/>
  <c r="D16" i="2"/>
  <c r="B14" i="46" s="1"/>
  <c r="D11" i="2"/>
  <c r="B9" i="46" s="1"/>
  <c r="D8" i="2"/>
  <c r="B6" i="46" s="1"/>
  <c r="H26" i="13"/>
  <c r="H22" i="13"/>
  <c r="H23" i="13"/>
  <c r="E30" i="21"/>
  <c r="F30" i="21" s="1"/>
  <c r="G30" i="21" s="1"/>
  <c r="D26" i="2"/>
  <c r="B24" i="46" s="1"/>
  <c r="R30" i="14"/>
  <c r="R24" i="14"/>
  <c r="R29" i="14"/>
  <c r="R15" i="14"/>
  <c r="R32" i="14"/>
  <c r="R28" i="14"/>
  <c r="R20" i="14"/>
  <c r="R14" i="14"/>
  <c r="D12" i="2"/>
  <c r="B10" i="46" s="1"/>
  <c r="R16" i="14"/>
  <c r="D29" i="2"/>
  <c r="R33" i="14"/>
  <c r="R23" i="14"/>
  <c r="D27" i="2"/>
  <c r="B25" i="46" s="1"/>
  <c r="R31" i="14"/>
  <c r="R27" i="14"/>
  <c r="D13" i="2"/>
  <c r="R17" i="14"/>
  <c r="R12" i="14"/>
  <c r="D6" i="2"/>
  <c r="H44" i="13"/>
  <c r="H43" i="13"/>
  <c r="H41" i="13"/>
  <c r="H42" i="13"/>
  <c r="D28" i="2"/>
  <c r="H37" i="13"/>
  <c r="H40" i="13"/>
  <c r="H39" i="13"/>
  <c r="H36" i="13"/>
  <c r="H38" i="13"/>
  <c r="H34" i="13"/>
  <c r="H33" i="13"/>
  <c r="C32" i="21"/>
  <c r="H35" i="13"/>
  <c r="H13" i="13"/>
  <c r="E10" i="2" l="1"/>
  <c r="B8" i="46"/>
  <c r="E13" i="2"/>
  <c r="B11" i="46"/>
  <c r="E6" i="2"/>
  <c r="B4" i="46"/>
  <c r="G46" i="46"/>
  <c r="D205" i="34"/>
  <c r="D207" i="34" s="1"/>
  <c r="D760" i="34"/>
  <c r="D251" i="34"/>
  <c r="D253" i="34" s="1"/>
  <c r="D824" i="34"/>
  <c r="D1114" i="34"/>
  <c r="D1032" i="34"/>
  <c r="D1208" i="34"/>
  <c r="F39" i="2"/>
  <c r="C37" i="46" s="1"/>
  <c r="F37" i="2"/>
  <c r="C35" i="46" s="1"/>
  <c r="X23" i="14"/>
  <c r="J21" i="21"/>
  <c r="K21" i="21" s="1"/>
  <c r="T15" i="14"/>
  <c r="Y15" i="14" s="1"/>
  <c r="D227" i="34" s="1"/>
  <c r="X15" i="14"/>
  <c r="T27" i="14"/>
  <c r="Y27" i="14" s="1"/>
  <c r="D1003" i="34" s="1"/>
  <c r="X27" i="14"/>
  <c r="T17" i="14"/>
  <c r="Y17" i="14" s="1"/>
  <c r="D337" i="34" s="1"/>
  <c r="X17" i="14"/>
  <c r="W37" i="14"/>
  <c r="Y37" i="14" s="1"/>
  <c r="D1813" i="34" s="1"/>
  <c r="X37" i="14"/>
  <c r="T24" i="14"/>
  <c r="Y24" i="14" s="1"/>
  <c r="D799" i="34" s="1"/>
  <c r="X24" i="14"/>
  <c r="T20" i="14"/>
  <c r="Y20" i="14" s="1"/>
  <c r="D525" i="34" s="1"/>
  <c r="X20" i="14"/>
  <c r="D1081" i="34"/>
  <c r="T28" i="14"/>
  <c r="T23" i="14"/>
  <c r="Y23" i="14" s="1"/>
  <c r="D731" i="34" s="1"/>
  <c r="D1327" i="34"/>
  <c r="T31" i="14"/>
  <c r="D1165" i="34"/>
  <c r="T29" i="14"/>
  <c r="D1256" i="34"/>
  <c r="T30" i="14"/>
  <c r="D183" i="34"/>
  <c r="T14" i="14"/>
  <c r="D1513" i="34"/>
  <c r="D622" i="34"/>
  <c r="H18" i="2"/>
  <c r="D16" i="46" s="1"/>
  <c r="D1969" i="34"/>
  <c r="D2116" i="34"/>
  <c r="D2040" i="34"/>
  <c r="D892" i="34"/>
  <c r="D1439" i="34"/>
  <c r="H14" i="2"/>
  <c r="D12" i="46" s="1"/>
  <c r="D2384" i="34"/>
  <c r="D1853" i="34"/>
  <c r="D688" i="34"/>
  <c r="D1911" i="34"/>
  <c r="D1768" i="34"/>
  <c r="D304" i="34"/>
  <c r="D1597" i="34"/>
  <c r="D2216" i="34"/>
  <c r="D1680" i="34"/>
  <c r="D2312" i="34"/>
  <c r="D600" i="34"/>
  <c r="H30" i="13"/>
  <c r="D1356" i="34"/>
  <c r="D1349" i="34"/>
  <c r="D32" i="13" s="1"/>
  <c r="H31" i="13"/>
  <c r="D1278" i="34"/>
  <c r="H29" i="13"/>
  <c r="H28" i="13"/>
  <c r="E33" i="21"/>
  <c r="F33" i="21" s="1"/>
  <c r="D986" i="34"/>
  <c r="H25" i="13"/>
  <c r="D789" i="34"/>
  <c r="H24" i="13"/>
  <c r="D718" i="34"/>
  <c r="H21" i="13"/>
  <c r="D552" i="34"/>
  <c r="D515" i="34"/>
  <c r="H18" i="13"/>
  <c r="D362" i="34"/>
  <c r="D329" i="34"/>
  <c r="H15" i="13"/>
  <c r="H16" i="13"/>
  <c r="D224" i="34"/>
  <c r="H20" i="13"/>
  <c r="H19" i="13"/>
  <c r="AC19" i="21"/>
  <c r="V35" i="14"/>
  <c r="H33" i="21" s="1"/>
  <c r="I33" i="21" s="1"/>
  <c r="V36" i="14"/>
  <c r="H34" i="21" s="1"/>
  <c r="I34" i="21" s="1"/>
  <c r="V30" i="14"/>
  <c r="E20" i="2"/>
  <c r="E12" i="2"/>
  <c r="E27" i="2"/>
  <c r="E26" i="2"/>
  <c r="E24" i="2"/>
  <c r="E25" i="2"/>
  <c r="E8" i="2"/>
  <c r="E40" i="2"/>
  <c r="E22" i="2"/>
  <c r="E39" i="2"/>
  <c r="E18" i="2"/>
  <c r="E21" i="2"/>
  <c r="E17" i="2"/>
  <c r="E9" i="2"/>
  <c r="E38" i="2"/>
  <c r="E32" i="2"/>
  <c r="E30" i="2"/>
  <c r="E33" i="2"/>
  <c r="E34" i="2"/>
  <c r="E31" i="2"/>
  <c r="E35" i="2"/>
  <c r="E37" i="2"/>
  <c r="E36" i="2"/>
  <c r="E19" i="2"/>
  <c r="E28" i="2"/>
  <c r="E29" i="2"/>
  <c r="E16" i="2"/>
  <c r="E11" i="2"/>
  <c r="E23" i="2"/>
  <c r="E26" i="21"/>
  <c r="F26" i="21" s="1"/>
  <c r="G26" i="21" s="1"/>
  <c r="C34" i="21"/>
  <c r="F34" i="21" s="1"/>
  <c r="C35" i="21"/>
  <c r="F35" i="21" s="1"/>
  <c r="E32" i="21"/>
  <c r="F32" i="21" s="1"/>
  <c r="G32" i="21" s="1"/>
  <c r="AB21" i="21" l="1"/>
  <c r="AC21" i="21" s="1"/>
  <c r="G41" i="46"/>
  <c r="G35" i="21"/>
  <c r="AB35" i="21" s="1"/>
  <c r="G34" i="21"/>
  <c r="AB34" i="21" s="1"/>
  <c r="G33" i="21"/>
  <c r="AB33" i="21" s="1"/>
  <c r="B41" i="46"/>
  <c r="F16" i="2"/>
  <c r="C14" i="46" s="1"/>
  <c r="F23" i="2"/>
  <c r="C21" i="46" s="1"/>
  <c r="F20" i="2"/>
  <c r="C18" i="46" s="1"/>
  <c r="F11" i="2"/>
  <c r="C9" i="46" s="1"/>
  <c r="F19" i="2"/>
  <c r="C17" i="46" s="1"/>
  <c r="F33" i="2"/>
  <c r="C31" i="46" s="1"/>
  <c r="F13" i="2"/>
  <c r="C11" i="46" s="1"/>
  <c r="W30" i="14"/>
  <c r="Y30" i="14" s="1"/>
  <c r="D1261" i="34" s="1"/>
  <c r="H28" i="21"/>
  <c r="I28" i="21" s="1"/>
  <c r="AB28" i="21" s="1"/>
  <c r="W35" i="14"/>
  <c r="Y35" i="14" s="1"/>
  <c r="D1642" i="34" s="1"/>
  <c r="X35" i="14"/>
  <c r="X30" i="14"/>
  <c r="W36" i="14"/>
  <c r="Y36" i="14" s="1"/>
  <c r="D1725" i="34" s="1"/>
  <c r="X36" i="14"/>
  <c r="D1036" i="34"/>
  <c r="D366" i="34"/>
  <c r="D1283" i="34"/>
  <c r="H17" i="2"/>
  <c r="D15" i="46" s="1"/>
  <c r="D1217" i="34"/>
  <c r="D764" i="34"/>
  <c r="D556" i="34"/>
  <c r="D1119" i="34"/>
  <c r="D828" i="34"/>
  <c r="D105" i="34"/>
  <c r="D740" i="34"/>
  <c r="D284" i="34"/>
  <c r="D872" i="34"/>
  <c r="D936" i="34"/>
  <c r="D534" i="34"/>
  <c r="D236" i="34"/>
  <c r="D346" i="34"/>
  <c r="K27" i="2"/>
  <c r="D1355" i="34"/>
  <c r="E32" i="13" s="1"/>
  <c r="D428" i="34"/>
  <c r="D490" i="34"/>
  <c r="AC23" i="21"/>
  <c r="AC24" i="21"/>
  <c r="V34" i="14"/>
  <c r="H32" i="21" s="1"/>
  <c r="I32" i="21" s="1"/>
  <c r="AB32" i="21" s="1"/>
  <c r="V31" i="14"/>
  <c r="H29" i="21" s="1"/>
  <c r="I29" i="21" s="1"/>
  <c r="V28" i="14"/>
  <c r="H26" i="21" s="1"/>
  <c r="I26" i="21" s="1"/>
  <c r="AB26" i="21" s="1"/>
  <c r="AC13" i="21"/>
  <c r="AC14" i="21"/>
  <c r="AC15" i="21"/>
  <c r="AC10" i="21"/>
  <c r="AC18" i="21"/>
  <c r="E27" i="21"/>
  <c r="F27" i="21" s="1"/>
  <c r="G27" i="21" s="1"/>
  <c r="L27" i="2" l="1"/>
  <c r="E25" i="46"/>
  <c r="F31" i="2"/>
  <c r="C29" i="46" s="1"/>
  <c r="F26" i="2"/>
  <c r="C24" i="46" s="1"/>
  <c r="F32" i="2"/>
  <c r="C30" i="46" s="1"/>
  <c r="W28" i="14"/>
  <c r="Y28" i="14" s="1"/>
  <c r="D1089" i="34" s="1"/>
  <c r="X28" i="14"/>
  <c r="W31" i="14"/>
  <c r="Y31" i="14" s="1"/>
  <c r="D1335" i="34" s="1"/>
  <c r="X31" i="14"/>
  <c r="W34" i="14"/>
  <c r="Y34" i="14" s="1"/>
  <c r="D1558" i="34" s="1"/>
  <c r="X34" i="14"/>
  <c r="H22" i="2"/>
  <c r="D20" i="46" s="1"/>
  <c r="H13" i="2"/>
  <c r="D11" i="46" s="1"/>
  <c r="H8" i="2"/>
  <c r="D6" i="46" s="1"/>
  <c r="H11" i="2"/>
  <c r="D9" i="46" s="1"/>
  <c r="H19" i="2"/>
  <c r="D17" i="46" s="1"/>
  <c r="H16" i="2"/>
  <c r="D14" i="46" s="1"/>
  <c r="H21" i="2"/>
  <c r="D19" i="46" s="1"/>
  <c r="H12" i="2"/>
  <c r="D10" i="46" s="1"/>
  <c r="D808" i="34"/>
  <c r="D1012" i="34"/>
  <c r="E29" i="21"/>
  <c r="F29" i="21" s="1"/>
  <c r="D1365" i="34"/>
  <c r="G32" i="13" s="1"/>
  <c r="H32" i="13" s="1"/>
  <c r="AC22" i="21"/>
  <c r="AC25" i="21"/>
  <c r="V29" i="14"/>
  <c r="H27" i="21" s="1"/>
  <c r="I27" i="21" s="1"/>
  <c r="AB27" i="21" s="1"/>
  <c r="V32" i="14"/>
  <c r="H30" i="21" s="1"/>
  <c r="I30" i="21" s="1"/>
  <c r="AB30" i="21" s="1"/>
  <c r="G29" i="21" l="1"/>
  <c r="AB29" i="21" s="1"/>
  <c r="E41" i="46"/>
  <c r="E44" i="46"/>
  <c r="G44" i="46"/>
  <c r="F30" i="2"/>
  <c r="C28" i="46" s="1"/>
  <c r="AA54" i="18"/>
  <c r="I8" i="2" s="1"/>
  <c r="F27" i="2"/>
  <c r="C25" i="46" s="1"/>
  <c r="F24" i="2"/>
  <c r="C22" i="46" s="1"/>
  <c r="W29" i="14"/>
  <c r="Y29" i="14" s="1"/>
  <c r="D1173" i="34" s="1"/>
  <c r="X29" i="14"/>
  <c r="W32" i="14"/>
  <c r="Y32" i="14" s="1"/>
  <c r="D1412" i="34" s="1"/>
  <c r="X32" i="14"/>
  <c r="D1366" i="34"/>
  <c r="H23" i="2"/>
  <c r="D21" i="46" s="1"/>
  <c r="H20" i="2"/>
  <c r="D18" i="46" s="1"/>
  <c r="I12" i="2" l="1"/>
  <c r="I13" i="2"/>
  <c r="F28" i="2"/>
  <c r="C26" i="46" s="1"/>
  <c r="F25" i="2"/>
  <c r="C23" i="46" s="1"/>
  <c r="D1421" i="34"/>
  <c r="D1651" i="34"/>
  <c r="D1344" i="34"/>
  <c r="D1191" i="34"/>
  <c r="AC30" i="21"/>
  <c r="AC33" i="21"/>
  <c r="AC29" i="21"/>
  <c r="AC27" i="21"/>
  <c r="J46" i="46" l="1"/>
  <c r="J49" i="46"/>
  <c r="J41" i="46"/>
  <c r="H28" i="2"/>
  <c r="D26" i="46" s="1"/>
  <c r="H27" i="2"/>
  <c r="D25" i="46" s="1"/>
  <c r="H25" i="2"/>
  <c r="D23" i="46" s="1"/>
  <c r="H31" i="2"/>
  <c r="D29" i="46" s="1"/>
  <c r="D1270" i="34"/>
  <c r="D1495" i="34"/>
  <c r="AC28" i="21"/>
  <c r="AC31" i="21"/>
  <c r="M6" i="2"/>
  <c r="F4" i="46" s="1"/>
  <c r="M14" i="2"/>
  <c r="F12" i="46" s="1"/>
  <c r="M11" i="2"/>
  <c r="F9" i="46" s="1"/>
  <c r="M32" i="2"/>
  <c r="M31" i="2"/>
  <c r="F29" i="46" s="1"/>
  <c r="M37" i="2"/>
  <c r="M29" i="2"/>
  <c r="F27" i="46" s="1"/>
  <c r="M28" i="2"/>
  <c r="F26" i="46" s="1"/>
  <c r="M22" i="2"/>
  <c r="F20" i="46" s="1"/>
  <c r="M35" i="2"/>
  <c r="F33" i="46" s="1"/>
  <c r="M8" i="2"/>
  <c r="F6" i="46" s="1"/>
  <c r="M18" i="2"/>
  <c r="F16" i="46" s="1"/>
  <c r="M30" i="2"/>
  <c r="F28" i="46" s="1"/>
  <c r="M17" i="2"/>
  <c r="F15" i="46" s="1"/>
  <c r="M21" i="2"/>
  <c r="F19" i="46" s="1"/>
  <c r="M20" i="2"/>
  <c r="F18" i="46" s="1"/>
  <c r="M26" i="2"/>
  <c r="F24" i="46" s="1"/>
  <c r="M39" i="2"/>
  <c r="M34" i="2"/>
  <c r="F32" i="46" s="1"/>
  <c r="M27" i="2"/>
  <c r="F25" i="46" s="1"/>
  <c r="M10" i="2"/>
  <c r="F8" i="46" s="1"/>
  <c r="M24" i="2"/>
  <c r="F22" i="46" s="1"/>
  <c r="M16" i="2"/>
  <c r="F14" i="46" s="1"/>
  <c r="M19" i="2"/>
  <c r="F17" i="46" s="1"/>
  <c r="M13" i="2"/>
  <c r="F11" i="46" s="1"/>
  <c r="M38" i="2"/>
  <c r="F36" i="46" s="1"/>
  <c r="M15" i="2"/>
  <c r="F13" i="46" s="1"/>
  <c r="M23" i="2"/>
  <c r="F21" i="46" s="1"/>
  <c r="M12" i="2"/>
  <c r="F10" i="46" s="1"/>
  <c r="M33" i="2"/>
  <c r="M25" i="2"/>
  <c r="F23" i="46" s="1"/>
  <c r="M7" i="2"/>
  <c r="F5" i="46" s="1"/>
  <c r="M9" i="2"/>
  <c r="F7" i="46" s="1"/>
  <c r="M36" i="2"/>
  <c r="F34" i="46" s="1"/>
  <c r="N39" i="2" l="1"/>
  <c r="F37" i="46"/>
  <c r="N33" i="2"/>
  <c r="F31" i="46"/>
  <c r="N32" i="2"/>
  <c r="F30" i="46"/>
  <c r="N37" i="2"/>
  <c r="F35" i="46"/>
  <c r="H29" i="2"/>
  <c r="D27" i="46" s="1"/>
  <c r="H26" i="2"/>
  <c r="D24" i="46" s="1"/>
  <c r="D1567" i="34"/>
  <c r="D1889" i="34"/>
  <c r="D1101" i="34"/>
  <c r="AC26" i="21"/>
  <c r="AC32" i="21"/>
  <c r="AC36" i="21"/>
  <c r="M40" i="2"/>
  <c r="N6" i="2" l="1"/>
  <c r="Q6" i="2" s="1"/>
  <c r="I4" i="46" s="1"/>
  <c r="F38" i="46"/>
  <c r="J45" i="46" s="1"/>
  <c r="N18" i="2"/>
  <c r="Q18" i="2" s="1"/>
  <c r="I16" i="46" s="1"/>
  <c r="N38" i="2"/>
  <c r="Q38" i="2" s="1"/>
  <c r="I36" i="46" s="1"/>
  <c r="N28" i="2"/>
  <c r="Q28" i="2" s="1"/>
  <c r="I26" i="46" s="1"/>
  <c r="N19" i="2"/>
  <c r="Q19" i="2" s="1"/>
  <c r="I17" i="46" s="1"/>
  <c r="N7" i="2"/>
  <c r="Q7" i="2" s="1"/>
  <c r="I5" i="46" s="1"/>
  <c r="N20" i="2"/>
  <c r="Q20" i="2" s="1"/>
  <c r="I18" i="46" s="1"/>
  <c r="N11" i="2"/>
  <c r="Q11" i="2" s="1"/>
  <c r="I9" i="46" s="1"/>
  <c r="N12" i="2"/>
  <c r="Q12" i="2" s="1"/>
  <c r="I10" i="46" s="1"/>
  <c r="N17" i="2"/>
  <c r="Q17" i="2" s="1"/>
  <c r="I15" i="46" s="1"/>
  <c r="N36" i="2"/>
  <c r="Q36" i="2" s="1"/>
  <c r="I34" i="46" s="1"/>
  <c r="N8" i="2"/>
  <c r="Q8" i="2" s="1"/>
  <c r="I6" i="46" s="1"/>
  <c r="N9" i="2"/>
  <c r="Q9" i="2" s="1"/>
  <c r="I7" i="46" s="1"/>
  <c r="N29" i="2"/>
  <c r="Q29" i="2" s="1"/>
  <c r="I27" i="46" s="1"/>
  <c r="N40" i="2"/>
  <c r="Q40" i="2" s="1"/>
  <c r="I38" i="46" s="1"/>
  <c r="N34" i="2"/>
  <c r="Q34" i="2" s="1"/>
  <c r="I32" i="46" s="1"/>
  <c r="N31" i="2"/>
  <c r="Q31" i="2" s="1"/>
  <c r="I29" i="46" s="1"/>
  <c r="N21" i="2"/>
  <c r="Q21" i="2" s="1"/>
  <c r="I19" i="46" s="1"/>
  <c r="N22" i="2"/>
  <c r="Q22" i="2" s="1"/>
  <c r="I20" i="46" s="1"/>
  <c r="N16" i="2"/>
  <c r="Q16" i="2" s="1"/>
  <c r="I14" i="46" s="1"/>
  <c r="N30" i="2"/>
  <c r="Q30" i="2" s="1"/>
  <c r="I28" i="46" s="1"/>
  <c r="N24" i="2"/>
  <c r="Q24" i="2" s="1"/>
  <c r="I22" i="46" s="1"/>
  <c r="N26" i="2"/>
  <c r="Q26" i="2" s="1"/>
  <c r="I24" i="46" s="1"/>
  <c r="N13" i="2"/>
  <c r="Q13" i="2" s="1"/>
  <c r="I11" i="46" s="1"/>
  <c r="N27" i="2"/>
  <c r="Q27" i="2" s="1"/>
  <c r="I25" i="46" s="1"/>
  <c r="N15" i="2"/>
  <c r="Q15" i="2" s="1"/>
  <c r="I13" i="46" s="1"/>
  <c r="N14" i="2"/>
  <c r="Q14" i="2" s="1"/>
  <c r="I12" i="46" s="1"/>
  <c r="N10" i="2"/>
  <c r="Q10" i="2" s="1"/>
  <c r="I8" i="46" s="1"/>
  <c r="N25" i="2"/>
  <c r="Q25" i="2" s="1"/>
  <c r="I23" i="46" s="1"/>
  <c r="N23" i="2"/>
  <c r="Q23" i="2" s="1"/>
  <c r="I21" i="46" s="1"/>
  <c r="N35" i="2"/>
  <c r="Q35" i="2" s="1"/>
  <c r="I33" i="46" s="1"/>
  <c r="H30" i="2"/>
  <c r="D28" i="46" s="1"/>
  <c r="H24" i="2"/>
  <c r="D22" i="46" s="1"/>
  <c r="H34" i="2"/>
  <c r="D32" i="46" s="1"/>
  <c r="D1734" i="34"/>
  <c r="Q37" i="2"/>
  <c r="I35" i="46" s="1"/>
  <c r="Q32" i="2"/>
  <c r="I30" i="46" s="1"/>
  <c r="Q39" i="2"/>
  <c r="I37" i="46" s="1"/>
  <c r="AC34" i="21"/>
  <c r="Q33" i="2"/>
  <c r="I31" i="46" s="1"/>
  <c r="V10" i="14"/>
  <c r="F41" i="46" l="1"/>
  <c r="G45" i="46"/>
  <c r="F45" i="46"/>
  <c r="F44" i="46"/>
  <c r="I48" i="46"/>
  <c r="I41" i="46"/>
  <c r="I44" i="46"/>
  <c r="I46" i="46"/>
  <c r="J48" i="46"/>
  <c r="I45" i="46"/>
  <c r="W10" i="14"/>
  <c r="H8" i="21"/>
  <c r="I8" i="21" s="1"/>
  <c r="H32" i="2"/>
  <c r="D30" i="46" s="1"/>
  <c r="D1822" i="34"/>
  <c r="D2097" i="34"/>
  <c r="AC39" i="21"/>
  <c r="AC35" i="21"/>
  <c r="H33" i="2" l="1"/>
  <c r="D31" i="46" s="1"/>
  <c r="H37" i="2"/>
  <c r="D35" i="46" s="1"/>
  <c r="D2363" i="34"/>
  <c r="D1947" i="34"/>
  <c r="AC37" i="21"/>
  <c r="AC42" i="21"/>
  <c r="V14" i="14"/>
  <c r="H12" i="21" s="1"/>
  <c r="I12" i="21" s="1"/>
  <c r="AB12" i="21" s="1"/>
  <c r="W14" i="14" l="1"/>
  <c r="Y14" i="14" s="1"/>
  <c r="D186" i="34" s="1"/>
  <c r="X14" i="14"/>
  <c r="H40" i="2"/>
  <c r="D38" i="46" s="1"/>
  <c r="H35" i="2"/>
  <c r="D33" i="46" s="1"/>
  <c r="D2186" i="34"/>
  <c r="D195" i="34"/>
  <c r="D2021" i="34"/>
  <c r="AC40" i="21"/>
  <c r="AC38" i="21"/>
  <c r="AC12" i="21"/>
  <c r="F10" i="2" l="1"/>
  <c r="C8" i="46" s="1"/>
  <c r="H10" i="2"/>
  <c r="D8" i="46" s="1"/>
  <c r="H38" i="2"/>
  <c r="D36" i="46" s="1"/>
  <c r="H36" i="2"/>
  <c r="D34" i="46" s="1"/>
  <c r="D2277" i="34"/>
  <c r="AC41" i="21"/>
  <c r="H39" i="2" l="1"/>
  <c r="D37" i="46" s="1"/>
  <c r="C8" i="21"/>
  <c r="P8" i="21"/>
  <c r="D8" i="21"/>
  <c r="F8" i="21" l="1"/>
  <c r="D18" i="34"/>
  <c r="D10" i="14"/>
  <c r="G8" i="21" l="1"/>
  <c r="AB8" i="21" s="1"/>
  <c r="F10" i="14"/>
  <c r="D11" i="34"/>
  <c r="G10" i="14" l="1"/>
  <c r="Y10" i="14" s="1"/>
  <c r="D16" i="34" s="1"/>
  <c r="AC8" i="21"/>
  <c r="H6" i="2" s="1"/>
  <c r="D4" i="46" s="1"/>
  <c r="D25" i="34"/>
  <c r="X10" i="14"/>
  <c r="I16" i="2"/>
  <c r="I19" i="2"/>
  <c r="I23" i="2"/>
  <c r="D41" i="46" l="1"/>
  <c r="D43" i="46"/>
  <c r="G43" i="46"/>
  <c r="E43" i="46"/>
  <c r="J43" i="46"/>
  <c r="I43" i="46"/>
  <c r="F43" i="46"/>
  <c r="F6" i="2"/>
  <c r="I30" i="2"/>
  <c r="I14" i="2"/>
  <c r="I27" i="2"/>
  <c r="I18" i="2"/>
  <c r="I7" i="2"/>
  <c r="I21" i="2"/>
  <c r="I37" i="2"/>
  <c r="I10" i="2"/>
  <c r="I15" i="2"/>
  <c r="I9" i="2"/>
  <c r="I22" i="2"/>
  <c r="I24" i="2"/>
  <c r="I35" i="2"/>
  <c r="I38" i="2"/>
  <c r="I36" i="2"/>
  <c r="I33" i="2"/>
  <c r="I32" i="2"/>
  <c r="I31" i="2"/>
  <c r="I39" i="2"/>
  <c r="I34" i="2"/>
  <c r="I29" i="2"/>
  <c r="I28" i="2"/>
  <c r="I25" i="2"/>
  <c r="I11" i="2"/>
  <c r="I20" i="2"/>
  <c r="I17" i="2"/>
  <c r="I40" i="2"/>
  <c r="I6" i="2"/>
  <c r="I26" i="2"/>
  <c r="G14" i="2" l="1"/>
  <c r="C4" i="46"/>
  <c r="G20" i="2"/>
  <c r="J20" i="2" s="1"/>
  <c r="H18" i="46" s="1"/>
  <c r="G36" i="2"/>
  <c r="J36" i="2" s="1"/>
  <c r="H34" i="46" s="1"/>
  <c r="G9" i="2"/>
  <c r="J9" i="2" s="1"/>
  <c r="H7" i="46" s="1"/>
  <c r="G31" i="2"/>
  <c r="J31" i="2" s="1"/>
  <c r="H29" i="46" s="1"/>
  <c r="G33" i="2"/>
  <c r="J33" i="2" s="1"/>
  <c r="H31" i="46" s="1"/>
  <c r="G29" i="2"/>
  <c r="J29" i="2" s="1"/>
  <c r="H27" i="46" s="1"/>
  <c r="G34" i="2"/>
  <c r="J34" i="2" s="1"/>
  <c r="H32" i="46" s="1"/>
  <c r="G30" i="2"/>
  <c r="J30" i="2" s="1"/>
  <c r="H28" i="46" s="1"/>
  <c r="G22" i="2"/>
  <c r="J22" i="2" s="1"/>
  <c r="H20" i="46" s="1"/>
  <c r="G25" i="2"/>
  <c r="J25" i="2" s="1"/>
  <c r="H23" i="46" s="1"/>
  <c r="G19" i="2"/>
  <c r="J19" i="2" s="1"/>
  <c r="H17" i="46" s="1"/>
  <c r="G27" i="2"/>
  <c r="J27" i="2" s="1"/>
  <c r="H25" i="46" s="1"/>
  <c r="G10" i="2"/>
  <c r="J10" i="2" s="1"/>
  <c r="H8" i="46" s="1"/>
  <c r="G7" i="2"/>
  <c r="J7" i="2" s="1"/>
  <c r="H5" i="46" s="1"/>
  <c r="G39" i="2"/>
  <c r="J39" i="2" s="1"/>
  <c r="H37" i="46" s="1"/>
  <c r="G23" i="2"/>
  <c r="J23" i="2" s="1"/>
  <c r="H21" i="46" s="1"/>
  <c r="G40" i="2"/>
  <c r="J40" i="2" s="1"/>
  <c r="H38" i="46" s="1"/>
  <c r="G32" i="2"/>
  <c r="J32" i="2" s="1"/>
  <c r="H30" i="46" s="1"/>
  <c r="G28" i="2"/>
  <c r="J28" i="2" s="1"/>
  <c r="H26" i="46" s="1"/>
  <c r="G26" i="2"/>
  <c r="J26" i="2" s="1"/>
  <c r="H24" i="46" s="1"/>
  <c r="G18" i="2"/>
  <c r="J18" i="2" s="1"/>
  <c r="H16" i="46" s="1"/>
  <c r="G38" i="2"/>
  <c r="J38" i="2" s="1"/>
  <c r="H36" i="46" s="1"/>
  <c r="G15" i="2"/>
  <c r="J15" i="2" s="1"/>
  <c r="H13" i="46" s="1"/>
  <c r="G35" i="2"/>
  <c r="J35" i="2" s="1"/>
  <c r="H33" i="46" s="1"/>
  <c r="G16" i="2"/>
  <c r="J16" i="2" s="1"/>
  <c r="H14" i="46" s="1"/>
  <c r="G37" i="2"/>
  <c r="J37" i="2" s="1"/>
  <c r="H35" i="46" s="1"/>
  <c r="G24" i="2"/>
  <c r="J24" i="2" s="1"/>
  <c r="H22" i="46" s="1"/>
  <c r="G11" i="2"/>
  <c r="J11" i="2" s="1"/>
  <c r="H9" i="46" s="1"/>
  <c r="G12" i="2"/>
  <c r="J12" i="2" s="1"/>
  <c r="H10" i="46" s="1"/>
  <c r="G21" i="2"/>
  <c r="J21" i="2" s="1"/>
  <c r="H19" i="46" s="1"/>
  <c r="G6" i="2"/>
  <c r="J6" i="2" s="1"/>
  <c r="H4" i="46" s="1"/>
  <c r="G13" i="2"/>
  <c r="J13" i="2" s="1"/>
  <c r="H11" i="46" s="1"/>
  <c r="G8" i="2"/>
  <c r="J8" i="2" s="1"/>
  <c r="H6" i="46" s="1"/>
  <c r="G17" i="2"/>
  <c r="J17" i="2" s="1"/>
  <c r="H15" i="46" s="1"/>
  <c r="J14" i="2"/>
  <c r="H12" i="46" s="1"/>
  <c r="D42" i="46" l="1"/>
  <c r="H42" i="46"/>
  <c r="C41" i="46"/>
  <c r="C42" i="46"/>
  <c r="G42" i="46"/>
  <c r="E42" i="46"/>
  <c r="J42" i="46"/>
  <c r="I42" i="46"/>
  <c r="F42" i="46"/>
  <c r="H47" i="46"/>
  <c r="H41" i="46"/>
  <c r="H46" i="46"/>
  <c r="H44" i="46"/>
  <c r="J47" i="46"/>
  <c r="H45" i="46"/>
  <c r="I47" i="46"/>
  <c r="H43" i="46"/>
  <c r="L44" i="46"/>
  <c r="L41" i="46"/>
  <c r="L42" i="46"/>
  <c r="L49" i="46"/>
  <c r="L46" i="46"/>
  <c r="L48" i="46"/>
  <c r="L47" i="46"/>
  <c r="L43" i="46"/>
  <c r="L45" i="46"/>
  <c r="L51" i="46"/>
  <c r="M44" i="46"/>
  <c r="M47" i="46"/>
  <c r="M43" i="46"/>
  <c r="M52" i="46"/>
  <c r="M46" i="46"/>
  <c r="M42" i="46"/>
  <c r="M49" i="46"/>
  <c r="M48" i="46"/>
  <c r="M45" i="46"/>
  <c r="M41" i="46"/>
  <c r="M51" i="46"/>
  <c r="M50" i="46" l="1"/>
  <c r="L50" i="46" l="1"/>
  <c r="K47" i="46"/>
  <c r="K41" i="46"/>
  <c r="K44" i="46"/>
  <c r="K48" i="46"/>
  <c r="K42" i="46"/>
  <c r="K45" i="46"/>
  <c r="K50" i="46"/>
  <c r="K49" i="46"/>
  <c r="K46" i="46"/>
  <c r="K43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tc={62E921B2-8E44-440A-AD89-B0BD56A79A9F}</author>
    <author>tc={9533CB85-764B-1E4A-A110-D1BB7C24E30A}</author>
  </authors>
  <commentList>
    <comment ref="P1" authorId="0" shapeId="0" xr:uid="{62E921B2-8E44-440A-AD89-B0BD56A79A9F}">
      <text>
        <t>[Threaded comment]
Your version of Excel allows you to read this threaded comment; however, any edits to it will get removed if the file is opened in a newer version of Excel. Learn more: https://go.microsoft.com/fwlink/?linkid=870924
Comment:
    Suh and Rousseaux 2002</t>
      </text>
    </comment>
    <comment ref="S1" authorId="1" shapeId="0" xr:uid="{9533CB85-764B-1E4A-A110-D1BB7C24E30A}">
      <text>
        <t>[Threaded comment]
Your version of Excel allows you to read this threaded comment; however, any edits to it will get removed if the file is opened in a newer version of Excel. Learn more: https://go.microsoft.com/fwlink/?linkid=870924
Comment:
    EIA conversion
https://www.eia.gov/energyexplained/units-and-calculators/energy-conversion-calculators.php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tc={90DA04A1-23CD-A346-9109-AA4C6518C393}</author>
    <author>tc={26B2AD78-CF2B-4469-A271-488DAF0D3912}</author>
    <author>tc={B47421AD-7DAB-094B-AFE5-5FCE90E592AC}</author>
  </authors>
  <commentList>
    <comment ref="H4" authorId="0" shapeId="0" xr:uid="{90DA04A1-23CD-A346-9109-AA4C6518C393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https://www.eia.gov/environment/emissions/co2_vol_mass.php
Reply:
    Date visited: 2/25/2022</t>
      </text>
    </comment>
    <comment ref="J4" authorId="1" shapeId="0" xr:uid="{26B2AD78-CF2B-4469-A271-488DAF0D3912}">
      <text>
        <t>[Threaded comment]
Your version of Excel allows you to read this threaded comment; however, any edits to it will get removed if the file is opened in a newer version of Excel. Learn more: https://go.microsoft.com/fwlink/?linkid=870924
Comment:
    Zhao et al. 2019</t>
      </text>
    </comment>
    <comment ref="L5" authorId="2" shapeId="0" xr:uid="{B47421AD-7DAB-094B-AFE5-5FCE90E592A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Zhao et la. 2019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tc={FF6A28C2-D368-864F-A6FA-85B17C14C91A}</author>
  </authors>
  <commentList>
    <comment ref="K5" authorId="0" shapeId="0" xr:uid="{FF6A28C2-D368-864F-A6FA-85B17C14C91A}">
      <text>
        <t>[Threaded comment]
Your version of Excel allows you to read this threaded comment; however, any edits to it will get removed if the file is opened in a newer version of Excel. Learn more: https://go.microsoft.com/fwlink/?linkid=870924
Comment:
    1.08 accounts for the 8% inflation between FY 2015 and 2019 per US Bureau of Labor Statistics.</t>
      </text>
    </comment>
  </commentList>
</comments>
</file>

<file path=xl/sharedStrings.xml><?xml version="1.0" encoding="utf-8"?>
<sst xmlns="http://schemas.openxmlformats.org/spreadsheetml/2006/main" count="6712" uniqueCount="1019">
  <si>
    <t>Vertical Line (Botton)</t>
  </si>
  <si>
    <t>Vertical Line (Top)</t>
  </si>
  <si>
    <t>Horizontal Line (Left)</t>
  </si>
  <si>
    <t>Horizontal Line (Right)</t>
  </si>
  <si>
    <t>Process</t>
  </si>
  <si>
    <t>End-Products</t>
  </si>
  <si>
    <t>TRL</t>
  </si>
  <si>
    <t>COMMERCIAL VIABILITY</t>
  </si>
  <si>
    <t>References</t>
  </si>
  <si>
    <t>Process System</t>
  </si>
  <si>
    <t>Biosolids</t>
  </si>
  <si>
    <t>Biogas, Digestate</t>
  </si>
  <si>
    <t>-</t>
  </si>
  <si>
    <t>Phos-rich Ash, Energy</t>
  </si>
  <si>
    <t>Hao et al. 2020</t>
  </si>
  <si>
    <t>Final %MC</t>
  </si>
  <si>
    <t>Transportation Energy Req.
(kWh/t DS)</t>
  </si>
  <si>
    <t>Snowden-Swan et al. 2017</t>
  </si>
  <si>
    <t>Snowden-Swan et al. 2020</t>
  </si>
  <si>
    <t>Do et al. 2020</t>
  </si>
  <si>
    <t>NET Energy Balance w/ Tranportation &amp; Products
(kWh/t DS)</t>
  </si>
  <si>
    <t>CAPEX
(USD/t DS·d)</t>
  </si>
  <si>
    <t>OPEX
(USD/t DS)</t>
  </si>
  <si>
    <t>Transportation &amp; Disposal Cost
(USD/t DS)</t>
  </si>
  <si>
    <t>Order Check</t>
  </si>
  <si>
    <t>ENV BENEFIT</t>
  </si>
  <si>
    <t>Revenue From End-Products
(USD/t DS)</t>
  </si>
  <si>
    <t>Revenue From Carbon Credits
(USD/t DS)</t>
  </si>
  <si>
    <t>Grade
(0-3)</t>
  </si>
  <si>
    <t>Total Grade</t>
  </si>
  <si>
    <t>ENV BENEFIT vs. COMMERCIAL VIABILITY</t>
  </si>
  <si>
    <t>Wet-weight of final residues
(Wet t/t DS)</t>
  </si>
  <si>
    <t xml:space="preserve">kg diesel/km-t wet sludge = </t>
  </si>
  <si>
    <t xml:space="preserve">density of diesel (lb/gal) = </t>
  </si>
  <si>
    <t xml:space="preserve">Energy Density of Diesel (Btu/gal) = </t>
  </si>
  <si>
    <t xml:space="preserve">lb/kg = </t>
  </si>
  <si>
    <t xml:space="preserve">Distance to final disposal (km) = </t>
  </si>
  <si>
    <t xml:space="preserve">Btu/kWh = </t>
  </si>
  <si>
    <t>Net operating profit
Revenue-OPEX
(USD/t DS)</t>
  </si>
  <si>
    <t xml:space="preserve">Energy Density of Diesel (kWh/kg) = </t>
  </si>
  <si>
    <t xml:space="preserve">Operating hours per typ day = </t>
  </si>
  <si>
    <t>CAPEX</t>
  </si>
  <si>
    <t>OPEX</t>
  </si>
  <si>
    <t xml:space="preserve">Operating hours per year = </t>
  </si>
  <si>
    <t xml:space="preserve">Operating days per year = </t>
  </si>
  <si>
    <t xml:space="preserve">Variable Costs (USD/yr) = </t>
  </si>
  <si>
    <t xml:space="preserve">Fixed Costs (USD/yr) = </t>
  </si>
  <si>
    <t xml:space="preserve">Biocrude market value (USD/kg) = </t>
  </si>
  <si>
    <t xml:space="preserve">Energy density of diesel (kWh/kg) = </t>
  </si>
  <si>
    <t xml:space="preserve">LHV of diesel (Btu/gal) = </t>
  </si>
  <si>
    <t xml:space="preserve">Density of diesel (lb/gal) = </t>
  </si>
  <si>
    <t xml:space="preserve">Selling price of diesel (USD/gal) = </t>
  </si>
  <si>
    <t xml:space="preserve">Selling price of diesel (USD/kg) = </t>
  </si>
  <si>
    <t>EIA April 19, 2021 Diesel price</t>
  </si>
  <si>
    <t xml:space="preserve">Selling price of naphtha (USD/tonne) = </t>
  </si>
  <si>
    <t>Trading Economics 2021</t>
  </si>
  <si>
    <t xml:space="preserve">Selling price of naphtha (USD/kg) = </t>
  </si>
  <si>
    <t xml:space="preserve">Biocrude market value (USD/barrel) = </t>
  </si>
  <si>
    <t>Van Doren et al. 2017</t>
  </si>
  <si>
    <t>EIA 2016, referenced in paper</t>
  </si>
  <si>
    <t xml:space="preserve">Tipping Fee (USD/wet metric tons) = </t>
  </si>
  <si>
    <t>(25-65 USD in CA)</t>
  </si>
  <si>
    <t>Net operating profit</t>
  </si>
  <si>
    <t xml:space="preserve">Fixed trucking cost (USD/m3) = </t>
  </si>
  <si>
    <t>M. Marufuzzaman et al. 2015</t>
  </si>
  <si>
    <t xml:space="preserve">Density of sludge (kg/m3) = </t>
  </si>
  <si>
    <t>Calculated</t>
  </si>
  <si>
    <t xml:space="preserve">Variable trucking cost (USD/m3/mi) = </t>
  </si>
  <si>
    <t xml:space="preserve">km/mi = </t>
  </si>
  <si>
    <t xml:space="preserve">Distance to disposal site (km) = </t>
  </si>
  <si>
    <t xml:space="preserve">Variable trucking cost (USD/wet metric ton) = </t>
  </si>
  <si>
    <t xml:space="preserve">Fixed trucking cost (USD/wet metric ton) = </t>
  </si>
  <si>
    <t xml:space="preserve">Total trasporation &amp; Disposal costs (USD/wet metric ton) = </t>
  </si>
  <si>
    <t>TD-Py</t>
  </si>
  <si>
    <t>Shahbeig and Nosrati 2020</t>
  </si>
  <si>
    <t>Lumely et al. 2014</t>
  </si>
  <si>
    <t>Do et al. 2018</t>
  </si>
  <si>
    <t>Xin et al. 2018</t>
  </si>
  <si>
    <t>(Wet t/t DS)</t>
  </si>
  <si>
    <t>Remaining wet-weight of final residues</t>
  </si>
  <si>
    <t>(kWh/t DS)</t>
  </si>
  <si>
    <t>(USD/t DS·d)</t>
  </si>
  <si>
    <t>(USD/t DS)</t>
  </si>
  <si>
    <t>(1-9)</t>
  </si>
  <si>
    <t>Net operating profit
(Revenue-OPEX)</t>
  </si>
  <si>
    <t>Total</t>
  </si>
  <si>
    <t>USD</t>
  </si>
  <si>
    <t>Assumed</t>
  </si>
  <si>
    <t>Table 4</t>
  </si>
  <si>
    <t>NIST Handbook 44 – Mass Flow Meters Appendix E - https://www.nist.gov/file/323701</t>
  </si>
  <si>
    <t>EIA</t>
  </si>
  <si>
    <t>Set Points</t>
  </si>
  <si>
    <t>Min:</t>
  </si>
  <si>
    <t>Max:</t>
  </si>
  <si>
    <t>NA</t>
  </si>
  <si>
    <t>N/A</t>
  </si>
  <si>
    <t>Medina-Martos et al. 2020</t>
  </si>
  <si>
    <t>CO2 Emissions</t>
  </si>
  <si>
    <t>ENERGY BALANCE</t>
  </si>
  <si>
    <t>Electricity Import 
(kWh/t DS)</t>
  </si>
  <si>
    <t>gal diesel/t DS</t>
  </si>
  <si>
    <t>CO2 EMISSIONS</t>
  </si>
  <si>
    <t>Waste residues disposed in landfill
(t DS waste/t DS)</t>
  </si>
  <si>
    <t>CO2 eqv of biocrude</t>
  </si>
  <si>
    <t>Hao et al. 2020; Zhao et al. 2019</t>
  </si>
  <si>
    <t>Hao et al. 2021</t>
  </si>
  <si>
    <t>Hao et al. 2022</t>
  </si>
  <si>
    <t>Hao et al. 2023</t>
  </si>
  <si>
    <t>Hao et al. 2024</t>
  </si>
  <si>
    <t>Hao et al. 2021; Zhao et al. 2019</t>
  </si>
  <si>
    <t>EPA 2020</t>
  </si>
  <si>
    <t>%</t>
  </si>
  <si>
    <t>Approximated for purpose of this TEA reaview.</t>
  </si>
  <si>
    <t>Waste residues land applied
(t DS waste/t DS)</t>
  </si>
  <si>
    <t>VS/TS waste Fraction (%)</t>
  </si>
  <si>
    <t xml:space="preserve">Solid phase yield (% dry ash free) = </t>
  </si>
  <si>
    <t>Electricity Export from LFG
(kWh/t DS)</t>
  </si>
  <si>
    <t>LHV of CH4
(MJ/kg)</t>
  </si>
  <si>
    <t>Conversion efficiency (%)</t>
  </si>
  <si>
    <t>CO2 eqv of N2O
(kg CO2e/kg N2O)</t>
  </si>
  <si>
    <t>CO2eqv of CH4
(kg CO2e/kg CH4)</t>
  </si>
  <si>
    <t>N2O emitted by land applied  biosolids
(kg N2O/t DS appl)</t>
  </si>
  <si>
    <t>CH4 emitted by landfilled  residues
(kg CH4/t VS appl)</t>
  </si>
  <si>
    <t>Electricity Export from Process
(kWh/t DS)</t>
  </si>
  <si>
    <t>N2O emitted by incineration
(kg N2O/t DS inc)</t>
  </si>
  <si>
    <t>Waste residues incinerated
(t DS waste/t DS)</t>
  </si>
  <si>
    <t>TD-LF</t>
  </si>
  <si>
    <t>TD-LA</t>
  </si>
  <si>
    <t>TD-INC-LF</t>
  </si>
  <si>
    <t>HTL-CAS_BC</t>
  </si>
  <si>
    <t>HTL-CAS_FP</t>
  </si>
  <si>
    <t>NPV Calculation</t>
  </si>
  <si>
    <t xml:space="preserve">Solids loading rate (t DS/yr) = </t>
  </si>
  <si>
    <t xml:space="preserve">Life expectancy (yr) = </t>
  </si>
  <si>
    <t xml:space="preserve">Solids loading rate (t DS/day) = </t>
  </si>
  <si>
    <t xml:space="preserve">Operating days per year (day/yr) = </t>
  </si>
  <si>
    <r>
      <t xml:space="preserve">Discount rate, </t>
    </r>
    <r>
      <rPr>
        <i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(%) = </t>
    </r>
  </si>
  <si>
    <t>CAPEX
(USD)</t>
  </si>
  <si>
    <t>Annual Net Operating Profit
(USD/yr)</t>
  </si>
  <si>
    <t>TD-AirGs-CHP</t>
  </si>
  <si>
    <t>TD-StmGs-CHP</t>
  </si>
  <si>
    <t>TE-PBR-TD-MWPy</t>
  </si>
  <si>
    <t>FD-Torr_BSF</t>
  </si>
  <si>
    <t>TD-LF_LFG</t>
  </si>
  <si>
    <t>Zero Line</t>
  </si>
  <si>
    <t>x-axis</t>
  </si>
  <si>
    <t>y-axis</t>
  </si>
  <si>
    <t>NET CO2e emissions
(kg CO2 eq/t DS)</t>
  </si>
  <si>
    <t>NET CO2e emissions
(t CO2 eq/t DS)</t>
  </si>
  <si>
    <t>Net operating profit
Revenue-OPEX w/ credits &amp; tax
(USD/t DS)</t>
  </si>
  <si>
    <t>AD-CHP-TD-LF</t>
  </si>
  <si>
    <t>AD-CHP-TD-LF_LFG</t>
  </si>
  <si>
    <t>AD-CHP-TD-LA</t>
  </si>
  <si>
    <t>AD-CHP-TD-INC-LF</t>
  </si>
  <si>
    <t>TH-AD-CHP-TD-INC-LF</t>
  </si>
  <si>
    <t>SupCrit HTL-CAS_BHO</t>
  </si>
  <si>
    <t>SubCrit HTL-CAS_BHO</t>
  </si>
  <si>
    <t>HTL-AD-CHP_BC</t>
  </si>
  <si>
    <t>HTL-AD-Boiler_BC</t>
  </si>
  <si>
    <t>HTL-CHG-CHP_BC</t>
  </si>
  <si>
    <t>HTL-CHG-Boiler_BC</t>
  </si>
  <si>
    <t>HTC-AD-CHP-LA</t>
  </si>
  <si>
    <t>From Hao et alo. 2020 Figure 1</t>
  </si>
  <si>
    <t>Paper spec</t>
  </si>
  <si>
    <t>Calc</t>
  </si>
  <si>
    <t>Zhao et al.</t>
  </si>
  <si>
    <t>Paper Spec</t>
  </si>
  <si>
    <t>Wet weight of final residues</t>
  </si>
  <si>
    <t>Reference</t>
  </si>
  <si>
    <t>Units</t>
  </si>
  <si>
    <t>Quantity</t>
  </si>
  <si>
    <t>Parameter</t>
  </si>
  <si>
    <t>Fraction</t>
  </si>
  <si>
    <t>Eq. 1</t>
  </si>
  <si>
    <t>Net energy balance</t>
  </si>
  <si>
    <t>kWh/t TS</t>
  </si>
  <si>
    <t>Eq. 2</t>
  </si>
  <si>
    <t>Belt press dewatering to 80% MC</t>
  </si>
  <si>
    <t>MMBtu/t TS</t>
  </si>
  <si>
    <t>Eq. 7</t>
  </si>
  <si>
    <t>TSf/TSi</t>
  </si>
  <si>
    <t>Electricity Input
(kWh/t DS)</t>
  </si>
  <si>
    <t>Natural Gas Input
(MMBtu/t TS)</t>
  </si>
  <si>
    <t>Natural Gas Input
(kWh/t TS)</t>
  </si>
  <si>
    <t>Electricity Export
(kWh/t TS)</t>
  </si>
  <si>
    <t>N/A; No LFG capture</t>
  </si>
  <si>
    <t>N/A; No end products</t>
  </si>
  <si>
    <t>N/A; No electricity production</t>
  </si>
  <si>
    <t>N/A; No NG imports</t>
  </si>
  <si>
    <t>Zhao et al. 2019</t>
  </si>
  <si>
    <t>N/A; No land-applied residues</t>
  </si>
  <si>
    <t>Eq. 4 &amp; 8</t>
  </si>
  <si>
    <t>N/A; No incinerated residues</t>
  </si>
  <si>
    <t>Eq. 10</t>
  </si>
  <si>
    <t>Belt press dewatering equipment</t>
  </si>
  <si>
    <t>Net Operating Profit</t>
  </si>
  <si>
    <t>Revenue from end-products</t>
  </si>
  <si>
    <t>TDC</t>
  </si>
  <si>
    <t>N/A; Not product sale</t>
  </si>
  <si>
    <t>USD/t TS</t>
  </si>
  <si>
    <t>Eq. 12</t>
  </si>
  <si>
    <t>Technology Readiness Level</t>
  </si>
  <si>
    <t>Actual system "proven" through successful system and/or mission operations</t>
  </si>
  <si>
    <t>CO2 displaced by 
Land Applied Biosolids
(kg CO2 eq/t DS)</t>
  </si>
  <si>
    <t>Hao et al. 2020, Figure 1</t>
  </si>
  <si>
    <t>Converstion from kWh to MMBtu</t>
  </si>
  <si>
    <t>Thermal drying equipment</t>
  </si>
  <si>
    <t>Total CAPEX</t>
  </si>
  <si>
    <t>Hao et al. 2020, Table S3</t>
  </si>
  <si>
    <t>Thermal drying</t>
  </si>
  <si>
    <t>Total OPEX</t>
  </si>
  <si>
    <t>Thermal Drying</t>
  </si>
  <si>
    <t>N/A; No landfilled residues</t>
  </si>
  <si>
    <t>Assumed no degradable organic carbon after incineration</t>
  </si>
  <si>
    <t>Hao et al. 2020, Figure 1 &amp; Section 2.1.3</t>
  </si>
  <si>
    <t>Incinerator</t>
  </si>
  <si>
    <t>Incineration</t>
  </si>
  <si>
    <t>USD/kWh</t>
  </si>
  <si>
    <t>USD/t TS (FY 2016)</t>
  </si>
  <si>
    <t>Revenue from elextricity export</t>
  </si>
  <si>
    <t>Zhao et al. 2019, Table S15</t>
  </si>
  <si>
    <t>VS reduction rate</t>
  </si>
  <si>
    <t>Calculated from VS reduction in AD</t>
  </si>
  <si>
    <t>Energy from AD biogas</t>
  </si>
  <si>
    <t xml:space="preserve">NG displaced by heat from biogas </t>
  </si>
  <si>
    <t>Conversion from kWh to MMBtu</t>
  </si>
  <si>
    <t>Gravity thickening</t>
  </si>
  <si>
    <t>Belt press dewatering</t>
  </si>
  <si>
    <t>Total electricity import</t>
  </si>
  <si>
    <t>AD Energy input from NG</t>
  </si>
  <si>
    <t>AD energy input from NG</t>
  </si>
  <si>
    <t>Total electricity export</t>
  </si>
  <si>
    <t>Net heat import from NG</t>
  </si>
  <si>
    <t>Gravity Thickening</t>
  </si>
  <si>
    <t>Anaerobic Digestion</t>
  </si>
  <si>
    <t>Calculated from VS reduction rate</t>
  </si>
  <si>
    <t>TD energy input from NG</t>
  </si>
  <si>
    <t>Heat from Incineration</t>
  </si>
  <si>
    <t>Electricity export from incineration</t>
  </si>
  <si>
    <t>Total usable energy from incineration</t>
  </si>
  <si>
    <t>% of usable energy as electricity</t>
  </si>
  <si>
    <t>Hao et al. 2020, Section 2.1.3</t>
  </si>
  <si>
    <t>NG displaced by heat from incineration</t>
  </si>
  <si>
    <t>% of usable energy from incineration as heat</t>
  </si>
  <si>
    <t>Usable heat from incineration</t>
  </si>
  <si>
    <t>Revenue from electricity export</t>
  </si>
  <si>
    <t>Belt press dewatering phase I</t>
  </si>
  <si>
    <t>Belt press dewatering phase II</t>
  </si>
  <si>
    <t>TH Energy input from NG</t>
  </si>
  <si>
    <t>TH energy input from NG</t>
  </si>
  <si>
    <t>heat recovered from TH heat exchanger</t>
  </si>
  <si>
    <t>NG dispaced by heat from TH heat exchanger</t>
  </si>
  <si>
    <t>% energy from biogas as useable heat</t>
  </si>
  <si>
    <t>% energy from biogas as electricity</t>
  </si>
  <si>
    <t>heat recovery from biogas</t>
  </si>
  <si>
    <t>Electricity export from biogas</t>
  </si>
  <si>
    <t>Thermal Hydrolysis</t>
  </si>
  <si>
    <t>Calculated from VS reduction rates</t>
  </si>
  <si>
    <t>Incineration energy input from NG</t>
  </si>
  <si>
    <t>Drying</t>
  </si>
  <si>
    <t>Assumed no organic carbon remaines after incineration</t>
  </si>
  <si>
    <t>Snowden-Swan et al. 2027</t>
  </si>
  <si>
    <t>Snowden-Swan et al. 2017, Figure ES.1</t>
  </si>
  <si>
    <t>Conversion to dry metric tons/d</t>
  </si>
  <si>
    <t>Conversion to dry metric tons/yr</t>
  </si>
  <si>
    <t>Snowden-Swan et al. 2017, Table 18</t>
  </si>
  <si>
    <t>Operating hours per year</t>
  </si>
  <si>
    <t>Operating hours per typ day</t>
  </si>
  <si>
    <t>Operating days per year</t>
  </si>
  <si>
    <t>dry short ton/day</t>
  </si>
  <si>
    <t>t TS/day</t>
  </si>
  <si>
    <t>t TS/yr</t>
  </si>
  <si>
    <t>%wt</t>
  </si>
  <si>
    <t>HTL loading rate</t>
  </si>
  <si>
    <t>HTL Loading rate</t>
  </si>
  <si>
    <t>Ash content</t>
  </si>
  <si>
    <t>hr/yr</t>
  </si>
  <si>
    <t>hr/day</t>
  </si>
  <si>
    <t>day/yr</t>
  </si>
  <si>
    <t>Conversion to total dry solids</t>
  </si>
  <si>
    <t>Assumed no organic carbon in sold residues after HTL</t>
  </si>
  <si>
    <t>USD/yr</t>
  </si>
  <si>
    <t>USD/1000 scf</t>
  </si>
  <si>
    <t>scf/t TS</t>
  </si>
  <si>
    <t>Natural gas consumption for THROX unit</t>
  </si>
  <si>
    <t>Natural gas consumption for HTL</t>
  </si>
  <si>
    <t>Total cost of natural gas</t>
  </si>
  <si>
    <t>Cost of Natural Gas</t>
  </si>
  <si>
    <t>Conversion from scf to MMBtu</t>
  </si>
  <si>
    <t>Annual electricity cost for extra aeration</t>
  </si>
  <si>
    <t>Annual electricity cost for HTL</t>
  </si>
  <si>
    <t>cost of electricity</t>
  </si>
  <si>
    <t>Belt press dewatering of initial solids</t>
  </si>
  <si>
    <t>Electricity consumption for HTL and aeration</t>
  </si>
  <si>
    <t>Total electricity consumption for HTL-CAS_BC</t>
  </si>
  <si>
    <t>N/A; No electricity exports</t>
  </si>
  <si>
    <t>Snowden-Swan et al. 2017, Table 5</t>
  </si>
  <si>
    <t>Convertion to total dry solids</t>
  </si>
  <si>
    <t>% wt Dry Ash Free</t>
  </si>
  <si>
    <t>Biocrude yield from HTL Plant</t>
  </si>
  <si>
    <t>% wt</t>
  </si>
  <si>
    <t>kg/m3</t>
  </si>
  <si>
    <t xml:space="preserve">Wet biocrude specific density (4% MC) </t>
  </si>
  <si>
    <t>Density of Biocrude</t>
  </si>
  <si>
    <t>Density of water</t>
  </si>
  <si>
    <t>Conversiont o kWh/t</t>
  </si>
  <si>
    <t>Energy eqv of biocrude from HTL plant</t>
  </si>
  <si>
    <t>Energy density of biocrude from HTL plant</t>
  </si>
  <si>
    <t>LHV of Biocrude</t>
  </si>
  <si>
    <t>Btu/gal</t>
  </si>
  <si>
    <t>kWh/t</t>
  </si>
  <si>
    <t>Snowden-Swan et al. 2017 Section 3.1.3</t>
  </si>
  <si>
    <t>Converstion to lb/gal</t>
  </si>
  <si>
    <t>lb/gal</t>
  </si>
  <si>
    <t>kg CO2/t TS</t>
  </si>
  <si>
    <t>USD (FY 2014)</t>
  </si>
  <si>
    <t>Snowden-Swan et al. 2017, Table 17</t>
  </si>
  <si>
    <t>Total Installed Cost of HTL plant</t>
  </si>
  <si>
    <t>USD/yr (FY 2014)</t>
  </si>
  <si>
    <t>OPEX of HTL Plant</t>
  </si>
  <si>
    <t>Snowden-Swan et al. 2017, Table 19</t>
  </si>
  <si>
    <t>Estimated from US EIA</t>
  </si>
  <si>
    <t>USD/barrel</t>
  </si>
  <si>
    <t>USD/kg</t>
  </si>
  <si>
    <t>USD/t TS·d</t>
  </si>
  <si>
    <t>Conversion to USD/kg</t>
  </si>
  <si>
    <t>System prototype demonstration in the planned operational environment, Mankins 2009</t>
  </si>
  <si>
    <t>Biocrude Feed Rate</t>
  </si>
  <si>
    <t>Snowden-Swan et al. 2017, Table 21</t>
  </si>
  <si>
    <t>lbs/yr</t>
  </si>
  <si>
    <t>short ton TS/day</t>
  </si>
  <si>
    <t>Calculated from Biocrude yield (Snowden-Swan et al. 2017, Table 5)</t>
  </si>
  <si>
    <t>Converstion to from short tons to metric tons</t>
  </si>
  <si>
    <t>Dry sludge equivalent feed rate</t>
  </si>
  <si>
    <t>Calculated from annual operating days</t>
  </si>
  <si>
    <t>Snowden-Swan et al. 2017, Table 23</t>
  </si>
  <si>
    <t>Calculated in HTL-CAS_BC scenario</t>
  </si>
  <si>
    <t>Electricity consumption from HTL-CAS_BC</t>
  </si>
  <si>
    <t>Natural gas consumption for HTL-CAS_BC</t>
  </si>
  <si>
    <t>Annual cost of electricity for biocrude upgradation</t>
  </si>
  <si>
    <t>Price of electricity</t>
  </si>
  <si>
    <t>Electricity consumption for biocrude upgradation</t>
  </si>
  <si>
    <t>Annual cost of natural gas for biocrude upgradation</t>
  </si>
  <si>
    <t>USD/1000scf</t>
  </si>
  <si>
    <t>Price of natural gas</t>
  </si>
  <si>
    <t>Natural gas consumption</t>
  </si>
  <si>
    <t>Total natural gas consumption for HTL-CAS_FP</t>
  </si>
  <si>
    <t>Natural gas consumption biocrude upgradation</t>
  </si>
  <si>
    <t>Total electricity consumption for HTL-CAS_FP</t>
  </si>
  <si>
    <t>Total natural gas consumption for HTL-CAS_CP</t>
  </si>
  <si>
    <t>%wt TS</t>
  </si>
  <si>
    <t>Biocrude yield from HTL plant</t>
  </si>
  <si>
    <t>Snowden-Swan et al. 2017, Table 5 - Converted to total dry solids</t>
  </si>
  <si>
    <t>lb/yr</t>
  </si>
  <si>
    <t>Diesel production rate</t>
  </si>
  <si>
    <t>%wt of biocrude</t>
  </si>
  <si>
    <t>Diesel yield</t>
  </si>
  <si>
    <t>Calculated from biocrude feed rate</t>
  </si>
  <si>
    <t>Calculated from biocrude yield</t>
  </si>
  <si>
    <t>Naphtha production rate</t>
  </si>
  <si>
    <t>Naphtha yield</t>
  </si>
  <si>
    <t>kWh/kg</t>
  </si>
  <si>
    <t>Total energy equivalent of upgraded fuel products</t>
  </si>
  <si>
    <t>LHV of naphtha</t>
  </si>
  <si>
    <t>Density of naphtha</t>
  </si>
  <si>
    <t>Energy density of naphtha</t>
  </si>
  <si>
    <t>Energy equivalent of naphtha</t>
  </si>
  <si>
    <t>kg CO2/gal</t>
  </si>
  <si>
    <t>kg CO2/kg</t>
  </si>
  <si>
    <t>Co2 eqv of diesel</t>
  </si>
  <si>
    <t>Density of diesel</t>
  </si>
  <si>
    <t>CO2 eqv of diesel</t>
  </si>
  <si>
    <t>CO2 eqv of naptha</t>
  </si>
  <si>
    <t xml:space="preserve">CO2 eqv of naphtha </t>
  </si>
  <si>
    <t>US EIA</t>
  </si>
  <si>
    <t>Total Installed Cost for HTL plant</t>
  </si>
  <si>
    <t>Total Installed Cost for biocrude upgrading plant</t>
  </si>
  <si>
    <t>Snowden-Swan et al. 2017, Table 22</t>
  </si>
  <si>
    <t>Total Installed Cost for HTL-CAS_FP scenario</t>
  </si>
  <si>
    <t>Variable Costs for biocrude upgradation</t>
  </si>
  <si>
    <t>Fixed Costs for biocrude upgradation</t>
  </si>
  <si>
    <t>OPEX for biocrude upgradation plant</t>
  </si>
  <si>
    <t>Calculated from biosolids feed rate</t>
  </si>
  <si>
    <t>Total OPEX for HTL-CAS_FP</t>
  </si>
  <si>
    <t>USD/gal</t>
  </si>
  <si>
    <t>Conversion from gal to kg</t>
  </si>
  <si>
    <t>USD/tonne</t>
  </si>
  <si>
    <t>Conversion from tonne to kg</t>
  </si>
  <si>
    <t>Total revenue from end-products</t>
  </si>
  <si>
    <t>System/subsystem model or prototype demonstration in a relevent environment</t>
  </si>
  <si>
    <t>Snowden-Swan et al. 2020, Table 2</t>
  </si>
  <si>
    <t>Snowden-Swan et al. 2020, Table C.1.</t>
  </si>
  <si>
    <t>kW</t>
  </si>
  <si>
    <t>Electricity demand for HTL process</t>
  </si>
  <si>
    <t>Electricity demand for aeration</t>
  </si>
  <si>
    <t>Electricity femand for HTL plant</t>
  </si>
  <si>
    <t>Hao et alo. 2020 Figure 1</t>
  </si>
  <si>
    <t>Natural gas usage fir HTL process</t>
  </si>
  <si>
    <t>Snowden-Swan et al. 2020, Table B.2.</t>
  </si>
  <si>
    <t>Conversion from short ton to metric ton</t>
  </si>
  <si>
    <t>Conversion from ash free short ton to metric ton total solids</t>
  </si>
  <si>
    <t>NG consumption</t>
  </si>
  <si>
    <t>USD (FY 2019)</t>
  </si>
  <si>
    <t>t/day</t>
  </si>
  <si>
    <t>USD/t TS·d (FY 2019)</t>
  </si>
  <si>
    <t>Snowden-Swan et al. 2020, Table 5</t>
  </si>
  <si>
    <t>Calculated from HTL loading rate</t>
  </si>
  <si>
    <t>Total NG consumption for HTL</t>
  </si>
  <si>
    <t>Total CO2 eqv of upgraded fuel products</t>
  </si>
  <si>
    <t>Total electricity consumption</t>
  </si>
  <si>
    <t>Biocrude market value</t>
  </si>
  <si>
    <t>Renevue from Biocrude</t>
  </si>
  <si>
    <t>hrs/yr</t>
  </si>
  <si>
    <t>hrs/day</t>
  </si>
  <si>
    <t>days/yr</t>
  </si>
  <si>
    <t>hours/year</t>
  </si>
  <si>
    <t>hours/day</t>
  </si>
  <si>
    <t xml:space="preserve">Operating hours per year </t>
  </si>
  <si>
    <t>lb/hr</t>
  </si>
  <si>
    <t>Biocrude feed rate</t>
  </si>
  <si>
    <t>Snowden-Swan et al. 2020, Table C.2</t>
  </si>
  <si>
    <t>Conversion from total dry solids</t>
  </si>
  <si>
    <t>%wt biocrude</t>
  </si>
  <si>
    <t>Diesel yield from biocrude</t>
  </si>
  <si>
    <t>Diesel yield from biosolids</t>
  </si>
  <si>
    <t>%wt biosolidds</t>
  </si>
  <si>
    <t>Calculated from biosolids loading rate</t>
  </si>
  <si>
    <t>Calculated from naphtha production rate</t>
  </si>
  <si>
    <t>Calculated from diesel production rate</t>
  </si>
  <si>
    <t>%wt biosolids</t>
  </si>
  <si>
    <t xml:space="preserve">Total energy equivalent of end products </t>
  </si>
  <si>
    <t>LHV of diesel</t>
  </si>
  <si>
    <t>Energy density of diesel</t>
  </si>
  <si>
    <t>Energy equivalent of diesel</t>
  </si>
  <si>
    <t>Conversion from lb/gal to kWh/kg</t>
  </si>
  <si>
    <t>Dry solids feed rate equivalent</t>
  </si>
  <si>
    <t>Electricity usage for biocrude upgradation</t>
  </si>
  <si>
    <t>Electricity usage for HTL plant</t>
  </si>
  <si>
    <t>Calculated in HTL-NH3 rem-CAS_BC process scenario</t>
  </si>
  <si>
    <t>Snowden-Swan et al. 2020, Table B.1 &amp; B.2</t>
  </si>
  <si>
    <t>conversion from short ton to metric ton total solids</t>
  </si>
  <si>
    <t>Converstion from scf to MMBtu</t>
  </si>
  <si>
    <t>Natural gas usage for biocrude upgradation</t>
  </si>
  <si>
    <t>Natural gas consumption for biocrude upgradation</t>
  </si>
  <si>
    <t>Natural gas usage for HTL plant</t>
  </si>
  <si>
    <t>CO2 eqv of naphtha</t>
  </si>
  <si>
    <t>Total Installed Cost for HTL-NH3 rem-CAS_FP scenario</t>
  </si>
  <si>
    <t>Total OPEX for HTL-NH3 rem-CAS_FP</t>
  </si>
  <si>
    <t>Calculated in HTL-NH3 rem-CAS_BC scenario</t>
  </si>
  <si>
    <t>OPEX for HTL Plant</t>
  </si>
  <si>
    <t>USD/yr (FY 2019)</t>
  </si>
  <si>
    <t>Selling price of diesel</t>
  </si>
  <si>
    <t>Revenue from diesel</t>
  </si>
  <si>
    <t>Selling price of naphtha</t>
  </si>
  <si>
    <t>Revenue from naphtha</t>
  </si>
  <si>
    <t>Solid phase yield (% dry ash free)</t>
  </si>
  <si>
    <t>Solid phase remaining (% dry solids)</t>
  </si>
  <si>
    <t>metric ton/day</t>
  </si>
  <si>
    <t>HTL Loading Rate (80% MC)</t>
  </si>
  <si>
    <t>Moisture content</t>
  </si>
  <si>
    <t>Calculated from moisutre content</t>
  </si>
  <si>
    <t>t TS/d</t>
  </si>
  <si>
    <t>HTL dry solids loading rate</t>
  </si>
  <si>
    <t>Calculated from operating days</t>
  </si>
  <si>
    <t>Do et al. 2020 Table 5</t>
  </si>
  <si>
    <t>Do et al. 2020 Table 3</t>
  </si>
  <si>
    <t>Conversion from MJ to kWh</t>
  </si>
  <si>
    <t>Calculated from solids loading rate</t>
  </si>
  <si>
    <t>Do et al. 2020, Table 10</t>
  </si>
  <si>
    <t>Do et al. 2020, Table 1</t>
  </si>
  <si>
    <t>kWh/yr</t>
  </si>
  <si>
    <t>Electricity price</t>
  </si>
  <si>
    <t>Electricity consumption</t>
  </si>
  <si>
    <t>Electricity annual expense</t>
  </si>
  <si>
    <t>Electricity cost</t>
  </si>
  <si>
    <t>Annual electricity consumption</t>
  </si>
  <si>
    <t>Operating hours</t>
  </si>
  <si>
    <t>kg/yr</t>
  </si>
  <si>
    <t>BTU/lb</t>
  </si>
  <si>
    <t>BTU/kg</t>
  </si>
  <si>
    <t>MMBtu/yr</t>
  </si>
  <si>
    <t>Calculated from annual natural gas consumption</t>
  </si>
  <si>
    <t>Comversion from lb to kg</t>
  </si>
  <si>
    <t>LNG expense</t>
  </si>
  <si>
    <t>LNG price</t>
  </si>
  <si>
    <t>LNG consumption</t>
  </si>
  <si>
    <t>LNG energy content</t>
  </si>
  <si>
    <t>LNG energy equivalent</t>
  </si>
  <si>
    <t>MJ/kg</t>
  </si>
  <si>
    <t>BHO yield from supercritical plant</t>
  </si>
  <si>
    <t>Supercritical BHO HHV</t>
  </si>
  <si>
    <t>Energy eqv. of supercritical BHO</t>
  </si>
  <si>
    <t>Solid phase remaining</t>
  </si>
  <si>
    <t>Total Installed Cost of supercritical HTL plant</t>
  </si>
  <si>
    <t>Supercritical plant Total Production Cost</t>
  </si>
  <si>
    <t>USD/kg BHO</t>
  </si>
  <si>
    <t>Price of BHO from supercritical plant</t>
  </si>
  <si>
    <t>Revenue from supercritical plant BHO</t>
  </si>
  <si>
    <t>Component and/or breadboard validation in 'laboratory' environment</t>
  </si>
  <si>
    <t>Calculated from solid residue yield</t>
  </si>
  <si>
    <t>Do et al. 2020, Table 5</t>
  </si>
  <si>
    <t>kg/hr</t>
  </si>
  <si>
    <t>Solid residue remaining</t>
  </si>
  <si>
    <t>MC of influent solids</t>
  </si>
  <si>
    <t>BHO yield from subcritical plant</t>
  </si>
  <si>
    <t>subcritical BHO HHV</t>
  </si>
  <si>
    <t>Energy eqv. of subcritical BHO</t>
  </si>
  <si>
    <t>Total Installed Cost of subcritical HTL plant</t>
  </si>
  <si>
    <t>Doren et al. 2017, Table 1</t>
  </si>
  <si>
    <t>Calculated from capacity factor</t>
  </si>
  <si>
    <t>Doren et al. 2017</t>
  </si>
  <si>
    <t>kg TS/hr</t>
  </si>
  <si>
    <t>Capacity factor (reference case)</t>
  </si>
  <si>
    <t>Estimated Operating Days (reference case)</t>
  </si>
  <si>
    <t>HTL Loading Rate</t>
  </si>
  <si>
    <t>Feed rate</t>
  </si>
  <si>
    <t>Doren et al. 2017, Table S2</t>
  </si>
  <si>
    <t>Doren et al. 2017, Table S12</t>
  </si>
  <si>
    <t>Hao et al. 2020, Table 1</t>
  </si>
  <si>
    <t>Electricity import</t>
  </si>
  <si>
    <t>Belt-press dewatering</t>
  </si>
  <si>
    <t>Doren et al. 2017, Teble S1</t>
  </si>
  <si>
    <t>Not reported in study. Used values from Snowden-Swan et al. 2020</t>
  </si>
  <si>
    <t>Biocrude yield</t>
  </si>
  <si>
    <t>Caluclated</t>
  </si>
  <si>
    <t>External heat (natural gas)</t>
  </si>
  <si>
    <t>Natural gas price</t>
  </si>
  <si>
    <t>Natural gas import</t>
  </si>
  <si>
    <t>MMBtu/barrel</t>
  </si>
  <si>
    <t>Heat content of crude oil</t>
  </si>
  <si>
    <t>LHV of biocrude</t>
  </si>
  <si>
    <t>USD/L</t>
  </si>
  <si>
    <t>Market value of biocrude</t>
  </si>
  <si>
    <t>Revenue from Biocrude</t>
  </si>
  <si>
    <t>Heat exchangers</t>
  </si>
  <si>
    <t>Separation after HTL</t>
  </si>
  <si>
    <t>HTL reactor</t>
  </si>
  <si>
    <t>AD reactor (incl. mixing)</t>
  </si>
  <si>
    <t>Pump system for HTL</t>
  </si>
  <si>
    <t>Engine for CHP from syngas</t>
  </si>
  <si>
    <t>Gas boiler (natural gas and/or syngas)</t>
  </si>
  <si>
    <t>Equipment maintenance</t>
  </si>
  <si>
    <t>Labor cost</t>
  </si>
  <si>
    <t>Doren et al. 2017, Table S1</t>
  </si>
  <si>
    <t>CHG reactor</t>
  </si>
  <si>
    <t>Pump system for CHG</t>
  </si>
  <si>
    <t>Separation after CHG</t>
  </si>
  <si>
    <t>Revenue from Electricity Export</t>
  </si>
  <si>
    <t>Total Revenue</t>
  </si>
  <si>
    <t>Total Annual Revenue</t>
  </si>
  <si>
    <t>System/subsystem model or prototype demonstration in a relevant environment</t>
  </si>
  <si>
    <t>Operating hours w/ capacity factor</t>
  </si>
  <si>
    <t>Solids content</t>
  </si>
  <si>
    <t>Lumely et al. 2014, Section 3.2</t>
  </si>
  <si>
    <t>Lumely et al. 2014, Section 2.3</t>
  </si>
  <si>
    <t>Assumed minimal moisture after gasification</t>
  </si>
  <si>
    <t>Lumely et al. 2014, Table 4</t>
  </si>
  <si>
    <t>Assumed no organic carbon in sold residues after Gasification</t>
  </si>
  <si>
    <t>Electric power output</t>
  </si>
  <si>
    <t>Mmbtu/t TS</t>
  </si>
  <si>
    <t>N/A; No natural gas import</t>
  </si>
  <si>
    <t>TPEC</t>
  </si>
  <si>
    <t>Watson et al. 2018, Section 2.2</t>
  </si>
  <si>
    <t>Calculated from solid loading rate</t>
  </si>
  <si>
    <t>Sum of direct cost factors</t>
  </si>
  <si>
    <t>Lumely et al. 2014, Table 2</t>
  </si>
  <si>
    <t>Sum of indirect cost factors</t>
  </si>
  <si>
    <t>Sum of fixed cost factors</t>
  </si>
  <si>
    <t>Lumely et al. 2014, Eq. 6</t>
  </si>
  <si>
    <t>USD/day</t>
  </si>
  <si>
    <t>Annual OPEX</t>
  </si>
  <si>
    <t>Daily OPEX</t>
  </si>
  <si>
    <t>Net power output</t>
  </si>
  <si>
    <t>Revenue from net electrical output</t>
  </si>
  <si>
    <t>Do et al. 2018, Table 1</t>
  </si>
  <si>
    <t>Do et al. 2018, Table S1.1</t>
  </si>
  <si>
    <t>t/d</t>
  </si>
  <si>
    <t>Calculated from dry solids feed rate</t>
  </si>
  <si>
    <t xml:space="preserve">Waste residues (wet basis) </t>
  </si>
  <si>
    <t>Water content</t>
  </si>
  <si>
    <t>Calculated from water content</t>
  </si>
  <si>
    <t>Solids residue production</t>
  </si>
  <si>
    <t>Dry solid residue yield</t>
  </si>
  <si>
    <t>Moisture content of waste residues</t>
  </si>
  <si>
    <t>Total Installed Cost (TIC)</t>
  </si>
  <si>
    <t>Do et al. 2018, Table S3.1</t>
  </si>
  <si>
    <t>FD-Torr-Comb_BSF</t>
  </si>
  <si>
    <t>Assumed no remaining organic carbon after torrefaction</t>
  </si>
  <si>
    <t>Do et al. 2018, Table S1.7</t>
  </si>
  <si>
    <t>Calculated from annual dry solids loading rate</t>
  </si>
  <si>
    <t>Solids loading rate (dry basis)</t>
  </si>
  <si>
    <t>Dry solids loading rate (daily)</t>
  </si>
  <si>
    <t>Dry solids loading rate (annual)</t>
  </si>
  <si>
    <t>Operating hrs per year</t>
  </si>
  <si>
    <t>Operating hrs per day</t>
  </si>
  <si>
    <t>Solids loading rate (wet basis 80% MC)</t>
  </si>
  <si>
    <t>Solids loading rate (wet basis)</t>
  </si>
  <si>
    <t>BioSolid fuel sold</t>
  </si>
  <si>
    <t>BioSolid fuel yield</t>
  </si>
  <si>
    <t>Do et al. 2018, Section 2</t>
  </si>
  <si>
    <t>LHV of Biosolid fuel</t>
  </si>
  <si>
    <t>MMBtu/t</t>
  </si>
  <si>
    <t>Conversion from MJ/kg to MMBtu/t</t>
  </si>
  <si>
    <t>MJ/yr</t>
  </si>
  <si>
    <t>Calculated from LHV and BSF yield</t>
  </si>
  <si>
    <t>Conversion from MJ/kWh</t>
  </si>
  <si>
    <t>Energy equivalent of BS fuel sold</t>
  </si>
  <si>
    <t>Do et al. 2018, Table 4</t>
  </si>
  <si>
    <t>t/yr</t>
  </si>
  <si>
    <t>Calculated from operating hours</t>
  </si>
  <si>
    <t>MMBtu/short ton</t>
  </si>
  <si>
    <t>Electricity input to process</t>
  </si>
  <si>
    <t>Calculated from BS fuel sales</t>
  </si>
  <si>
    <t>Total Production Cost</t>
  </si>
  <si>
    <t>Selling price of BS fuel</t>
  </si>
  <si>
    <t>Revenue from BS fuel</t>
  </si>
  <si>
    <t>Btu/lb</t>
  </si>
  <si>
    <t>Btu/kg</t>
  </si>
  <si>
    <t>Conversion from lb to kg</t>
  </si>
  <si>
    <t>Do et al. 2018, Table S3.2</t>
  </si>
  <si>
    <t>kg/d</t>
  </si>
  <si>
    <t>Xin et al. 2018, Table A.3</t>
  </si>
  <si>
    <t>Xin et al. 2018, Table A.1</t>
  </si>
  <si>
    <t>Xin et al. 2018 Table A.1</t>
  </si>
  <si>
    <t>Scum feed rate (wet basis)</t>
  </si>
  <si>
    <t>Sludge feed rate</t>
  </si>
  <si>
    <t>Algae biomass feed rate</t>
  </si>
  <si>
    <t>t/t TS</t>
  </si>
  <si>
    <t>Solid waste produced (wet basis)</t>
  </si>
  <si>
    <t>Assumed no remaining volatile solids in waste residues</t>
  </si>
  <si>
    <t>gal/yr</t>
  </si>
  <si>
    <t>kWh/gal</t>
  </si>
  <si>
    <t>kWh/d</t>
  </si>
  <si>
    <t>MJ/day</t>
  </si>
  <si>
    <t>kWh/day</t>
  </si>
  <si>
    <t>Xin et al. 2018, Table A.4</t>
  </si>
  <si>
    <t>Biodiesel from Trans</t>
  </si>
  <si>
    <t>Energy content of biodiesel</t>
  </si>
  <si>
    <t>Energy eqv of biodiesel</t>
  </si>
  <si>
    <t>Bio-oil yield from algae</t>
  </si>
  <si>
    <t>LHV of bio-oil from algae</t>
  </si>
  <si>
    <t>Energy eqv of bio-oil from algae</t>
  </si>
  <si>
    <t>Bio-oil yield from sludge</t>
  </si>
  <si>
    <t>LHV of bio-oil from sludge</t>
  </si>
  <si>
    <t>Energy eqv of bio-oil from sludge</t>
  </si>
  <si>
    <t>Syngas yield from algae</t>
  </si>
  <si>
    <t>LHV of syngas from algae</t>
  </si>
  <si>
    <t>syngas from algae</t>
  </si>
  <si>
    <t>Syngas yield from sludge</t>
  </si>
  <si>
    <t>LHV of syngas from sludge</t>
  </si>
  <si>
    <t>syngas from sludge</t>
  </si>
  <si>
    <t>Total energy eqv of syngas</t>
  </si>
  <si>
    <t>Total energy eqv of end-products</t>
  </si>
  <si>
    <t>Transesterification Electricity Req</t>
  </si>
  <si>
    <t>Algae cultivation electricity req</t>
  </si>
  <si>
    <t>Pyrolysis electrcity req</t>
  </si>
  <si>
    <t>bbl/ton</t>
  </si>
  <si>
    <t>Energy content of bio-oil from algae</t>
  </si>
  <si>
    <t>USD/bbl</t>
  </si>
  <si>
    <t>Biodiesel selling price</t>
  </si>
  <si>
    <t>Biodiesel revenue</t>
  </si>
  <si>
    <t>Crude oil selling price</t>
  </si>
  <si>
    <t>Crude oil LHV</t>
  </si>
  <si>
    <t>Density of bio-oil</t>
  </si>
  <si>
    <t>Bio-oil from algae revenue</t>
  </si>
  <si>
    <t>Bio-oil from sludge revenue</t>
  </si>
  <si>
    <t>Revenue from P fertilizer</t>
  </si>
  <si>
    <t>Revenue from syngas</t>
  </si>
  <si>
    <t>Xin et al. 2018, Table A.2</t>
  </si>
  <si>
    <t>Total Operating Costs (TOC)</t>
  </si>
  <si>
    <t>Scum Trans Heat Req</t>
  </si>
  <si>
    <t>Analytical and experimental critical function and/or characteristic proof-of-concept</t>
  </si>
  <si>
    <t>Waste residues sent to disposal</t>
  </si>
  <si>
    <t>N/A, No waste residues sent to landfill</t>
  </si>
  <si>
    <t>Bio-char yield</t>
  </si>
  <si>
    <t>Bio-gas yield</t>
  </si>
  <si>
    <t>Bio-oil yield</t>
  </si>
  <si>
    <t>Han et al. 2013</t>
  </si>
  <si>
    <t>Xin et al. 2018 Table A4</t>
  </si>
  <si>
    <t>Sharifzadeh et al. 2019</t>
  </si>
  <si>
    <t>Shahbeig and Nosrati, 2020, Table 5</t>
  </si>
  <si>
    <t>Energy density of bio-char</t>
  </si>
  <si>
    <t>Energy Eqv of Bio-char</t>
  </si>
  <si>
    <t>Energy density of bio-gas</t>
  </si>
  <si>
    <t>Energy Eqv of bio-gas</t>
  </si>
  <si>
    <t>Energy density of Bio-oil</t>
  </si>
  <si>
    <t>Energy Eqv of Bio-oil</t>
  </si>
  <si>
    <t>Total energy content of end-products</t>
  </si>
  <si>
    <t>MJ/hr</t>
  </si>
  <si>
    <t>Shahbeig and Nosrati, 2020, Table 4</t>
  </si>
  <si>
    <t>Conversion from MJ/hr to kW</t>
  </si>
  <si>
    <t>Dewatering</t>
  </si>
  <si>
    <t>Dryer</t>
  </si>
  <si>
    <t>Pyrolysis Reactor</t>
  </si>
  <si>
    <t>Cyclone</t>
  </si>
  <si>
    <t>Condenser</t>
  </si>
  <si>
    <t>Total Energy Input</t>
  </si>
  <si>
    <t>Total Electricity Input</t>
  </si>
  <si>
    <t>Selling price of bio-char</t>
  </si>
  <si>
    <t>€/kg</t>
  </si>
  <si>
    <t>USD/ton</t>
  </si>
  <si>
    <t>Selling price of bio-gas</t>
  </si>
  <si>
    <t>Selling price of bio-crude</t>
  </si>
  <si>
    <t>USD/€ (2018) conversion</t>
  </si>
  <si>
    <t>Revenue from Bio-char</t>
  </si>
  <si>
    <t>Revenue from Bio-gas</t>
  </si>
  <si>
    <t>Revenue from Bio-oil</t>
  </si>
  <si>
    <t>Total Revenue from end-products</t>
  </si>
  <si>
    <t>€</t>
  </si>
  <si>
    <t>Equipment Cost</t>
  </si>
  <si>
    <t>Instillation</t>
  </si>
  <si>
    <t xml:space="preserve">Total CAPEX </t>
  </si>
  <si>
    <t>Shahbeig and Nosrati 2020, Table 4</t>
  </si>
  <si>
    <t>Conversion to USD</t>
  </si>
  <si>
    <t>Shahbeig and Nosrati 2020, Table 5</t>
  </si>
  <si>
    <t>€/yr</t>
  </si>
  <si>
    <t>Utilities</t>
  </si>
  <si>
    <t>Operating Labor</t>
  </si>
  <si>
    <t>Maintenance</t>
  </si>
  <si>
    <t>Lab charges</t>
  </si>
  <si>
    <t>Operating supplies</t>
  </si>
  <si>
    <t>Natural Gas</t>
  </si>
  <si>
    <t>Natural Gas Input</t>
  </si>
  <si>
    <t>Natural gas input</t>
  </si>
  <si>
    <t>Calculated from total solids loading</t>
  </si>
  <si>
    <t xml:space="preserve">Operating days per year </t>
  </si>
  <si>
    <t>Wet sludge feed rate</t>
  </si>
  <si>
    <t>Moisture content of sludge</t>
  </si>
  <si>
    <t>Dry sludge feed rate</t>
  </si>
  <si>
    <t>Medina-Martos et al. 2020, Table 5 &amp; S2</t>
  </si>
  <si>
    <t>Medina-Martos et al. 2020, Table 5</t>
  </si>
  <si>
    <t>Medina-Martos et al. 2020, Table 1</t>
  </si>
  <si>
    <t>Calculated from digestate yield</t>
  </si>
  <si>
    <t>OPEX over 20 years</t>
  </si>
  <si>
    <t>€/t dry solids</t>
  </si>
  <si>
    <t>Calculated from OPEX values reported in Medina-Martos et al. 2020, Table 5</t>
  </si>
  <si>
    <t>t WS/yr</t>
  </si>
  <si>
    <t>Medina-Martos et al. 2020, Section 2</t>
  </si>
  <si>
    <t>Medina-Martos et al. 2020, Figure 3</t>
  </si>
  <si>
    <t>Calculated from solids moisture content</t>
  </si>
  <si>
    <t>N/A; Not landfilled residues</t>
  </si>
  <si>
    <t>MJ/t WS</t>
  </si>
  <si>
    <t>kWh/t WS</t>
  </si>
  <si>
    <t>Calculated based on solids moisture content</t>
  </si>
  <si>
    <t>Medina-Martos et al. 2020, Section 3.2</t>
  </si>
  <si>
    <t>Medina-Martos et al. 2020, Section 3.1</t>
  </si>
  <si>
    <t>kg</t>
  </si>
  <si>
    <t>MJ/t TS</t>
  </si>
  <si>
    <t>Total energy equivalent of end-products</t>
  </si>
  <si>
    <t>N/A; No electricity import, Medina-Martos et al. 2020, Section 3</t>
  </si>
  <si>
    <t>N/A; No natural gas import, Medina-Martos et al. 2020, Section 3</t>
  </si>
  <si>
    <t>€ (FY 2019)</t>
  </si>
  <si>
    <t>€ to USD conversion</t>
  </si>
  <si>
    <t>FY 2019</t>
  </si>
  <si>
    <t>CAPEX over 20 years</t>
  </si>
  <si>
    <t>USD (FY 2019</t>
  </si>
  <si>
    <t>€/t wet sludge</t>
  </si>
  <si>
    <t>Medina-Martos et al. 2020, Table 3</t>
  </si>
  <si>
    <t>€/day</t>
  </si>
  <si>
    <t>€/t TS</t>
  </si>
  <si>
    <t>%wt (wet basis)</t>
  </si>
  <si>
    <t>%wt (dry basis)</t>
  </si>
  <si>
    <t>digestate yield</t>
  </si>
  <si>
    <t>Electricity export</t>
  </si>
  <si>
    <t>Heat export as LPS</t>
  </si>
  <si>
    <t>Heat export as HPS</t>
  </si>
  <si>
    <t>wet Sludge feed</t>
  </si>
  <si>
    <t>dry sludge feed</t>
  </si>
  <si>
    <t>Hydrochar produced</t>
  </si>
  <si>
    <t>Hydrochar yield</t>
  </si>
  <si>
    <t>Energy from hydrochar</t>
  </si>
  <si>
    <t>OPEX (USD/d)</t>
  </si>
  <si>
    <t>Revenue from Hydrochar</t>
  </si>
  <si>
    <t>Revenue from LPS</t>
  </si>
  <si>
    <t>Revenue from HPS</t>
  </si>
  <si>
    <t>Total revenue from end products</t>
  </si>
  <si>
    <t>Calculated from digestate yied</t>
  </si>
  <si>
    <t>LF*</t>
  </si>
  <si>
    <t>LA*</t>
  </si>
  <si>
    <t>AD-CHP-LF*</t>
  </si>
  <si>
    <t>TH-AD-CHP-LF*</t>
  </si>
  <si>
    <t>LF_LFG*</t>
  </si>
  <si>
    <t>AD-CHP-LF_LFG*</t>
  </si>
  <si>
    <t>AD-CHP-LA*</t>
  </si>
  <si>
    <t>TH-AD-CHP-LA*</t>
  </si>
  <si>
    <t>TH-AD-CHP-LF_LFG*</t>
  </si>
  <si>
    <t>HTL-NH3-CAS_BC</t>
  </si>
  <si>
    <t>HTL-NH3-CAS_FP</t>
  </si>
  <si>
    <t>Reference Case NPV
(million USD)</t>
  </si>
  <si>
    <t>Net Operating Profit (USD/t TS)</t>
  </si>
  <si>
    <r>
      <t>CAPEX
(USD/t TS</t>
    </r>
    <r>
      <rPr>
        <b/>
        <sz val="12"/>
        <color theme="1"/>
        <rFont val="Calibri"/>
        <family val="2"/>
      </rPr>
      <t>·d)</t>
    </r>
  </si>
  <si>
    <t>Total electricity usage for HTL-NH3-CAS_FP</t>
  </si>
  <si>
    <t>Total natural gas usage for HTL-NH3-CAS-FP</t>
  </si>
  <si>
    <t>Energy demand for belt press dewatering</t>
  </si>
  <si>
    <t>scf/AFDW</t>
  </si>
  <si>
    <t>short ton/day</t>
  </si>
  <si>
    <t>2018-19 rate of inflation</t>
  </si>
  <si>
    <t>US Bureau of Labor Statistics</t>
  </si>
  <si>
    <t>OPEX converted to FY 2019</t>
  </si>
  <si>
    <t>CAPEX converted to FY 2019</t>
  </si>
  <si>
    <t>2016-19 rate of inflation</t>
  </si>
  <si>
    <t>Avg industrial price of electricity in FY 2019</t>
  </si>
  <si>
    <t>2014-19 rate of inflation</t>
  </si>
  <si>
    <t>USD (FY 2017)</t>
  </si>
  <si>
    <t xml:space="preserve">USD/t TS·d (FY 2017) </t>
  </si>
  <si>
    <t>2017-19 rate of inflation</t>
  </si>
  <si>
    <t>USD/yr (FY 2017)</t>
  </si>
  <si>
    <t>USD/t TS (FY 2017)</t>
  </si>
  <si>
    <t>USD/kg BHO (FY 2017)</t>
  </si>
  <si>
    <t>Revenue converted to FY 2019</t>
  </si>
  <si>
    <t>USD/t TS·d (FY 2017)</t>
  </si>
  <si>
    <t>USD/t TS·d (FY 2016)</t>
  </si>
  <si>
    <t>USD (FY 2016)</t>
  </si>
  <si>
    <t>USD/t TS·d (FY 2010)</t>
  </si>
  <si>
    <t>2010-19 rate of inflation</t>
  </si>
  <si>
    <t>USD/t TS ( FY 2010)</t>
  </si>
  <si>
    <t>USD/t TS (FY 2019)</t>
  </si>
  <si>
    <t>USD/t TS (FY 2010)</t>
  </si>
  <si>
    <t>USD/t TS·d (FY 2015)</t>
  </si>
  <si>
    <t>USD/t TS (FY 2015)</t>
  </si>
  <si>
    <t xml:space="preserve">USD/t TS (FY 2015) </t>
  </si>
  <si>
    <t>2015-19 rate of inflation</t>
  </si>
  <si>
    <t>USD/t TS·d (FY 2014)</t>
  </si>
  <si>
    <t>USD/t TS (FY 2014)</t>
  </si>
  <si>
    <t>USD/t TS (FY 2018)</t>
  </si>
  <si>
    <t>USD/€ (FY 2018)</t>
  </si>
  <si>
    <t>WAS Feed rate (m3/d)</t>
  </si>
  <si>
    <t>WAS Specific gravity</t>
  </si>
  <si>
    <t>PS feed rate (m3/d)</t>
  </si>
  <si>
    <t>PS %TS</t>
  </si>
  <si>
    <t>PS Specific gravity</t>
  </si>
  <si>
    <t>WAS %TS</t>
  </si>
  <si>
    <t>CO2 eqv of land applied sludge (kg CO2/m3 sludge treated)</t>
  </si>
  <si>
    <t>Zhao et al. 2019, Table S2</t>
  </si>
  <si>
    <t>M&amp;E 5th ed.</t>
  </si>
  <si>
    <t>USD/t TS·d (FY 2018)</t>
  </si>
  <si>
    <t xml:space="preserve">Renevue from Biocrude (USD/t TS) = </t>
  </si>
  <si>
    <t xml:space="preserve">Energy equivalent of diesel (kWh/t TS) = </t>
  </si>
  <si>
    <t xml:space="preserve">Revenue from diesel (USD/t TS) = </t>
  </si>
  <si>
    <t xml:space="preserve">Revenue from naphtha (USD/t TS) = </t>
  </si>
  <si>
    <t xml:space="preserve">Solid waste produced (t/t TS) = </t>
  </si>
  <si>
    <t>OPEX (USD/t TS)</t>
  </si>
  <si>
    <t>WAS Feed rate (t TS/d)</t>
  </si>
  <si>
    <t>PS Feed rate (t TS/d)</t>
  </si>
  <si>
    <t>Total sludge feed rate (t TS/d)</t>
  </si>
  <si>
    <t>CO2 eqv of land applied sludge (kg CO2/t TS)</t>
  </si>
  <si>
    <t>Estimated CO2 eqv of land applied sludge (kg CO2/t TS)</t>
  </si>
  <si>
    <t>% Makeup</t>
  </si>
  <si>
    <t>EROI</t>
  </si>
  <si>
    <t>Petrol</t>
  </si>
  <si>
    <t>NG</t>
  </si>
  <si>
    <t>Renewable</t>
  </si>
  <si>
    <t>Coal</t>
  </si>
  <si>
    <t>Nuclear</t>
  </si>
  <si>
    <t xml:space="preserve">Weighted EROI = </t>
  </si>
  <si>
    <t>Geothermal</t>
  </si>
  <si>
    <t>Solar</t>
  </si>
  <si>
    <t>Hydro</t>
  </si>
  <si>
    <t>Wind</t>
  </si>
  <si>
    <t xml:space="preserve">Weighted EROI_Renewables = </t>
  </si>
  <si>
    <t>Ydiesel</t>
  </si>
  <si>
    <t>Yjet fuel</t>
  </si>
  <si>
    <t>Ygasoline</t>
  </si>
  <si>
    <t>EFgasoline</t>
  </si>
  <si>
    <t>EFdiesel</t>
  </si>
  <si>
    <t>EFjetfuel</t>
  </si>
  <si>
    <t>Refining, gasoline</t>
  </si>
  <si>
    <t>Refining, diesel</t>
  </si>
  <si>
    <t>Refining, jet fuel</t>
  </si>
  <si>
    <t>EFdisp,crude</t>
  </si>
  <si>
    <t>CO2e/MJ</t>
  </si>
  <si>
    <t>CO2e/kWh</t>
  </si>
  <si>
    <t>EROI_elec</t>
  </si>
  <si>
    <t>EROI_diesel</t>
  </si>
  <si>
    <t>EROI_crude</t>
  </si>
  <si>
    <t>EROI_naphtha</t>
  </si>
  <si>
    <t>EROI_Coal</t>
  </si>
  <si>
    <t>Net Electricity Export</t>
  </si>
  <si>
    <t>E_bio-crude or heating oil</t>
  </si>
  <si>
    <t>E_bio-Naphtha or gasoline</t>
  </si>
  <si>
    <t>E_Bio Gas</t>
  </si>
  <si>
    <t>Electricity from LFG
(kWh/t TS)</t>
  </si>
  <si>
    <t>E_biodiesel
(kWh/t TS)</t>
  </si>
  <si>
    <t>Total energy eqv of bio-oil</t>
  </si>
  <si>
    <t>E_biochar</t>
  </si>
  <si>
    <t>Lifecycle Energy displaced by end products (kWh/t TS)</t>
  </si>
  <si>
    <t>Energy eqv of end-products
(kWh/t TS)</t>
  </si>
  <si>
    <t>HHVbio/HHVfossil</t>
  </si>
  <si>
    <t>LHVbio/LHVfossil</t>
  </si>
  <si>
    <t>1+inverse</t>
  </si>
  <si>
    <t>Average heat content of US coal</t>
  </si>
  <si>
    <t>converted to metric ton</t>
  </si>
  <si>
    <t>Snowden-Swan et al. 2020 Table C.1</t>
  </si>
  <si>
    <t>MJ/t wet sludge</t>
  </si>
  <si>
    <t>EROI_nat gas</t>
  </si>
  <si>
    <t>Lifecycle Energy demand of diesel consumption for transportation
(kWh/t TS)</t>
  </si>
  <si>
    <t>Lifecycle Energy displaced by electricity export 
(kWh/t TS)</t>
  </si>
  <si>
    <t>Lifecycle Energy demand of natural gas imports
(kWh/t TS)</t>
  </si>
  <si>
    <t>Net Lifecycle Energy Balance
(kWh/t TS)</t>
  </si>
  <si>
    <t>EF</t>
  </si>
  <si>
    <t xml:space="preserve">Weighted EF_Renewables = </t>
  </si>
  <si>
    <t xml:space="preserve">Weighted EF = </t>
  </si>
  <si>
    <t>Net electrical export
(kWh/t TS)</t>
  </si>
  <si>
    <t>EF_elec
(g CO2e/kWh)</t>
  </si>
  <si>
    <t>Lifecycle CO2e emissions from net electrical export
(kg CO2e/t TS)</t>
  </si>
  <si>
    <t>EF_NG
(g CO2e/kWh)</t>
  </si>
  <si>
    <t>Natural Gas Import
(kWh/t DS)</t>
  </si>
  <si>
    <t>Diesel consumption for Transportation
(kWh/t TS)</t>
  </si>
  <si>
    <t>EF_diesel
(g CO2e/kWh)</t>
  </si>
  <si>
    <r>
      <t>P</t>
    </r>
    <r>
      <rPr>
        <vertAlign val="subscript"/>
        <sz val="12"/>
        <color theme="1"/>
        <rFont val="Calibri (Body)"/>
      </rPr>
      <t>LFG</t>
    </r>
    <r>
      <rPr>
        <sz val="12"/>
        <color theme="1"/>
        <rFont val="Calibri"/>
        <family val="2"/>
        <scheme val="minor"/>
      </rPr>
      <t xml:space="preserve">
(kg CH4/t TS)</t>
    </r>
  </si>
  <si>
    <r>
      <t>R</t>
    </r>
    <r>
      <rPr>
        <vertAlign val="subscript"/>
        <sz val="12"/>
        <color theme="1"/>
        <rFont val="Calibri (Body)"/>
      </rPr>
      <t>LFG</t>
    </r>
    <r>
      <rPr>
        <sz val="12"/>
        <color theme="1"/>
        <rFont val="Calibri"/>
        <family val="2"/>
        <scheme val="minor"/>
      </rPr>
      <t xml:space="preserve">
(%)</t>
    </r>
  </si>
  <si>
    <t>EF_crude
(g CO2e/kWh)</t>
  </si>
  <si>
    <t>E_bio-crude or heating oil
(kWh/t TS)</t>
  </si>
  <si>
    <t>E_bio-Naphtha or gasoline
(kWh/t TS)</t>
  </si>
  <si>
    <t>E_Bio Gas
(kWh/t TS)</t>
  </si>
  <si>
    <t>E_biochar
(kWh/t TS)</t>
  </si>
  <si>
    <t>Net CO2e emissions displaced by fuel products 
(kg CO2e/t TS)</t>
  </si>
  <si>
    <t>EF_crude</t>
  </si>
  <si>
    <t>Rahman et al. 2015</t>
  </si>
  <si>
    <t>Eq. 11</t>
  </si>
  <si>
    <t>Lifecycle CO2e emissions from diesel consumption
(kg CO2/t DS)</t>
  </si>
  <si>
    <t>Lifecycle CO2e emissions
(kg CO2/t DS)</t>
  </si>
  <si>
    <t>EF_naphtha
(g CO2e/kWh)</t>
  </si>
  <si>
    <t>EF_nat gas
(g CO2e/kWh)</t>
  </si>
  <si>
    <t>EF_Coal
(g CO2e/kWh)</t>
  </si>
  <si>
    <t>Carbon cost (USD/t)</t>
  </si>
  <si>
    <t>Annual Net Operating Profit (USD/yr)</t>
  </si>
  <si>
    <t>NPV
(million USD)</t>
  </si>
  <si>
    <t>Correlation b/w ENV Benefit &amp; Net CO2, and Commercial Benefit &amp; NPV</t>
  </si>
  <si>
    <t>ENV Benefit</t>
  </si>
  <si>
    <t>Commercial Benefit</t>
  </si>
  <si>
    <t>Correlation Coefficients</t>
  </si>
  <si>
    <t>residues</t>
  </si>
  <si>
    <t>Energy export</t>
  </si>
  <si>
    <t>NOP</t>
  </si>
  <si>
    <t>NPV_Ref</t>
  </si>
  <si>
    <t>NPV_50</t>
  </si>
  <si>
    <t>NPV_100</t>
  </si>
  <si>
    <t>NPV_200</t>
  </si>
  <si>
    <t xml:space="preserve">Remaining wet-weight of final residues	</t>
  </si>
  <si>
    <t xml:space="preserve">NET Energy Benefit w/ Products and Transportation	</t>
  </si>
  <si>
    <r>
      <t>(t CO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e/t DS)</t>
    </r>
  </si>
  <si>
    <t>Net lifecycle energy balance</t>
  </si>
  <si>
    <r>
      <t>Net lifecycle CO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e emissions</t>
    </r>
  </si>
  <si>
    <t>AD-CHP-TD-INC-LF*</t>
  </si>
  <si>
    <t>TD-INC-LF*</t>
  </si>
  <si>
    <t>TH-AD-CHP-TD-INC-LF*</t>
  </si>
  <si>
    <t>Eq. 5 &amp; 6</t>
  </si>
  <si>
    <t>Eq. 4</t>
  </si>
  <si>
    <t>Eq. 5 &amp; 9</t>
  </si>
  <si>
    <t>Eq. 15</t>
  </si>
  <si>
    <t>Eq. 14</t>
  </si>
  <si>
    <t>E. 12</t>
  </si>
  <si>
    <t>EIA 2016</t>
  </si>
  <si>
    <r>
      <rPr>
        <b/>
        <sz val="10"/>
        <rFont val="Times New Roman"/>
        <family val="1"/>
      </rPr>
      <t>Table S1</t>
    </r>
    <r>
      <rPr>
        <sz val="10"/>
        <rFont val="Times New Roman"/>
        <family val="1"/>
      </rPr>
      <t>: Direct Landfill (LF) w/o LFG capture</t>
    </r>
  </si>
  <si>
    <r>
      <t>TS</t>
    </r>
    <r>
      <rPr>
        <vertAlign val="subscript"/>
        <sz val="10"/>
        <rFont val="Times New Roman"/>
        <family val="1"/>
      </rPr>
      <t>f</t>
    </r>
    <r>
      <rPr>
        <sz val="10"/>
        <rFont val="Times New Roman"/>
        <family val="1"/>
      </rPr>
      <t>/TS</t>
    </r>
    <r>
      <rPr>
        <vertAlign val="subscript"/>
        <sz val="10"/>
        <rFont val="Times New Roman"/>
        <family val="1"/>
      </rPr>
      <t>i</t>
    </r>
  </si>
  <si>
    <r>
      <t>MC</t>
    </r>
    <r>
      <rPr>
        <vertAlign val="subscript"/>
        <sz val="10"/>
        <rFont val="Times New Roman"/>
        <family val="1"/>
      </rPr>
      <t>f</t>
    </r>
  </si>
  <si>
    <r>
      <t>WS</t>
    </r>
    <r>
      <rPr>
        <vertAlign val="subscript"/>
        <sz val="10"/>
        <rFont val="Times New Roman"/>
        <family val="1"/>
      </rPr>
      <t>f</t>
    </r>
    <r>
      <rPr>
        <sz val="10"/>
        <rFont val="Times New Roman"/>
        <family val="1"/>
      </rPr>
      <t>/TS</t>
    </r>
    <r>
      <rPr>
        <vertAlign val="subscript"/>
        <sz val="10"/>
        <rFont val="Times New Roman"/>
        <family val="1"/>
      </rPr>
      <t>i</t>
    </r>
  </si>
  <si>
    <r>
      <t>E</t>
    </r>
    <r>
      <rPr>
        <vertAlign val="subscript"/>
        <sz val="10"/>
        <rFont val="Times New Roman"/>
        <family val="1"/>
      </rPr>
      <t>elec,out</t>
    </r>
  </si>
  <si>
    <r>
      <t>VS</t>
    </r>
    <r>
      <rPr>
        <vertAlign val="subscript"/>
        <sz val="10"/>
        <rFont val="Times New Roman"/>
        <family val="1"/>
      </rPr>
      <t>LF</t>
    </r>
  </si>
  <si>
    <r>
      <t>R</t>
    </r>
    <r>
      <rPr>
        <vertAlign val="subscript"/>
        <sz val="10"/>
        <rFont val="Times New Roman"/>
        <family val="1"/>
      </rPr>
      <t>LFG</t>
    </r>
  </si>
  <si>
    <r>
      <t>E</t>
    </r>
    <r>
      <rPr>
        <vertAlign val="subscript"/>
        <sz val="10"/>
        <rFont val="Times New Roman"/>
        <family val="1"/>
      </rPr>
      <t>LFG</t>
    </r>
  </si>
  <si>
    <r>
      <t>E</t>
    </r>
    <r>
      <rPr>
        <vertAlign val="subscript"/>
        <sz val="10"/>
        <rFont val="Times New Roman"/>
        <family val="1"/>
      </rPr>
      <t>elec,in</t>
    </r>
  </si>
  <si>
    <r>
      <t>E</t>
    </r>
    <r>
      <rPr>
        <vertAlign val="subscript"/>
        <sz val="10"/>
        <rFont val="Times New Roman"/>
        <family val="1"/>
      </rPr>
      <t>prod</t>
    </r>
  </si>
  <si>
    <r>
      <t>E</t>
    </r>
    <r>
      <rPr>
        <vertAlign val="subscript"/>
        <sz val="10"/>
        <rFont val="Times New Roman"/>
        <family val="1"/>
      </rPr>
      <t>diesel</t>
    </r>
  </si>
  <si>
    <r>
      <t>E</t>
    </r>
    <r>
      <rPr>
        <vertAlign val="subscript"/>
        <sz val="10"/>
        <rFont val="Times New Roman"/>
        <family val="1"/>
      </rPr>
      <t>NG,in</t>
    </r>
  </si>
  <si>
    <r>
      <t>E</t>
    </r>
    <r>
      <rPr>
        <vertAlign val="subscript"/>
        <sz val="10"/>
        <rFont val="Times New Roman"/>
        <family val="1"/>
      </rPr>
      <t>NET</t>
    </r>
  </si>
  <si>
    <r>
      <t>Net 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 emissions</t>
    </r>
  </si>
  <si>
    <r>
      <t>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e</t>
    </r>
    <r>
      <rPr>
        <vertAlign val="subscript"/>
        <sz val="10"/>
        <rFont val="Times New Roman"/>
        <family val="1"/>
      </rPr>
      <t>LFG,rel</t>
    </r>
  </si>
  <si>
    <r>
      <t>kg 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/t TS</t>
    </r>
  </si>
  <si>
    <r>
      <t>TS</t>
    </r>
    <r>
      <rPr>
        <vertAlign val="subscript"/>
        <sz val="10"/>
        <rFont val="Times New Roman"/>
        <family val="1"/>
      </rPr>
      <t>f,LA</t>
    </r>
    <r>
      <rPr>
        <sz val="10"/>
        <rFont val="Times New Roman"/>
        <family val="1"/>
      </rPr>
      <t>/TS</t>
    </r>
    <r>
      <rPr>
        <vertAlign val="subscript"/>
        <sz val="10"/>
        <rFont val="Times New Roman"/>
        <family val="1"/>
      </rPr>
      <t>i</t>
    </r>
  </si>
  <si>
    <r>
      <t>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e</t>
    </r>
    <r>
      <rPr>
        <vertAlign val="subscript"/>
        <sz val="10"/>
        <rFont val="Times New Roman"/>
        <family val="1"/>
      </rPr>
      <t>N2O,LA</t>
    </r>
  </si>
  <si>
    <r>
      <t>TS</t>
    </r>
    <r>
      <rPr>
        <vertAlign val="subscript"/>
        <sz val="10"/>
        <rFont val="Times New Roman"/>
        <family val="1"/>
      </rPr>
      <t>INC</t>
    </r>
    <r>
      <rPr>
        <sz val="10"/>
        <rFont val="Times New Roman"/>
        <family val="1"/>
      </rPr>
      <t>/TS</t>
    </r>
    <r>
      <rPr>
        <vertAlign val="subscript"/>
        <sz val="10"/>
        <rFont val="Times New Roman"/>
        <family val="1"/>
      </rPr>
      <t>i</t>
    </r>
  </si>
  <si>
    <r>
      <t>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e</t>
    </r>
    <r>
      <rPr>
        <vertAlign val="subscript"/>
        <sz val="10"/>
        <rFont val="Times New Roman"/>
        <family val="1"/>
      </rPr>
      <t>N2O,inc</t>
    </r>
  </si>
  <si>
    <r>
      <t>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e</t>
    </r>
    <r>
      <rPr>
        <vertAlign val="subscript"/>
        <sz val="10"/>
        <rFont val="Times New Roman"/>
        <family val="1"/>
      </rPr>
      <t>disp, fuels</t>
    </r>
  </si>
  <si>
    <r>
      <t>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e</t>
    </r>
    <r>
      <rPr>
        <vertAlign val="subscript"/>
        <sz val="10"/>
        <rFont val="Times New Roman"/>
        <family val="1"/>
      </rPr>
      <t>disp, fertilizers</t>
    </r>
  </si>
  <si>
    <r>
      <t>CO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e</t>
    </r>
    <r>
      <rPr>
        <vertAlign val="subscript"/>
        <sz val="10"/>
        <rFont val="Times New Roman"/>
        <family val="1"/>
      </rPr>
      <t>NET</t>
    </r>
  </si>
  <si>
    <r>
      <rPr>
        <b/>
        <sz val="10"/>
        <rFont val="Times New Roman"/>
        <family val="1"/>
      </rPr>
      <t>Table S2</t>
    </r>
    <r>
      <rPr>
        <sz val="10"/>
        <rFont val="Times New Roman"/>
        <family val="1"/>
      </rPr>
      <t>: Direct Landfill w/ LFG capture (LF_LFG)</t>
    </r>
  </si>
  <si>
    <r>
      <rPr>
        <b/>
        <sz val="10"/>
        <rFont val="Times New Roman"/>
        <family val="1"/>
      </rPr>
      <t>Table S8</t>
    </r>
    <r>
      <rPr>
        <sz val="10"/>
        <rFont val="Times New Roman"/>
        <family val="1"/>
      </rPr>
      <t>: Anaerobic Digestion - Combined Heat and Power - Landfill (AD-CHP-LF) w/o LFG capture</t>
    </r>
  </si>
  <si>
    <r>
      <t>VS</t>
    </r>
    <r>
      <rPr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>/TS</t>
    </r>
    <r>
      <rPr>
        <vertAlign val="subscript"/>
        <sz val="10"/>
        <rFont val="Times New Roman"/>
        <family val="1"/>
      </rPr>
      <t>i</t>
    </r>
  </si>
  <si>
    <r>
      <rPr>
        <b/>
        <sz val="10"/>
        <rFont val="Times New Roman"/>
        <family val="1"/>
      </rPr>
      <t>Table S9</t>
    </r>
    <r>
      <rPr>
        <sz val="10"/>
        <rFont val="Times New Roman"/>
        <family val="1"/>
      </rPr>
      <t>: Anaerobic Digestion - Combined Heat and Power - Landfill w/ LFG capture (AD-CHP-LF_LFG)</t>
    </r>
  </si>
  <si>
    <r>
      <rPr>
        <b/>
        <sz val="10"/>
        <rFont val="Times New Roman"/>
        <family val="1"/>
      </rPr>
      <t>Table S10</t>
    </r>
    <r>
      <rPr>
        <sz val="10"/>
        <rFont val="Times New Roman"/>
        <family val="1"/>
      </rPr>
      <t>: Anaerobic Digestion - Combined Heat and Power - Land Application (AD-CHP-LA)</t>
    </r>
  </si>
  <si>
    <r>
      <rPr>
        <b/>
        <sz val="10"/>
        <rFont val="Times New Roman"/>
        <family val="1"/>
      </rPr>
      <t>Table S11</t>
    </r>
    <r>
      <rPr>
        <sz val="10"/>
        <rFont val="Times New Roman"/>
        <family val="1"/>
      </rPr>
      <t>: Anaerobic Digestion - Combined Heat and Power - Thermal Drying - Landfill (AD-CHP-TD-LF) w/o LFG capture</t>
    </r>
  </si>
  <si>
    <r>
      <rPr>
        <b/>
        <sz val="10"/>
        <rFont val="Times New Roman"/>
        <family val="1"/>
      </rPr>
      <t>Table S12</t>
    </r>
    <r>
      <rPr>
        <sz val="10"/>
        <rFont val="Times New Roman"/>
        <family val="1"/>
      </rPr>
      <t>: Anaerobic Digestion - Combined Heat and Power - Thermal Drying - Landfill w/ LFG capture (AD-CHP-TD-LF_LFG)</t>
    </r>
  </si>
  <si>
    <r>
      <rPr>
        <b/>
        <sz val="10"/>
        <rFont val="Times New Roman"/>
        <family val="1"/>
      </rPr>
      <t>Table S13</t>
    </r>
    <r>
      <rPr>
        <sz val="10"/>
        <rFont val="Times New Roman"/>
        <family val="1"/>
      </rPr>
      <t>: Anaerobic Digestion - Combined Heat and Power - Thermal Drying - Land Application (AD-CHP-TD-LA)</t>
    </r>
  </si>
  <si>
    <r>
      <rPr>
        <b/>
        <sz val="10"/>
        <rFont val="Times New Roman"/>
        <family val="1"/>
      </rPr>
      <t>Table S14</t>
    </r>
    <r>
      <rPr>
        <sz val="10"/>
        <rFont val="Times New Roman"/>
        <family val="1"/>
      </rPr>
      <t>: Anaerobic Digestion - Combined Heat and Power - Thermal Drying - Incineration - Landfill (AD-CHP-TD-INC-LF) w/o LFG capture</t>
    </r>
  </si>
  <si>
    <r>
      <rPr>
        <b/>
        <sz val="10"/>
        <rFont val="Times New Roman"/>
        <family val="1"/>
      </rPr>
      <t>Table S15</t>
    </r>
    <r>
      <rPr>
        <sz val="10"/>
        <rFont val="Times New Roman"/>
        <family val="1"/>
      </rPr>
      <t>: Thermal Hydrolysis - Anaerobic Digestion - Combined Heat and Power - Landfill (TH-AD-CHP-LF) w/o LFG capture</t>
    </r>
  </si>
  <si>
    <r>
      <rPr>
        <b/>
        <sz val="10"/>
        <rFont val="Times New Roman"/>
        <family val="1"/>
      </rPr>
      <t>Table S16</t>
    </r>
    <r>
      <rPr>
        <sz val="10"/>
        <rFont val="Times New Roman"/>
        <family val="1"/>
      </rPr>
      <t>: Thermal Hydrolysis - Anaerobic Digestion - Comnbined Heat and Power - Landfill w/ LFG capture (TH-AD-CHP-LF_LFG)</t>
    </r>
  </si>
  <si>
    <r>
      <rPr>
        <b/>
        <sz val="10"/>
        <rFont val="Times New Roman"/>
        <family val="1"/>
      </rPr>
      <t>Table S17</t>
    </r>
    <r>
      <rPr>
        <sz val="10"/>
        <rFont val="Times New Roman"/>
        <family val="1"/>
      </rPr>
      <t>: Thermal Hydrolysis - Anaerobic Digestion - Combined Heat and Power - Land application (TH-AD-CHP-LA)</t>
    </r>
  </si>
  <si>
    <r>
      <rPr>
        <b/>
        <sz val="10"/>
        <rFont val="Times New Roman"/>
        <family val="1"/>
      </rPr>
      <t>Table S18</t>
    </r>
    <r>
      <rPr>
        <sz val="10"/>
        <rFont val="Times New Roman"/>
        <family val="1"/>
      </rPr>
      <t>: Thermal Hydrolysis - Anaerobic Digestion - Combined Heat and Power - Thermal Drying - Incineraiton - Landfill (TH-AD-CHP-TD-INC-LF) w/o LFG capture</t>
    </r>
  </si>
  <si>
    <r>
      <rPr>
        <b/>
        <sz val="10"/>
        <rFont val="Times New Roman"/>
        <family val="1"/>
      </rPr>
      <t>Table S19</t>
    </r>
    <r>
      <rPr>
        <sz val="10"/>
        <rFont val="Times New Roman"/>
        <family val="1"/>
      </rPr>
      <t>: Hydrothermal Liquefaction - Conventional Activated Sludge for aqueoud products- Biocrude (HTL-CAS_BC)</t>
    </r>
  </si>
  <si>
    <r>
      <t>Solid phase remaining (% dry solids), TS</t>
    </r>
    <r>
      <rPr>
        <vertAlign val="subscript"/>
        <sz val="10"/>
        <rFont val="Times New Roman"/>
        <family val="1"/>
      </rPr>
      <t>f</t>
    </r>
    <r>
      <rPr>
        <sz val="10"/>
        <rFont val="Times New Roman"/>
        <family val="1"/>
      </rPr>
      <t>/Tsi</t>
    </r>
  </si>
  <si>
    <r>
      <rPr>
        <b/>
        <sz val="10"/>
        <rFont val="Times New Roman"/>
        <family val="1"/>
      </rPr>
      <t>Table S20</t>
    </r>
    <r>
      <rPr>
        <sz val="10"/>
        <rFont val="Times New Roman"/>
        <family val="1"/>
      </rPr>
      <t>: Hydrothermal Liquefaction - Conventional Activated Sludge for aqueous products- Fuel Products  (HTL-CAS_FP)</t>
    </r>
  </si>
  <si>
    <r>
      <t>Solid phase remaining (% dry solids), TS</t>
    </r>
    <r>
      <rPr>
        <vertAlign val="subscript"/>
        <sz val="10"/>
        <rFont val="Times New Roman"/>
        <family val="1"/>
      </rPr>
      <t>f</t>
    </r>
    <r>
      <rPr>
        <sz val="10"/>
        <rFont val="Times New Roman"/>
        <family val="1"/>
      </rPr>
      <t>/TS</t>
    </r>
    <r>
      <rPr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= </t>
    </r>
  </si>
  <si>
    <r>
      <rPr>
        <b/>
        <sz val="10"/>
        <rFont val="Times New Roman"/>
        <family val="1"/>
      </rPr>
      <t>Table S21</t>
    </r>
    <r>
      <rPr>
        <sz val="10"/>
        <rFont val="Times New Roman"/>
        <family val="1"/>
      </rPr>
      <t>: Hydrothermal Liquefaction - Ammonia Stripping - Conventional Activated Sludge for aqueous products - Biocrude (HTL-NH3-CAS_BC)</t>
    </r>
  </si>
  <si>
    <r>
      <rPr>
        <b/>
        <sz val="10"/>
        <rFont val="Times New Roman"/>
        <family val="1"/>
      </rPr>
      <t>Table S23</t>
    </r>
    <r>
      <rPr>
        <sz val="10"/>
        <rFont val="Times New Roman"/>
        <family val="1"/>
      </rPr>
      <t>: Supercritical Hydrothermal Liquefaction-Conventional Activated Sludge for aqueous products_Bioheavy Oil (SupCrit HTL-CAS_BHO)</t>
    </r>
  </si>
  <si>
    <r>
      <rPr>
        <b/>
        <sz val="10"/>
        <rFont val="Times New Roman"/>
        <family val="1"/>
      </rPr>
      <t>Table S24</t>
    </r>
    <r>
      <rPr>
        <sz val="10"/>
        <rFont val="Times New Roman"/>
        <family val="1"/>
      </rPr>
      <t>: Subcritical Hydrothermal Liquefaction - Conventional Activated Sludge for aqueous products - Bioheavy Oil (SubCrit HTL-CAS_BHO)</t>
    </r>
  </si>
  <si>
    <r>
      <rPr>
        <b/>
        <sz val="10"/>
        <rFont val="Times New Roman"/>
        <family val="1"/>
      </rPr>
      <t>Table S25</t>
    </r>
    <r>
      <rPr>
        <sz val="10"/>
        <rFont val="Times New Roman"/>
        <family val="1"/>
      </rPr>
      <t>: Hydrothermal Liquefaction - Anaerobic Digestion of aqueous coproduct - combined heat and power of biogas - biocrude (HTL-AD-CHP_BC)</t>
    </r>
  </si>
  <si>
    <r>
      <rPr>
        <b/>
        <sz val="10"/>
        <rFont val="Times New Roman"/>
        <family val="1"/>
      </rPr>
      <t>Table S26</t>
    </r>
    <r>
      <rPr>
        <sz val="10"/>
        <rFont val="Times New Roman"/>
        <family val="1"/>
      </rPr>
      <t>: Hydrothermal Liquefaction - Anaerobic Digestion of aqueous products - Boiler combustion of biogas - Biocrude (HTL-AD-Boiler_BC)</t>
    </r>
  </si>
  <si>
    <r>
      <rPr>
        <b/>
        <sz val="10"/>
        <rFont val="Times New Roman"/>
        <family val="1"/>
      </rPr>
      <t>Table S27</t>
    </r>
    <r>
      <rPr>
        <sz val="10"/>
        <rFont val="Times New Roman"/>
        <family val="1"/>
      </rPr>
      <t>: Hydrothermal Liquefaction - Catalytic Hydrothermal Gasificaiton of aqueous products - Combined Heat and Power of biogas - Biocrude  (HTL-CHG-CHP_BC)</t>
    </r>
  </si>
  <si>
    <r>
      <rPr>
        <b/>
        <sz val="10"/>
        <rFont val="Times New Roman"/>
        <family val="1"/>
      </rPr>
      <t>Table S28</t>
    </r>
    <r>
      <rPr>
        <sz val="10"/>
        <rFont val="Times New Roman"/>
        <family val="1"/>
      </rPr>
      <t>: Hydrothermal Liquefaction - Catalytic Hydrothermal Gasification of aqueous products - Boiler combustion of biogas - Biocrude (HTL-CHG-Boiler_BC)</t>
    </r>
  </si>
  <si>
    <r>
      <rPr>
        <b/>
        <sz val="10"/>
        <rFont val="Times New Roman"/>
        <family val="1"/>
      </rPr>
      <t>Table S29</t>
    </r>
    <r>
      <rPr>
        <sz val="10"/>
        <rFont val="Times New Roman"/>
        <family val="1"/>
      </rPr>
      <t>: Thermal Drying - Air Gasification (TD-AirGs-CHP)</t>
    </r>
  </si>
  <si>
    <r>
      <rPr>
        <b/>
        <sz val="10"/>
        <rFont val="Times New Roman"/>
        <family val="1"/>
      </rPr>
      <t>Table S30</t>
    </r>
    <r>
      <rPr>
        <sz val="10"/>
        <rFont val="Times New Roman"/>
        <family val="1"/>
      </rPr>
      <t>: Thermal Drying - Steam Gasification (TD-StmGs-CHP)</t>
    </r>
  </si>
  <si>
    <r>
      <rPr>
        <b/>
        <sz val="10"/>
        <rFont val="Times New Roman"/>
        <family val="1"/>
      </rPr>
      <t>Table S31</t>
    </r>
    <r>
      <rPr>
        <sz val="10"/>
        <rFont val="Times New Roman"/>
        <family val="1"/>
      </rPr>
      <t>: Fry Dry-Torrefaction-Combustion (FD-Torr-Comb_BSF)</t>
    </r>
  </si>
  <si>
    <r>
      <rPr>
        <b/>
        <sz val="10"/>
        <rFont val="Times New Roman"/>
        <family val="1"/>
      </rPr>
      <t>Table S32</t>
    </r>
    <r>
      <rPr>
        <sz val="10"/>
        <rFont val="Times New Roman"/>
        <family val="1"/>
      </rPr>
      <t>: Fry Dry-Torrefaction (FD-Torr_BSF)</t>
    </r>
  </si>
  <si>
    <r>
      <rPr>
        <b/>
        <sz val="10"/>
        <rFont val="Times New Roman"/>
        <family val="1"/>
      </rPr>
      <t>Table S33</t>
    </r>
    <r>
      <rPr>
        <sz val="10"/>
        <rFont val="Times New Roman"/>
        <family val="1"/>
      </rPr>
      <t>: Scum Transesterificaton-Photo algal bio reactor-Thermal Drying - Microwave Pyrolysis (TE-PBR-TD-MWPy)</t>
    </r>
  </si>
  <si>
    <r>
      <rPr>
        <b/>
        <sz val="10"/>
        <rFont val="Times New Roman"/>
        <family val="1"/>
      </rPr>
      <t>Table S34</t>
    </r>
    <r>
      <rPr>
        <sz val="10"/>
        <rFont val="Times New Roman"/>
        <family val="1"/>
      </rPr>
      <t>: Thermal Drying - Pyrolysis (TD-Py)</t>
    </r>
  </si>
  <si>
    <r>
      <rPr>
        <b/>
        <sz val="10"/>
        <rFont val="Times New Roman"/>
        <family val="1"/>
      </rPr>
      <t>Table S35</t>
    </r>
    <r>
      <rPr>
        <sz val="10"/>
        <rFont val="Times New Roman"/>
        <family val="1"/>
      </rPr>
      <t>: Hydrothermal Carbonization - Anaerobic Digestion of aqueous products - Combined heat and power - Land Application (HTC-AD-CHP-LA)</t>
    </r>
  </si>
  <si>
    <r>
      <rPr>
        <b/>
        <sz val="10"/>
        <rFont val="Times New Roman"/>
        <family val="1"/>
      </rPr>
      <t>Table S36</t>
    </r>
    <r>
      <rPr>
        <sz val="10"/>
        <rFont val="Times New Roman"/>
        <family val="1"/>
      </rPr>
      <t>: CO2e of Land Applied Biosolids</t>
    </r>
  </si>
  <si>
    <r>
      <t>Table S5:</t>
    </r>
    <r>
      <rPr>
        <sz val="10"/>
        <rFont val="Times New Roman"/>
        <family val="1"/>
      </rPr>
      <t xml:space="preserve"> Land Application (LA)</t>
    </r>
  </si>
  <si>
    <r>
      <t xml:space="preserve">Table S3: </t>
    </r>
    <r>
      <rPr>
        <sz val="10"/>
        <rFont val="Times New Roman"/>
        <family val="1"/>
      </rPr>
      <t>Thermal Drying - Landfill (TD-LF)</t>
    </r>
  </si>
  <si>
    <r>
      <t xml:space="preserve">Table S4: </t>
    </r>
    <r>
      <rPr>
        <sz val="10"/>
        <rFont val="Times New Roman"/>
        <family val="1"/>
      </rPr>
      <t>Thermal Drying - Landfill w/ Landfill gas collection (TD-LF_LFG)</t>
    </r>
  </si>
  <si>
    <r>
      <t>Table S6:</t>
    </r>
    <r>
      <rPr>
        <sz val="10"/>
        <rFont val="Times New Roman"/>
        <family val="1"/>
      </rPr>
      <t xml:space="preserve"> Thermal Drying - Land Application (TD-LA)</t>
    </r>
  </si>
  <si>
    <r>
      <t xml:space="preserve">Table S7: </t>
    </r>
    <r>
      <rPr>
        <sz val="10"/>
        <rFont val="Times New Roman"/>
        <family val="1"/>
      </rPr>
      <t>Thermal Drying - Incineration - Landfill (TD-INC-LF)</t>
    </r>
  </si>
  <si>
    <t>Hunt et a. 2006</t>
  </si>
  <si>
    <t>Storm 2020</t>
  </si>
  <si>
    <t>Hunt et al. 2006</t>
  </si>
  <si>
    <r>
      <t xml:space="preserve">Table S22: </t>
    </r>
    <r>
      <rPr>
        <sz val="10"/>
        <rFont val="Times New Roman"/>
        <family val="1"/>
      </rPr>
      <t>Hydrothermal Liquefaction - Ammonia Stripping - Conventional Activated Sludge for aqueous products - Fuel Products (HTL-NH3-CAS_FP)</t>
    </r>
  </si>
  <si>
    <t>NPV_150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</si>
</sst>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"/>
    <numFmt numFmtId="165" formatCode="0.00_);[Red]\(0.00\)"/>
    <numFmt numFmtId="166" formatCode="0.000"/>
    <numFmt numFmtId="167" formatCode="#,##0.000_);[Red]\(#,##0.000\)"/>
    <numFmt numFmtId="168" formatCode="0.0%"/>
    <numFmt numFmtId="169" formatCode="_(&quot;$&quot;* #,##0_);_(&quot;$&quot;* \(#,##0\);_(&quot;$&quot;* &quot;-&quot;??_);_(@_)"/>
    <numFmt numFmtId="170" formatCode="0.0000"/>
    <numFmt numFmtId="171" formatCode="&quot;$&quot;#,##0"/>
  </numFmts>
  <fonts count="2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9C5700"/>
      <name val="Calibri"/>
      <family val="2"/>
      <scheme val="minor"/>
    </font>
    <font>
      <u/>
      <sz val="12"/>
      <color theme="10"/>
      <name val="Calibri"/>
      <family val="2"/>
      <scheme val="minor"/>
    </font>
    <font>
      <vertAlign val="subscript"/>
      <sz val="12"/>
      <color theme="1"/>
      <name val="Calibri (Body)"/>
    </font>
    <font>
      <sz val="12"/>
      <color rgb="FF3F3F7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FA7D00"/>
      <name val="Calibri"/>
      <family val="2"/>
      <scheme val="minor"/>
    </font>
    <font>
      <b/>
      <vertAlign val="subscript"/>
      <sz val="12"/>
      <color theme="1"/>
      <name val="Calibri (Body)"/>
    </font>
    <font>
      <sz val="10"/>
      <name val="Times New Roman"/>
      <family val="1"/>
    </font>
    <font>
      <b/>
      <sz val="10"/>
      <name val="Times New Roman"/>
      <family val="1"/>
    </font>
    <font>
      <vertAlign val="subscript"/>
      <sz val="10"/>
      <name val="Times New Roman"/>
      <family val="1"/>
    </font>
    <font>
      <b/>
      <vertAlign val="subscript"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 applyNumberFormat="0" applyAlignment="0" applyProtection="0"/>
    <xf numFmtId="0" fontId="2" fillId="2" borderId="0" applyNumberFormat="0" applyFont="0" applyBorder="0" applyAlignment="0" applyProtection="0"/>
    <xf numFmtId="0" fontId="3" fillId="3" borderId="0" applyNumberFormat="0" applyFont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6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3" fillId="13" borderId="28" applyNumberFormat="0" applyAlignment="0" applyProtection="0"/>
    <xf numFmtId="0" fontId="14" fillId="14" borderId="28" applyNumberFormat="0" applyAlignment="0" applyProtection="0"/>
  </cellStyleXfs>
  <cellXfs count="3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38" fontId="0" fillId="0" borderId="0" xfId="0" applyNumberFormat="1" applyAlignment="1">
      <alignment horizontal="center" wrapText="1"/>
    </xf>
    <xf numFmtId="9" fontId="0" fillId="0" borderId="0" xfId="4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wrapText="1"/>
    </xf>
    <xf numFmtId="0" fontId="0" fillId="5" borderId="0" xfId="0" applyNumberFormat="1" applyFill="1" applyAlignment="1">
      <alignment horizontal="center"/>
    </xf>
    <xf numFmtId="9" fontId="6" fillId="5" borderId="17" xfId="4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left"/>
    </xf>
    <xf numFmtId="4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44" fontId="0" fillId="0" borderId="0" xfId="0" applyNumberFormat="1"/>
    <xf numFmtId="2" fontId="0" fillId="0" borderId="0" xfId="0" applyNumberFormat="1"/>
    <xf numFmtId="0" fontId="1" fillId="0" borderId="4" xfId="0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44" fontId="1" fillId="8" borderId="16" xfId="0" applyNumberFormat="1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center"/>
    </xf>
    <xf numFmtId="39" fontId="0" fillId="0" borderId="0" xfId="0" applyNumberFormat="1"/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0" fontId="9" fillId="5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38" fontId="0" fillId="0" borderId="0" xfId="0" applyNumberFormat="1" applyAlignment="1">
      <alignment horizontal="right"/>
    </xf>
    <xf numFmtId="11" fontId="0" fillId="0" borderId="0" xfId="0" applyNumberFormat="1" applyAlignment="1">
      <alignment horizontal="center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2" borderId="0" xfId="1" applyFont="1" applyAlignment="1">
      <alignment horizontal="center"/>
    </xf>
    <xf numFmtId="0" fontId="11" fillId="0" borderId="0" xfId="6" applyBorder="1" applyAlignment="1">
      <alignment horizontal="right"/>
    </xf>
    <xf numFmtId="44" fontId="0" fillId="0" borderId="0" xfId="0" applyNumberFormat="1" applyAlignment="1">
      <alignment horizontal="right"/>
    </xf>
    <xf numFmtId="2" fontId="0" fillId="0" borderId="0" xfId="0" applyNumberForma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66" fontId="0" fillId="0" borderId="0" xfId="0" applyNumberFormat="1" applyAlignment="1">
      <alignment horizontal="center" wrapText="1"/>
    </xf>
    <xf numFmtId="9" fontId="0" fillId="0" borderId="0" xfId="0" applyNumberFormat="1"/>
    <xf numFmtId="164" fontId="0" fillId="0" borderId="0" xfId="0" applyNumberFormat="1" applyAlignment="1">
      <alignment horizontal="center" wrapText="1"/>
    </xf>
    <xf numFmtId="167" fontId="1" fillId="0" borderId="0" xfId="0" applyNumberFormat="1" applyFont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0" xfId="0" applyFont="1"/>
    <xf numFmtId="0" fontId="0" fillId="2" borderId="0" xfId="1" applyFont="1" applyBorder="1" applyAlignment="1">
      <alignment horizontal="center"/>
    </xf>
    <xf numFmtId="0" fontId="9" fillId="2" borderId="0" xfId="1" applyFont="1" applyBorder="1" applyAlignment="1">
      <alignment horizontal="center"/>
    </xf>
    <xf numFmtId="0" fontId="9" fillId="2" borderId="0" xfId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0" fontId="0" fillId="0" borderId="0" xfId="0" applyNumberFormat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40" fontId="0" fillId="10" borderId="0" xfId="0" applyNumberFormat="1" applyFill="1" applyAlignment="1">
      <alignment horizontal="center" wrapText="1"/>
    </xf>
    <xf numFmtId="0" fontId="0" fillId="10" borderId="10" xfId="0" applyFill="1" applyBorder="1" applyAlignment="1">
      <alignment horizontal="center" vertical="center" wrapText="1"/>
    </xf>
    <xf numFmtId="38" fontId="1" fillId="4" borderId="12" xfId="0" applyNumberFormat="1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9" fontId="8" fillId="0" borderId="0" xfId="4" applyFont="1" applyAlignment="1">
      <alignment horizontal="center" wrapText="1"/>
    </xf>
    <xf numFmtId="9" fontId="8" fillId="0" borderId="0" xfId="4" applyFont="1" applyBorder="1" applyAlignment="1">
      <alignment horizontal="center" vertical="center" wrapText="1"/>
    </xf>
    <xf numFmtId="0" fontId="0" fillId="11" borderId="0" xfId="0" applyFill="1" applyAlignment="1">
      <alignment horizontal="center" wrapText="1"/>
    </xf>
    <xf numFmtId="38" fontId="0" fillId="10" borderId="0" xfId="0" applyNumberFormat="1" applyFill="1" applyAlignment="1">
      <alignment horizontal="center" wrapText="1"/>
    </xf>
    <xf numFmtId="0" fontId="0" fillId="2" borderId="0" xfId="1" applyFont="1" applyAlignment="1">
      <alignment horizontal="center" wrapText="1"/>
    </xf>
    <xf numFmtId="6" fontId="0" fillId="0" borderId="0" xfId="0" applyNumberFormat="1"/>
    <xf numFmtId="6" fontId="0" fillId="0" borderId="0" xfId="0" applyNumberFormat="1" applyAlignment="1">
      <alignment horizontal="right"/>
    </xf>
    <xf numFmtId="6" fontId="0" fillId="0" borderId="0" xfId="3" applyNumberFormat="1" applyFont="1"/>
    <xf numFmtId="2" fontId="0" fillId="0" borderId="10" xfId="0" applyNumberFormat="1" applyBorder="1" applyAlignment="1">
      <alignment horizontal="center" vertical="center" wrapText="1"/>
    </xf>
    <xf numFmtId="165" fontId="6" fillId="0" borderId="16" xfId="2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4" fontId="0" fillId="0" borderId="21" xfId="0" applyNumberFormat="1" applyBorder="1" applyAlignment="1">
      <alignment horizontal="center" vertical="center" wrapText="1"/>
    </xf>
    <xf numFmtId="1" fontId="6" fillId="0" borderId="24" xfId="2" applyNumberFormat="1" applyFont="1" applyFill="1" applyBorder="1" applyAlignment="1">
      <alignment horizontal="center" vertical="center" wrapText="1"/>
    </xf>
    <xf numFmtId="0" fontId="1" fillId="8" borderId="10" xfId="2" applyFont="1" applyFill="1" applyBorder="1" applyAlignment="1">
      <alignment vertical="center"/>
    </xf>
    <xf numFmtId="0" fontId="1" fillId="8" borderId="11" xfId="2" applyFont="1" applyFill="1" applyBorder="1" applyAlignment="1">
      <alignment vertical="center"/>
    </xf>
    <xf numFmtId="0" fontId="1" fillId="8" borderId="12" xfId="2" applyFont="1" applyFill="1" applyBorder="1" applyAlignment="1">
      <alignment vertical="center"/>
    </xf>
    <xf numFmtId="0" fontId="4" fillId="0" borderId="0" xfId="0" applyFont="1" applyAlignment="1">
      <alignment horizontal="center" wrapText="1"/>
    </xf>
    <xf numFmtId="9" fontId="4" fillId="0" borderId="0" xfId="4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44" fontId="4" fillId="0" borderId="0" xfId="0" applyNumberFormat="1" applyFont="1"/>
    <xf numFmtId="3" fontId="8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wrapText="1"/>
    </xf>
    <xf numFmtId="3" fontId="8" fillId="0" borderId="0" xfId="4" applyNumberFormat="1" applyFont="1" applyAlignment="1">
      <alignment horizontal="center" wrapText="1"/>
    </xf>
    <xf numFmtId="3" fontId="8" fillId="0" borderId="0" xfId="4" applyNumberFormat="1" applyFont="1" applyBorder="1" applyAlignment="1">
      <alignment horizontal="center" vertical="center" wrapText="1"/>
    </xf>
    <xf numFmtId="44" fontId="14" fillId="14" borderId="28" xfId="8" applyNumberFormat="1" applyAlignment="1">
      <alignment horizontal="center"/>
    </xf>
    <xf numFmtId="9" fontId="13" fillId="13" borderId="28" xfId="7" applyNumberFormat="1" applyAlignment="1">
      <alignment horizontal="center"/>
    </xf>
    <xf numFmtId="38" fontId="14" fillId="14" borderId="28" xfId="8" applyNumberFormat="1" applyAlignment="1">
      <alignment horizontal="center" wrapText="1"/>
    </xf>
    <xf numFmtId="2" fontId="14" fillId="14" borderId="28" xfId="8" applyNumberFormat="1" applyAlignment="1">
      <alignment horizontal="center" wrapText="1"/>
    </xf>
    <xf numFmtId="164" fontId="14" fillId="14" borderId="28" xfId="8" applyNumberFormat="1" applyAlignment="1">
      <alignment horizontal="center" wrapText="1"/>
    </xf>
    <xf numFmtId="38" fontId="1" fillId="0" borderId="0" xfId="0" applyNumberFormat="1" applyFont="1" applyAlignment="1">
      <alignment horizontal="center" wrapText="1"/>
    </xf>
    <xf numFmtId="38" fontId="4" fillId="0" borderId="0" xfId="0" applyNumberFormat="1" applyFont="1" applyAlignment="1">
      <alignment horizontal="center" wrapText="1"/>
    </xf>
    <xf numFmtId="0" fontId="1" fillId="7" borderId="16" xfId="0" applyFont="1" applyFill="1" applyBorder="1" applyAlignment="1">
      <alignment horizontal="center" vertical="center" wrapText="1"/>
    </xf>
    <xf numFmtId="1" fontId="14" fillId="14" borderId="28" xfId="8" applyNumberFormat="1" applyAlignment="1">
      <alignment horizontal="center" wrapText="1"/>
    </xf>
    <xf numFmtId="38" fontId="13" fillId="13" borderId="28" xfId="7" applyNumberFormat="1" applyAlignment="1">
      <alignment horizontal="center" wrapText="1"/>
    </xf>
    <xf numFmtId="2" fontId="13" fillId="13" borderId="28" xfId="7" applyNumberFormat="1" applyAlignment="1">
      <alignment horizontal="center" wrapText="1"/>
    </xf>
    <xf numFmtId="9" fontId="13" fillId="13" borderId="28" xfId="7" applyNumberFormat="1" applyAlignment="1">
      <alignment horizontal="center" wrapText="1"/>
    </xf>
    <xf numFmtId="0" fontId="13" fillId="13" borderId="28" xfId="7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42" fontId="4" fillId="0" borderId="0" xfId="0" applyNumberFormat="1" applyFont="1"/>
    <xf numFmtId="42" fontId="13" fillId="13" borderId="28" xfId="7" applyNumberFormat="1" applyAlignment="1">
      <alignment horizontal="center"/>
    </xf>
    <xf numFmtId="44" fontId="13" fillId="13" borderId="28" xfId="7" applyNumberFormat="1" applyAlignment="1">
      <alignment horizontal="center"/>
    </xf>
    <xf numFmtId="169" fontId="13" fillId="13" borderId="28" xfId="7" applyNumberFormat="1" applyAlignment="1">
      <alignment horizontal="center"/>
    </xf>
    <xf numFmtId="0" fontId="8" fillId="11" borderId="18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0" fontId="15" fillId="2" borderId="0" xfId="1" applyFont="1" applyBorder="1" applyAlignment="1">
      <alignment horizontal="center"/>
    </xf>
    <xf numFmtId="4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3" applyNumberFormat="1" applyFont="1" applyAlignment="1">
      <alignment horizontal="center"/>
    </xf>
    <xf numFmtId="6" fontId="1" fillId="0" borderId="0" xfId="0" applyNumberFormat="1" applyFont="1" applyAlignment="1">
      <alignment horizontal="center" wrapText="1"/>
    </xf>
    <xf numFmtId="6" fontId="1" fillId="0" borderId="0" xfId="3" applyNumberFormat="1" applyFont="1" applyAlignment="1">
      <alignment horizontal="center" wrapText="1"/>
    </xf>
    <xf numFmtId="9" fontId="5" fillId="0" borderId="0" xfId="0" applyNumberFormat="1" applyFont="1"/>
    <xf numFmtId="0" fontId="5" fillId="0" borderId="0" xfId="0" applyFont="1" applyAlignment="1">
      <alignment horizontal="right"/>
    </xf>
    <xf numFmtId="40" fontId="1" fillId="0" borderId="0" xfId="0" applyNumberFormat="1" applyFont="1" applyAlignment="1">
      <alignment horizontal="center" wrapText="1"/>
    </xf>
    <xf numFmtId="38" fontId="17" fillId="14" borderId="28" xfId="8" applyNumberFormat="1" applyFont="1" applyAlignment="1">
      <alignment horizontal="center" wrapText="1"/>
    </xf>
    <xf numFmtId="1" fontId="17" fillId="14" borderId="28" xfId="8" applyNumberFormat="1" applyFont="1" applyAlignment="1">
      <alignment horizontal="center" wrapText="1"/>
    </xf>
    <xf numFmtId="38" fontId="17" fillId="14" borderId="30" xfId="8" applyNumberFormat="1" applyFont="1" applyBorder="1" applyAlignment="1">
      <alignment horizontal="center" wrapText="1"/>
    </xf>
    <xf numFmtId="38" fontId="13" fillId="13" borderId="31" xfId="7" applyNumberFormat="1" applyBorder="1" applyAlignment="1">
      <alignment horizontal="center" wrapText="1"/>
    </xf>
    <xf numFmtId="0" fontId="4" fillId="11" borderId="16" xfId="0" applyFont="1" applyFill="1" applyBorder="1" applyAlignment="1">
      <alignment horizontal="center" vertical="center" wrapText="1"/>
    </xf>
    <xf numFmtId="38" fontId="14" fillId="14" borderId="32" xfId="8" applyNumberFormat="1" applyBorder="1" applyAlignment="1">
      <alignment horizontal="center" wrapText="1"/>
    </xf>
    <xf numFmtId="38" fontId="14" fillId="14" borderId="33" xfId="8" applyNumberFormat="1" applyBorder="1" applyAlignment="1">
      <alignment horizontal="center" wrapText="1"/>
    </xf>
    <xf numFmtId="1" fontId="17" fillId="14" borderId="30" xfId="8" applyNumberFormat="1" applyFont="1" applyBorder="1" applyAlignment="1">
      <alignment horizontal="center" wrapText="1"/>
    </xf>
    <xf numFmtId="2" fontId="13" fillId="13" borderId="31" xfId="7" applyNumberFormat="1" applyBorder="1" applyAlignment="1">
      <alignment horizontal="center" wrapText="1"/>
    </xf>
    <xf numFmtId="2" fontId="13" fillId="13" borderId="31" xfId="7" applyNumberFormat="1" applyBorder="1" applyAlignment="1">
      <alignment horizontal="center"/>
    </xf>
    <xf numFmtId="1" fontId="14" fillId="14" borderId="33" xfId="8" applyNumberFormat="1" applyBorder="1" applyAlignment="1">
      <alignment horizontal="center" wrapText="1"/>
    </xf>
    <xf numFmtId="38" fontId="13" fillId="13" borderId="34" xfId="7" applyNumberFormat="1" applyBorder="1" applyAlignment="1">
      <alignment horizontal="center" wrapText="1"/>
    </xf>
    <xf numFmtId="38" fontId="13" fillId="13" borderId="29" xfId="7" applyNumberFormat="1" applyBorder="1" applyAlignment="1">
      <alignment horizontal="center" wrapText="1"/>
    </xf>
    <xf numFmtId="38" fontId="17" fillId="14" borderId="35" xfId="8" applyNumberFormat="1" applyFont="1" applyBorder="1" applyAlignment="1">
      <alignment horizontal="center" wrapText="1"/>
    </xf>
    <xf numFmtId="38" fontId="14" fillId="14" borderId="36" xfId="8" applyNumberFormat="1" applyBorder="1" applyAlignment="1">
      <alignment horizont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8" fillId="11" borderId="37" xfId="0" applyFont="1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164" fontId="17" fillId="14" borderId="28" xfId="8" applyNumberFormat="1" applyFont="1" applyAlignment="1">
      <alignment horizontal="center" wrapText="1"/>
    </xf>
    <xf numFmtId="2" fontId="17" fillId="14" borderId="28" xfId="8" applyNumberFormat="1" applyFont="1" applyAlignment="1">
      <alignment horizontal="center" wrapText="1"/>
    </xf>
    <xf numFmtId="166" fontId="17" fillId="14" borderId="28" xfId="8" applyNumberFormat="1" applyFont="1" applyAlignment="1">
      <alignment horizontal="center" wrapText="1"/>
    </xf>
    <xf numFmtId="38" fontId="17" fillId="14" borderId="29" xfId="8" applyNumberFormat="1" applyFont="1" applyBorder="1" applyAlignment="1">
      <alignment horizontal="center" wrapText="1"/>
    </xf>
    <xf numFmtId="0" fontId="1" fillId="7" borderId="10" xfId="0" applyFont="1" applyFill="1" applyBorder="1" applyAlignment="1">
      <alignment horizontal="center" vertical="center" wrapText="1"/>
    </xf>
    <xf numFmtId="2" fontId="13" fillId="13" borderId="34" xfId="7" applyNumberFormat="1" applyBorder="1" applyAlignment="1">
      <alignment horizontal="center" wrapText="1"/>
    </xf>
    <xf numFmtId="9" fontId="13" fillId="13" borderId="29" xfId="7" applyNumberFormat="1" applyBorder="1" applyAlignment="1">
      <alignment horizontal="center" wrapText="1"/>
    </xf>
    <xf numFmtId="2" fontId="17" fillId="14" borderId="29" xfId="8" applyNumberFormat="1" applyFont="1" applyBorder="1" applyAlignment="1">
      <alignment horizontal="center" wrapText="1"/>
    </xf>
    <xf numFmtId="164" fontId="17" fillId="14" borderId="29" xfId="8" applyNumberFormat="1" applyFont="1" applyBorder="1" applyAlignment="1">
      <alignment horizontal="center" wrapText="1"/>
    </xf>
    <xf numFmtId="9" fontId="0" fillId="5" borderId="37" xfId="4" applyFont="1" applyFill="1" applyBorder="1" applyAlignment="1">
      <alignment horizontal="center" vertical="center" wrapText="1"/>
    </xf>
    <xf numFmtId="38" fontId="0" fillId="5" borderId="18" xfId="0" applyNumberFormat="1" applyFill="1" applyBorder="1" applyAlignment="1">
      <alignment horizontal="center" vertical="center" wrapText="1"/>
    </xf>
    <xf numFmtId="40" fontId="13" fillId="13" borderId="31" xfId="7" applyNumberFormat="1" applyBorder="1" applyAlignment="1">
      <alignment horizontal="center" wrapText="1"/>
    </xf>
    <xf numFmtId="38" fontId="1" fillId="5" borderId="10" xfId="0" applyNumberFormat="1" applyFont="1" applyFill="1" applyBorder="1" applyAlignment="1">
      <alignment horizontal="center" vertical="center" wrapText="1"/>
    </xf>
    <xf numFmtId="40" fontId="13" fillId="13" borderId="34" xfId="7" applyNumberFormat="1" applyBorder="1" applyAlignment="1">
      <alignment horizontal="center" wrapText="1"/>
    </xf>
    <xf numFmtId="0" fontId="8" fillId="16" borderId="37" xfId="0" applyFont="1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6" borderId="16" xfId="0" applyFont="1" applyFill="1" applyBorder="1" applyAlignment="1">
      <alignment horizontal="center" vertical="center" wrapText="1"/>
    </xf>
    <xf numFmtId="38" fontId="1" fillId="4" borderId="19" xfId="0" applyNumberFormat="1" applyFont="1" applyFill="1" applyBorder="1" applyAlignment="1">
      <alignment horizontal="center" vertical="center" wrapText="1"/>
    </xf>
    <xf numFmtId="38" fontId="0" fillId="4" borderId="19" xfId="0" applyNumberFormat="1" applyFill="1" applyBorder="1" applyAlignment="1">
      <alignment horizontal="center" vertical="center" wrapText="1"/>
    </xf>
    <xf numFmtId="38" fontId="0" fillId="11" borderId="37" xfId="0" applyNumberFormat="1" applyFill="1" applyBorder="1" applyAlignment="1">
      <alignment horizontal="center" vertical="center" wrapText="1"/>
    </xf>
    <xf numFmtId="38" fontId="0" fillId="11" borderId="17" xfId="0" applyNumberFormat="1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 wrapText="1"/>
    </xf>
    <xf numFmtId="10" fontId="5" fillId="0" borderId="0" xfId="0" applyNumberFormat="1" applyFont="1"/>
    <xf numFmtId="1" fontId="0" fillId="11" borderId="0" xfId="0" applyNumberFormat="1" applyFill="1" applyAlignment="1">
      <alignment horizontal="center" wrapText="1"/>
    </xf>
    <xf numFmtId="0" fontId="4" fillId="5" borderId="16" xfId="0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wrapText="1"/>
    </xf>
    <xf numFmtId="0" fontId="0" fillId="16" borderId="11" xfId="0" applyFill="1" applyBorder="1" applyAlignment="1">
      <alignment horizontal="center" vertical="center" wrapText="1"/>
    </xf>
    <xf numFmtId="167" fontId="0" fillId="0" borderId="0" xfId="0" applyNumberFormat="1" applyAlignment="1">
      <alignment horizontal="center" wrapText="1"/>
    </xf>
    <xf numFmtId="0" fontId="4" fillId="16" borderId="16" xfId="0" applyFont="1" applyFill="1" applyBorder="1" applyAlignment="1">
      <alignment horizontal="center" vertical="center" wrapText="1"/>
    </xf>
    <xf numFmtId="38" fontId="17" fillId="14" borderId="38" xfId="8" applyNumberFormat="1" applyFont="1" applyBorder="1" applyAlignment="1">
      <alignment horizontal="center" wrapText="1"/>
    </xf>
    <xf numFmtId="0" fontId="0" fillId="5" borderId="11" xfId="0" applyFill="1" applyBorder="1" applyAlignment="1">
      <alignment horizontal="center" vertical="center" wrapText="1"/>
    </xf>
    <xf numFmtId="1" fontId="17" fillId="14" borderId="39" xfId="8" applyNumberFormat="1" applyFont="1" applyBorder="1" applyAlignment="1">
      <alignment horizontal="center" wrapText="1"/>
    </xf>
    <xf numFmtId="1" fontId="14" fillId="14" borderId="36" xfId="8" applyNumberFormat="1" applyBorder="1" applyAlignment="1">
      <alignment horizontal="center" wrapText="1"/>
    </xf>
    <xf numFmtId="38" fontId="0" fillId="5" borderId="0" xfId="0" applyNumberFormat="1" applyFill="1" applyAlignment="1">
      <alignment horizontal="center" wrapText="1"/>
    </xf>
    <xf numFmtId="40" fontId="0" fillId="12" borderId="0" xfId="0" applyNumberFormat="1" applyFill="1" applyAlignment="1">
      <alignment horizontal="center" wrapText="1"/>
    </xf>
    <xf numFmtId="0" fontId="6" fillId="12" borderId="0" xfId="4" applyNumberFormat="1" applyFont="1" applyFill="1" applyAlignment="1">
      <alignment horizontal="center" wrapText="1"/>
    </xf>
    <xf numFmtId="3" fontId="6" fillId="12" borderId="0" xfId="4" applyNumberFormat="1" applyFont="1" applyFill="1" applyAlignment="1">
      <alignment horizontal="center" wrapText="1"/>
    </xf>
    <xf numFmtId="9" fontId="0" fillId="0" borderId="0" xfId="0" applyNumberFormat="1" applyAlignment="1">
      <alignment horizontal="center" wrapText="1"/>
    </xf>
    <xf numFmtId="0" fontId="0" fillId="12" borderId="11" xfId="0" applyFill="1" applyBorder="1" applyAlignment="1">
      <alignment horizontal="center" vertical="center" wrapText="1"/>
    </xf>
    <xf numFmtId="9" fontId="6" fillId="12" borderId="11" xfId="4" applyFont="1" applyFill="1" applyBorder="1" applyAlignment="1">
      <alignment horizontal="center" vertical="center" wrapText="1"/>
    </xf>
    <xf numFmtId="3" fontId="6" fillId="12" borderId="11" xfId="4" applyNumberFormat="1" applyFont="1" applyFill="1" applyBorder="1" applyAlignment="1">
      <alignment horizontal="center" vertical="center" wrapText="1"/>
    </xf>
    <xf numFmtId="2" fontId="17" fillId="14" borderId="31" xfId="8" applyNumberFormat="1" applyFont="1" applyBorder="1" applyAlignment="1">
      <alignment horizontal="center" wrapText="1"/>
    </xf>
    <xf numFmtId="3" fontId="17" fillId="14" borderId="28" xfId="8" applyNumberFormat="1" applyFont="1" applyAlignment="1">
      <alignment horizontal="center" wrapText="1"/>
    </xf>
    <xf numFmtId="9" fontId="13" fillId="13" borderId="30" xfId="7" applyNumberFormat="1" applyBorder="1" applyAlignment="1">
      <alignment horizontal="center" wrapText="1"/>
    </xf>
    <xf numFmtId="0" fontId="0" fillId="10" borderId="11" xfId="0" applyFill="1" applyBorder="1" applyAlignment="1">
      <alignment horizontal="center" vertical="center" wrapText="1"/>
    </xf>
    <xf numFmtId="3" fontId="4" fillId="12" borderId="16" xfId="0" applyNumberFormat="1" applyFont="1" applyFill="1" applyBorder="1" applyAlignment="1">
      <alignment horizontal="center" vertical="center" wrapText="1"/>
    </xf>
    <xf numFmtId="3" fontId="14" fillId="14" borderId="32" xfId="8" applyNumberFormat="1" applyBorder="1" applyAlignment="1">
      <alignment horizontal="center" wrapText="1"/>
    </xf>
    <xf numFmtId="3" fontId="14" fillId="14" borderId="33" xfId="8" applyNumberFormat="1" applyBorder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14" fillId="14" borderId="32" xfId="8" applyNumberFormat="1" applyBorder="1" applyAlignment="1">
      <alignment horizontal="center" wrapText="1"/>
    </xf>
    <xf numFmtId="38" fontId="0" fillId="10" borderId="19" xfId="0" applyNumberFormat="1" applyFill="1" applyBorder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38" fontId="1" fillId="4" borderId="0" xfId="0" applyNumberFormat="1" applyFont="1" applyFill="1" applyAlignment="1">
      <alignment horizontal="center" wrapText="1"/>
    </xf>
    <xf numFmtId="164" fontId="0" fillId="4" borderId="0" xfId="0" applyNumberForma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44" fontId="1" fillId="2" borderId="0" xfId="1" applyNumberFormat="1" applyFont="1" applyAlignment="1">
      <alignment horizontal="center" vertical="center" wrapText="1"/>
    </xf>
    <xf numFmtId="3" fontId="0" fillId="2" borderId="0" xfId="1" applyNumberFormat="1" applyFont="1" applyAlignment="1">
      <alignment horizontal="center"/>
    </xf>
    <xf numFmtId="6" fontId="1" fillId="2" borderId="0" xfId="1" applyNumberFormat="1" applyFont="1" applyAlignment="1">
      <alignment horizontal="center" wrapText="1"/>
    </xf>
    <xf numFmtId="3" fontId="1" fillId="2" borderId="0" xfId="1" applyNumberFormat="1" applyFont="1" applyAlignment="1">
      <alignment horizontal="center"/>
    </xf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wrapText="1"/>
    </xf>
    <xf numFmtId="165" fontId="0" fillId="0" borderId="16" xfId="2" applyNumberFormat="1" applyFont="1" applyFill="1" applyBorder="1" applyAlignment="1">
      <alignment horizontal="center" vertical="center" wrapText="1"/>
    </xf>
    <xf numFmtId="42" fontId="0" fillId="0" borderId="0" xfId="0" applyNumberFormat="1" applyAlignment="1">
      <alignment horizontal="center" wrapText="1"/>
    </xf>
    <xf numFmtId="2" fontId="1" fillId="0" borderId="0" xfId="0" applyNumberFormat="1" applyFont="1"/>
    <xf numFmtId="169" fontId="0" fillId="0" borderId="0" xfId="0" applyNumberFormat="1" applyAlignment="1">
      <alignment horizontal="left"/>
    </xf>
    <xf numFmtId="44" fontId="0" fillId="0" borderId="0" xfId="0" applyNumberFormat="1" applyAlignment="1">
      <alignment horizontal="left"/>
    </xf>
    <xf numFmtId="0" fontId="19" fillId="0" borderId="40" xfId="1" applyFont="1" applyFill="1" applyBorder="1"/>
    <xf numFmtId="0" fontId="19" fillId="0" borderId="40" xfId="1" applyFont="1" applyFill="1" applyBorder="1" applyAlignment="1"/>
    <xf numFmtId="0" fontId="19" fillId="0" borderId="40" xfId="1" applyFont="1" applyFill="1" applyBorder="1" applyAlignment="1">
      <alignment horizontal="center"/>
    </xf>
    <xf numFmtId="0" fontId="19" fillId="0" borderId="0" xfId="1" applyFont="1" applyFill="1" applyBorder="1"/>
    <xf numFmtId="0" fontId="19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7" applyFont="1" applyFill="1" applyBorder="1" applyAlignment="1">
      <alignment horizontal="center"/>
    </xf>
    <xf numFmtId="9" fontId="19" fillId="0" borderId="0" xfId="4" applyFont="1" applyFill="1" applyBorder="1" applyAlignment="1">
      <alignment horizontal="center"/>
    </xf>
    <xf numFmtId="2" fontId="20" fillId="0" borderId="0" xfId="8" applyNumberFormat="1" applyFont="1" applyFill="1" applyBorder="1" applyAlignment="1">
      <alignment horizontal="center"/>
    </xf>
    <xf numFmtId="38" fontId="19" fillId="0" borderId="0" xfId="7" applyNumberFormat="1" applyFont="1" applyFill="1" applyBorder="1" applyAlignment="1">
      <alignment horizontal="center"/>
    </xf>
    <xf numFmtId="9" fontId="19" fillId="0" borderId="0" xfId="7" applyNumberFormat="1" applyFont="1" applyFill="1" applyBorder="1" applyAlignment="1">
      <alignment horizontal="center"/>
    </xf>
    <xf numFmtId="38" fontId="20" fillId="0" borderId="0" xfId="8" applyNumberFormat="1" applyFont="1" applyFill="1" applyBorder="1" applyAlignment="1">
      <alignment horizontal="center"/>
    </xf>
    <xf numFmtId="3" fontId="20" fillId="0" borderId="0" xfId="8" applyNumberFormat="1" applyFont="1" applyFill="1" applyBorder="1" applyAlignment="1">
      <alignment horizontal="center"/>
    </xf>
    <xf numFmtId="3" fontId="19" fillId="0" borderId="0" xfId="7" applyNumberFormat="1" applyFont="1" applyFill="1" applyBorder="1" applyAlignment="1">
      <alignment horizontal="center"/>
    </xf>
    <xf numFmtId="0" fontId="20" fillId="0" borderId="0" xfId="8" applyFont="1" applyFill="1" applyBorder="1" applyAlignment="1">
      <alignment horizontal="center"/>
    </xf>
    <xf numFmtId="1" fontId="20" fillId="0" borderId="0" xfId="8" applyNumberFormat="1" applyFont="1" applyFill="1" applyBorder="1" applyAlignment="1">
      <alignment horizontal="center"/>
    </xf>
    <xf numFmtId="3" fontId="19" fillId="0" borderId="0" xfId="0" applyNumberFormat="1" applyFont="1" applyAlignment="1">
      <alignment horizontal="center"/>
    </xf>
    <xf numFmtId="168" fontId="19" fillId="0" borderId="0" xfId="0" applyNumberFormat="1" applyFont="1" applyAlignment="1">
      <alignment horizontal="center"/>
    </xf>
    <xf numFmtId="2" fontId="19" fillId="0" borderId="0" xfId="7" applyNumberFormat="1" applyFont="1" applyFill="1" applyBorder="1" applyAlignment="1">
      <alignment horizontal="center"/>
    </xf>
    <xf numFmtId="9" fontId="19" fillId="0" borderId="0" xfId="7" applyNumberFormat="1" applyFont="1" applyFill="1" applyBorder="1" applyAlignment="1">
      <alignment horizontal="center" wrapText="1"/>
    </xf>
    <xf numFmtId="1" fontId="19" fillId="0" borderId="0" xfId="7" applyNumberFormat="1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4" fontId="19" fillId="0" borderId="0" xfId="7" applyNumberFormat="1" applyFont="1" applyFill="1" applyBorder="1" applyAlignment="1">
      <alignment horizontal="center"/>
    </xf>
    <xf numFmtId="38" fontId="19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9" fontId="19" fillId="0" borderId="0" xfId="0" applyNumberFormat="1" applyFont="1" applyAlignment="1">
      <alignment horizontal="center"/>
    </xf>
    <xf numFmtId="168" fontId="19" fillId="0" borderId="0" xfId="7" applyNumberFormat="1" applyFont="1" applyFill="1" applyBorder="1" applyAlignment="1">
      <alignment horizontal="center"/>
    </xf>
    <xf numFmtId="166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right"/>
    </xf>
    <xf numFmtId="10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 wrapText="1"/>
    </xf>
    <xf numFmtId="0" fontId="19" fillId="0" borderId="0" xfId="0" applyNumberFormat="1" applyFont="1" applyAlignment="1">
      <alignment horizontal="center"/>
    </xf>
    <xf numFmtId="44" fontId="20" fillId="0" borderId="0" xfId="8" applyNumberFormat="1" applyFont="1" applyFill="1" applyBorder="1" applyAlignment="1">
      <alignment horizontal="center"/>
    </xf>
    <xf numFmtId="2" fontId="19" fillId="0" borderId="0" xfId="7" applyNumberFormat="1" applyFont="1" applyFill="1" applyBorder="1" applyAlignment="1">
      <alignment horizontal="center" wrapText="1"/>
    </xf>
    <xf numFmtId="1" fontId="19" fillId="0" borderId="0" xfId="7" applyNumberFormat="1" applyFont="1" applyFill="1" applyBorder="1" applyAlignment="1">
      <alignment horizontal="center" wrapText="1"/>
    </xf>
    <xf numFmtId="1" fontId="19" fillId="0" borderId="0" xfId="3" applyNumberFormat="1" applyFont="1" applyFill="1" applyBorder="1" applyAlignment="1">
      <alignment horizontal="center"/>
    </xf>
    <xf numFmtId="170" fontId="19" fillId="0" borderId="0" xfId="3" applyNumberFormat="1" applyFont="1" applyFill="1" applyBorder="1" applyAlignment="1">
      <alignment horizontal="center"/>
    </xf>
    <xf numFmtId="2" fontId="19" fillId="0" borderId="0" xfId="3" applyNumberFormat="1" applyFont="1" applyFill="1" applyBorder="1" applyAlignment="1">
      <alignment horizontal="center"/>
    </xf>
    <xf numFmtId="166" fontId="19" fillId="0" borderId="0" xfId="3" applyNumberFormat="1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10" fontId="19" fillId="0" borderId="0" xfId="7" applyNumberFormat="1" applyFont="1" applyFill="1" applyBorder="1" applyAlignment="1">
      <alignment horizontal="center"/>
    </xf>
    <xf numFmtId="166" fontId="19" fillId="0" borderId="0" xfId="7" applyNumberFormat="1" applyFont="1" applyFill="1" applyBorder="1" applyAlignment="1">
      <alignment horizontal="center"/>
    </xf>
    <xf numFmtId="38" fontId="19" fillId="0" borderId="0" xfId="0" applyNumberFormat="1" applyFont="1" applyAlignment="1">
      <alignment horizontal="center" wrapText="1"/>
    </xf>
    <xf numFmtId="38" fontId="19" fillId="0" borderId="0" xfId="7" applyNumberFormat="1" applyFont="1" applyFill="1" applyBorder="1" applyAlignment="1">
      <alignment horizontal="center" wrapText="1"/>
    </xf>
    <xf numFmtId="1" fontId="19" fillId="0" borderId="0" xfId="4" applyNumberFormat="1" applyFont="1" applyFill="1" applyBorder="1" applyAlignment="1">
      <alignment horizontal="center"/>
    </xf>
    <xf numFmtId="164" fontId="19" fillId="0" borderId="0" xfId="7" applyNumberFormat="1" applyFont="1" applyFill="1" applyBorder="1" applyAlignment="1">
      <alignment horizontal="center"/>
    </xf>
    <xf numFmtId="10" fontId="19" fillId="0" borderId="0" xfId="4" applyNumberFormat="1" applyFont="1" applyFill="1" applyBorder="1" applyAlignment="1">
      <alignment horizontal="center"/>
    </xf>
    <xf numFmtId="1" fontId="24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19" fillId="0" borderId="0" xfId="4" applyNumberFormat="1" applyFont="1" applyFill="1" applyBorder="1" applyAlignment="1">
      <alignment horizontal="center"/>
    </xf>
    <xf numFmtId="2" fontId="24" fillId="0" borderId="0" xfId="0" applyNumberFormat="1" applyFont="1" applyAlignment="1">
      <alignment horizontal="center"/>
    </xf>
    <xf numFmtId="9" fontId="20" fillId="0" borderId="0" xfId="0" applyNumberFormat="1" applyFont="1" applyAlignment="1">
      <alignment horizontal="center"/>
    </xf>
    <xf numFmtId="0" fontId="20" fillId="0" borderId="40" xfId="1" applyFont="1" applyFill="1" applyBorder="1"/>
    <xf numFmtId="0" fontId="20" fillId="0" borderId="40" xfId="0" applyFont="1" applyBorder="1" applyAlignment="1"/>
    <xf numFmtId="2" fontId="19" fillId="0" borderId="0" xfId="8" applyNumberFormat="1" applyFont="1" applyFill="1" applyBorder="1" applyAlignment="1">
      <alignment horizontal="center"/>
    </xf>
    <xf numFmtId="38" fontId="19" fillId="0" borderId="0" xfId="8" applyNumberFormat="1" applyFont="1" applyFill="1" applyBorder="1" applyAlignment="1">
      <alignment horizontal="center"/>
    </xf>
    <xf numFmtId="3" fontId="19" fillId="0" borderId="0" xfId="8" applyNumberFormat="1" applyFont="1" applyFill="1" applyBorder="1" applyAlignment="1">
      <alignment horizontal="center"/>
    </xf>
    <xf numFmtId="0" fontId="19" fillId="0" borderId="0" xfId="8" applyFont="1" applyFill="1" applyBorder="1" applyAlignment="1">
      <alignment horizontal="center"/>
    </xf>
    <xf numFmtId="1" fontId="19" fillId="0" borderId="0" xfId="8" applyNumberFormat="1" applyFont="1" applyFill="1" applyBorder="1" applyAlignment="1">
      <alignment horizontal="center"/>
    </xf>
    <xf numFmtId="0" fontId="19" fillId="0" borderId="40" xfId="1" applyFont="1" applyFill="1" applyBorder="1" applyAlignment="1">
      <alignment horizontal="left"/>
    </xf>
    <xf numFmtId="0" fontId="19" fillId="0" borderId="40" xfId="1" applyFont="1" applyFill="1" applyBorder="1" applyAlignment="1">
      <alignment horizontal="right"/>
    </xf>
    <xf numFmtId="0" fontId="19" fillId="0" borderId="40" xfId="1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3" fillId="0" borderId="0" xfId="6" applyFont="1" applyFill="1" applyBorder="1" applyAlignment="1">
      <alignment horizontal="center" wrapText="1"/>
    </xf>
    <xf numFmtId="0" fontId="19" fillId="0" borderId="0" xfId="2" applyFont="1" applyFill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6" applyFont="1" applyFill="1" applyBorder="1" applyAlignment="1">
      <alignment horizontal="center" wrapText="1"/>
    </xf>
    <xf numFmtId="1" fontId="19" fillId="0" borderId="0" xfId="0" applyNumberFormat="1" applyFont="1" applyAlignment="1">
      <alignment horizontal="center" wrapText="1"/>
    </xf>
    <xf numFmtId="44" fontId="19" fillId="0" borderId="0" xfId="3" applyFont="1" applyFill="1" applyBorder="1" applyAlignment="1">
      <alignment horizontal="center" wrapText="1"/>
    </xf>
    <xf numFmtId="9" fontId="19" fillId="0" borderId="0" xfId="4" applyFont="1" applyFill="1" applyBorder="1" applyAlignment="1">
      <alignment horizontal="center" wrapText="1"/>
    </xf>
    <xf numFmtId="0" fontId="19" fillId="0" borderId="40" xfId="1" applyFont="1" applyFill="1" applyBorder="1" applyAlignment="1">
      <alignment wrapText="1"/>
    </xf>
    <xf numFmtId="0" fontId="1" fillId="5" borderId="14" xfId="2" applyFont="1" applyFill="1" applyBorder="1" applyAlignment="1">
      <alignment horizontal="center" vertical="center"/>
    </xf>
    <xf numFmtId="0" fontId="1" fillId="5" borderId="15" xfId="2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42" fontId="1" fillId="15" borderId="1" xfId="0" applyNumberFormat="1" applyFont="1" applyFill="1" applyBorder="1" applyAlignment="1">
      <alignment horizontal="center" vertical="center" wrapText="1"/>
    </xf>
    <xf numFmtId="42" fontId="1" fillId="15" borderId="2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26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49" fontId="1" fillId="9" borderId="20" xfId="0" applyNumberFormat="1" applyFont="1" applyFill="1" applyBorder="1" applyAlignment="1">
      <alignment horizontal="center" vertical="center"/>
    </xf>
    <xf numFmtId="49" fontId="1" fillId="9" borderId="22" xfId="0" applyNumberFormat="1" applyFont="1" applyFill="1" applyBorder="1" applyAlignment="1">
      <alignment horizontal="center" vertical="center"/>
    </xf>
    <xf numFmtId="49" fontId="1" fillId="9" borderId="5" xfId="0" applyNumberFormat="1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5" fontId="1" fillId="0" borderId="20" xfId="2" applyNumberFormat="1" applyFont="1" applyFill="1" applyBorder="1" applyAlignment="1">
      <alignment horizontal="center" vertical="center" wrapText="1"/>
    </xf>
    <xf numFmtId="165" fontId="1" fillId="0" borderId="5" xfId="2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4" fontId="1" fillId="0" borderId="10" xfId="0" applyNumberFormat="1" applyFont="1" applyBorder="1" applyAlignment="1">
      <alignment horizontal="center" vertical="center" wrapText="1"/>
    </xf>
    <xf numFmtId="44" fontId="1" fillId="0" borderId="12" xfId="0" applyNumberFormat="1" applyFont="1" applyBorder="1" applyAlignment="1">
      <alignment horizontal="center" vertical="center" wrapText="1"/>
    </xf>
    <xf numFmtId="1" fontId="1" fillId="0" borderId="11" xfId="2" applyNumberFormat="1" applyFont="1" applyFill="1" applyBorder="1" applyAlignment="1">
      <alignment horizontal="center" vertical="center" wrapText="1"/>
    </xf>
    <xf numFmtId="1" fontId="1" fillId="0" borderId="12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9">
    <cellStyle name="Bad" xfId="2" builtinId="27" customBuiltin="1"/>
    <cellStyle name="Calculation" xfId="8" builtinId="22"/>
    <cellStyle name="Currency" xfId="3" builtinId="4"/>
    <cellStyle name="Good" xfId="1" builtinId="26" customBuiltin="1"/>
    <cellStyle name="Hyperlink" xfId="6" builtinId="8"/>
    <cellStyle name="Input" xfId="7" builtinId="20"/>
    <cellStyle name="Neutral" xfId="5" builtinId="28" customBuiltin="1"/>
    <cellStyle name="Normal" xfId="0" builtinId="0" customBuiltin="1"/>
    <cellStyle name="Percent" xfId="4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7C0C6"/>
      <color rgb="FFC6F0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VIABILITY'!$D$4:$E$4</c:f>
              <c:strCache>
                <c:ptCount val="1"/>
                <c:pt idx="0">
                  <c:v>Remaining wet-weight of final residues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VIABILITY'!$D$6:$D$39</c:f>
              <c:numCache>
                <c:formatCode>0.00</c:formatCode>
                <c:ptCount val="34"/>
                <c:pt idx="0">
                  <c:v>5.0000000000000009</c:v>
                </c:pt>
                <c:pt idx="1">
                  <c:v>5.0000000000000009</c:v>
                </c:pt>
                <c:pt idx="2">
                  <c:v>2</c:v>
                </c:pt>
                <c:pt idx="3">
                  <c:v>2</c:v>
                </c:pt>
                <c:pt idx="4">
                  <c:v>5.0000000000000009</c:v>
                </c:pt>
                <c:pt idx="5">
                  <c:v>2</c:v>
                </c:pt>
                <c:pt idx="6">
                  <c:v>0.10526315789473684</c:v>
                </c:pt>
                <c:pt idx="7">
                  <c:v>3.4000000000000004</c:v>
                </c:pt>
                <c:pt idx="8">
                  <c:v>3.4000000000000004</c:v>
                </c:pt>
                <c:pt idx="9">
                  <c:v>3.4000000000000004</c:v>
                </c:pt>
                <c:pt idx="10">
                  <c:v>1.3599999999999999</c:v>
                </c:pt>
                <c:pt idx="11">
                  <c:v>1.3599999999999999</c:v>
                </c:pt>
                <c:pt idx="12">
                  <c:v>1.3599999999999999</c:v>
                </c:pt>
                <c:pt idx="13">
                  <c:v>0.10526315789473684</c:v>
                </c:pt>
                <c:pt idx="14">
                  <c:v>3.4000000000000004</c:v>
                </c:pt>
                <c:pt idx="15">
                  <c:v>3.4000000000000004</c:v>
                </c:pt>
                <c:pt idx="16">
                  <c:v>3.4000000000000004</c:v>
                </c:pt>
                <c:pt idx="17">
                  <c:v>0.10526315789473684</c:v>
                </c:pt>
                <c:pt idx="18">
                  <c:v>0.25499999999999995</c:v>
                </c:pt>
                <c:pt idx="19">
                  <c:v>0.25499999999999995</c:v>
                </c:pt>
                <c:pt idx="20">
                  <c:v>0.255</c:v>
                </c:pt>
                <c:pt idx="21">
                  <c:v>0.255</c:v>
                </c:pt>
                <c:pt idx="22">
                  <c:v>0.35</c:v>
                </c:pt>
                <c:pt idx="23">
                  <c:v>0.35</c:v>
                </c:pt>
                <c:pt idx="24">
                  <c:v>0.12554999999999999</c:v>
                </c:pt>
                <c:pt idx="25">
                  <c:v>0.12554999999999999</c:v>
                </c:pt>
                <c:pt idx="26">
                  <c:v>0.12554999999999999</c:v>
                </c:pt>
                <c:pt idx="27">
                  <c:v>0.12554999999999999</c:v>
                </c:pt>
                <c:pt idx="28">
                  <c:v>0.05</c:v>
                </c:pt>
                <c:pt idx="29">
                  <c:v>0.08</c:v>
                </c:pt>
                <c:pt idx="30">
                  <c:v>5.066666666666662E-3</c:v>
                </c:pt>
                <c:pt idx="31">
                  <c:v>5.066666666666662E-3</c:v>
                </c:pt>
                <c:pt idx="32">
                  <c:v>1.1642264150943395E-3</c:v>
                </c:pt>
                <c:pt idx="3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28-4790-972F-D96EE6205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VIABILITY'!$H$4:$I$4</c:f>
              <c:strCache>
                <c:ptCount val="1"/>
                <c:pt idx="0">
                  <c:v>Net lifecycle CO2e emissions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VIABILITY'!$H$6:$H$39</c:f>
              <c:numCache>
                <c:formatCode>#,##0.00</c:formatCode>
                <c:ptCount val="34"/>
                <c:pt idx="0">
                  <c:v>5.3322262738433244</c:v>
                </c:pt>
                <c:pt idx="1">
                  <c:v>0.82586057788314626</c:v>
                </c:pt>
                <c:pt idx="2">
                  <c:v>6.2327909764973297</c:v>
                </c:pt>
                <c:pt idx="3">
                  <c:v>1.7264252805371516</c:v>
                </c:pt>
                <c:pt idx="4">
                  <c:v>0.42700341670046715</c:v>
                </c:pt>
                <c:pt idx="5">
                  <c:v>1.3275681193544724</c:v>
                </c:pt>
                <c:pt idx="6">
                  <c:v>7.3620091573362485</c:v>
                </c:pt>
                <c:pt idx="7">
                  <c:v>2.1978426320814601</c:v>
                </c:pt>
                <c:pt idx="8">
                  <c:v>0.35924542812970783</c:v>
                </c:pt>
                <c:pt idx="9">
                  <c:v>0.18069108922431759</c:v>
                </c:pt>
                <c:pt idx="10">
                  <c:v>3.1396326298861834</c:v>
                </c:pt>
                <c:pt idx="11">
                  <c:v>1.3010354259344312</c:v>
                </c:pt>
                <c:pt idx="12">
                  <c:v>1.1224810870290411</c:v>
                </c:pt>
                <c:pt idx="13">
                  <c:v>5.2749486593220869</c:v>
                </c:pt>
                <c:pt idx="14">
                  <c:v>2.0086194568954601</c:v>
                </c:pt>
                <c:pt idx="15">
                  <c:v>0.17002225294370782</c:v>
                </c:pt>
                <c:pt idx="16">
                  <c:v>0.19068042403831753</c:v>
                </c:pt>
                <c:pt idx="17">
                  <c:v>5.365234222320348</c:v>
                </c:pt>
                <c:pt idx="18">
                  <c:v>-0.64984045146280833</c:v>
                </c:pt>
                <c:pt idx="19">
                  <c:v>-0.94259951356506133</c:v>
                </c:pt>
                <c:pt idx="20">
                  <c:v>-0.58732929161037228</c:v>
                </c:pt>
                <c:pt idx="21">
                  <c:v>-0.81128410547843721</c:v>
                </c:pt>
                <c:pt idx="22">
                  <c:v>-0.46830442207276918</c:v>
                </c:pt>
                <c:pt idx="23">
                  <c:v>-0.5231873803281164</c:v>
                </c:pt>
                <c:pt idx="24">
                  <c:v>-1.3978888887710346</c:v>
                </c:pt>
                <c:pt idx="25">
                  <c:v>-1.4923420111364036</c:v>
                </c:pt>
                <c:pt idx="26">
                  <c:v>-1.3353465299992</c:v>
                </c:pt>
                <c:pt idx="27">
                  <c:v>-1.5118591786547046</c:v>
                </c:pt>
                <c:pt idx="28">
                  <c:v>-0.2456645401631668</c:v>
                </c:pt>
                <c:pt idx="29">
                  <c:v>-0.19143014535834679</c:v>
                </c:pt>
                <c:pt idx="30">
                  <c:v>-1.6233260338584823</c:v>
                </c:pt>
                <c:pt idx="31">
                  <c:v>-3.6104007436215668</c:v>
                </c:pt>
                <c:pt idx="32">
                  <c:v>-0.74668473022106729</c:v>
                </c:pt>
                <c:pt idx="33">
                  <c:v>-1.9169907600165168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C-B24D-B426-4784FBDFA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VIABILITY'!$K$4:$L$4</c:f>
              <c:strCache>
                <c:ptCount val="1"/>
                <c:pt idx="0">
                  <c:v>CAPEX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VIABILITY'!$K$6:$K$39</c:f>
              <c:numCache>
                <c:formatCode>"$"#,##0</c:formatCode>
                <c:ptCount val="34"/>
                <c:pt idx="0">
                  <c:v>35805</c:v>
                </c:pt>
                <c:pt idx="1">
                  <c:v>35805</c:v>
                </c:pt>
                <c:pt idx="2">
                  <c:v>260864.99999999997</c:v>
                </c:pt>
                <c:pt idx="3">
                  <c:v>260864.99999999997</c:v>
                </c:pt>
                <c:pt idx="4">
                  <c:v>35805</c:v>
                </c:pt>
                <c:pt idx="5">
                  <c:v>260864.99999999997</c:v>
                </c:pt>
                <c:pt idx="6">
                  <c:v>562650</c:v>
                </c:pt>
                <c:pt idx="7">
                  <c:v>465464.99999999994</c:v>
                </c:pt>
                <c:pt idx="8">
                  <c:v>465464.99999999994</c:v>
                </c:pt>
                <c:pt idx="9">
                  <c:v>465464.99999999994</c:v>
                </c:pt>
                <c:pt idx="10">
                  <c:v>639375</c:v>
                </c:pt>
                <c:pt idx="11">
                  <c:v>639375</c:v>
                </c:pt>
                <c:pt idx="12">
                  <c:v>639375</c:v>
                </c:pt>
                <c:pt idx="13">
                  <c:v>879779.99999999988</c:v>
                </c:pt>
                <c:pt idx="14">
                  <c:v>644490</c:v>
                </c:pt>
                <c:pt idx="15">
                  <c:v>644490</c:v>
                </c:pt>
                <c:pt idx="16">
                  <c:v>644490</c:v>
                </c:pt>
                <c:pt idx="17">
                  <c:v>920699.99999999988</c:v>
                </c:pt>
                <c:pt idx="18">
                  <c:v>196407.39117999998</c:v>
                </c:pt>
                <c:pt idx="19">
                  <c:v>271195.30231252348</c:v>
                </c:pt>
                <c:pt idx="20">
                  <c:v>242508.19999999995</c:v>
                </c:pt>
                <c:pt idx="21">
                  <c:v>314991.14420061081</c:v>
                </c:pt>
                <c:pt idx="22">
                  <c:v>448062.75000000006</c:v>
                </c:pt>
                <c:pt idx="23">
                  <c:v>420812.15000000008</c:v>
                </c:pt>
                <c:pt idx="24">
                  <c:v>886317.4458333333</c:v>
                </c:pt>
                <c:pt idx="25">
                  <c:v>861392.68333333323</c:v>
                </c:pt>
                <c:pt idx="26">
                  <c:v>1620709.3562499997</c:v>
                </c:pt>
                <c:pt idx="27">
                  <c:v>1572014.989583333</c:v>
                </c:pt>
                <c:pt idx="28">
                  <c:v>443691.30000000005</c:v>
                </c:pt>
                <c:pt idx="29">
                  <c:v>443691.30000000005</c:v>
                </c:pt>
                <c:pt idx="30">
                  <c:v>286390.15513333335</c:v>
                </c:pt>
                <c:pt idx="31">
                  <c:v>271028.17068888887</c:v>
                </c:pt>
                <c:pt idx="32">
                  <c:v>144989.78067283021</c:v>
                </c:pt>
                <c:pt idx="33">
                  <c:v>68694.184942499982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E-BF40-81D1-AD00C436C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VIABILITY'!$M$4:$N$4</c:f>
              <c:strCache>
                <c:ptCount val="1"/>
                <c:pt idx="0">
                  <c:v> Net operating profit
(Revenue-OPEX)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VIABILITY'!$M$6:$M$39</c:f>
              <c:numCache>
                <c:formatCode>"$"#,##0</c:formatCode>
                <c:ptCount val="34"/>
                <c:pt idx="0">
                  <c:v>-310.60257325363199</c:v>
                </c:pt>
                <c:pt idx="1">
                  <c:v>-310.60257325363199</c:v>
                </c:pt>
                <c:pt idx="2">
                  <c:v>-288.12562930145276</c:v>
                </c:pt>
                <c:pt idx="3">
                  <c:v>-288.12562930145276</c:v>
                </c:pt>
                <c:pt idx="4">
                  <c:v>-310.60257325363199</c:v>
                </c:pt>
                <c:pt idx="5">
                  <c:v>-288.12562930145276</c:v>
                </c:pt>
                <c:pt idx="6">
                  <c:v>-265.97799101586588</c:v>
                </c:pt>
                <c:pt idx="7">
                  <c:v>-231.79652981246971</c:v>
                </c:pt>
                <c:pt idx="8">
                  <c:v>-231.79652981246971</c:v>
                </c:pt>
                <c:pt idx="9">
                  <c:v>-231.79652981246971</c:v>
                </c:pt>
                <c:pt idx="10">
                  <c:v>-249.28912792498784</c:v>
                </c:pt>
                <c:pt idx="11">
                  <c:v>-249.28912792498784</c:v>
                </c:pt>
                <c:pt idx="12">
                  <c:v>-249.28912792498784</c:v>
                </c:pt>
                <c:pt idx="13">
                  <c:v>-288.5634008658659</c:v>
                </c:pt>
                <c:pt idx="14">
                  <c:v>-308.81711981246974</c:v>
                </c:pt>
                <c:pt idx="15">
                  <c:v>-308.81711981246974</c:v>
                </c:pt>
                <c:pt idx="16">
                  <c:v>-308.81711981246974</c:v>
                </c:pt>
                <c:pt idx="17">
                  <c:v>-347.31846296586593</c:v>
                </c:pt>
                <c:pt idx="18">
                  <c:v>-43.136429381369169</c:v>
                </c:pt>
                <c:pt idx="19">
                  <c:v>75.663313390650302</c:v>
                </c:pt>
                <c:pt idx="20">
                  <c:v>-43.051321379668764</c:v>
                </c:pt>
                <c:pt idx="21">
                  <c:v>-19.864753744669287</c:v>
                </c:pt>
                <c:pt idx="22">
                  <c:v>-195.72351012775425</c:v>
                </c:pt>
                <c:pt idx="23">
                  <c:v>-182.88428512775431</c:v>
                </c:pt>
                <c:pt idx="24">
                  <c:v>-104.98503405130378</c:v>
                </c:pt>
                <c:pt idx="25">
                  <c:v>-99.747531831618346</c:v>
                </c:pt>
                <c:pt idx="26">
                  <c:v>-429.54787334607806</c:v>
                </c:pt>
                <c:pt idx="27">
                  <c:v>-421.7034542694671</c:v>
                </c:pt>
                <c:pt idx="28">
                  <c:v>-134.75670169539868</c:v>
                </c:pt>
                <c:pt idx="29">
                  <c:v>-145.10510673492047</c:v>
                </c:pt>
                <c:pt idx="30">
                  <c:v>-336.25925439423031</c:v>
                </c:pt>
                <c:pt idx="31">
                  <c:v>-460.9708543942304</c:v>
                </c:pt>
                <c:pt idx="32">
                  <c:v>-6.1798271462752865</c:v>
                </c:pt>
                <c:pt idx="33">
                  <c:v>-775.72234427415549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7-B14C-BB85-3FB10452D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VIABILITY'!$O$4:$P$4</c:f>
              <c:strCache>
                <c:ptCount val="1"/>
                <c:pt idx="0">
                  <c:v>TRL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VIABILITY'!$O$6:$O$39</c:f>
              <c:numCache>
                <c:formatCode>0</c:formatCode>
                <c:ptCount val="3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4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6</c:v>
                </c:pt>
                <c:pt idx="27">
                  <c:v>6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3</c:v>
                </c:pt>
                <c:pt idx="3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4-974D-8214-FD16E3D3C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14728247670153"/>
          <c:y val="0.10866056195778435"/>
          <c:w val="0.71812079009177732"/>
          <c:h val="0.75213632293618626"/>
        </c:manualLayout>
      </c:layout>
      <c:scatterChart>
        <c:scatterStyle val="lineMarker"/>
        <c:varyColors val="0"/>
        <c:ser>
          <c:idx val="0"/>
          <c:order val="0"/>
          <c:tx>
            <c:v>Vertical Line</c:v>
          </c:tx>
          <c:spPr>
            <a:ln w="19050">
              <a:noFill/>
            </a:ln>
          </c:spPr>
          <c:marker>
            <c:symbol val="none"/>
          </c:marker>
          <c:xVal>
            <c:numRef>
              <c:f>'ENV BENEFIT - VIABILITY'!$AD$1:$AD$2</c:f>
            </c:numRef>
          </c:xVal>
          <c:yVal>
            <c:numRef>
              <c:f>'ENV BENEFIT - VIABILITY'!$AE$1:$AE$2</c:f>
            </c:numRef>
          </c:yVal>
          <c:smooth val="0"/>
          <c:extLst>
            <c:ext xmlns:c16="http://schemas.microsoft.com/office/drawing/2014/chart" uri="{C3380CC4-5D6E-409C-BE32-E72D297353CC}">
              <c16:uniqueId val="{00000000-A0D9-444E-B668-012BD2E213C5}"/>
            </c:ext>
          </c:extLst>
        </c:ser>
        <c:ser>
          <c:idx val="1"/>
          <c:order val="1"/>
          <c:tx>
            <c:v>Horizontal Line</c:v>
          </c:tx>
          <c:spPr>
            <a:ln w="19050">
              <a:noFill/>
            </a:ln>
          </c:spPr>
          <c:marker>
            <c:symbol val="none"/>
          </c:marker>
          <c:xVal>
            <c:numRef>
              <c:f>'ENV BENEFIT - VIABILITY'!$AD$3:$AD$4</c:f>
            </c:numRef>
          </c:xVal>
          <c:yVal>
            <c:numRef>
              <c:f>'ENV BENEFIT - VIABILITY'!$AE$3:$AE$4</c:f>
            </c:numRef>
          </c:yVal>
          <c:smooth val="0"/>
          <c:extLst>
            <c:ext xmlns:c16="http://schemas.microsoft.com/office/drawing/2014/chart" uri="{C3380CC4-5D6E-409C-BE32-E72D297353CC}">
              <c16:uniqueId val="{00000003-A0D9-444E-B668-012BD2E213C5}"/>
            </c:ext>
          </c:extLst>
        </c:ser>
        <c:ser>
          <c:idx val="2"/>
          <c:order val="2"/>
          <c:tx>
            <c:strRef>
              <c:f>'ENV BENEFIT - VIABILITY'!$O$6:$O$39</c:f>
              <c:strCache>
                <c:ptCount val="3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4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6</c:v>
                </c:pt>
                <c:pt idx="27">
                  <c:v>6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3</c:v>
                </c:pt>
                <c:pt idx="33">
                  <c:v>7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0.15070654692131094"/>
                  <c:y val="5.294059068357348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FD736C2D-879A-9547-B673-72D0AF91EE5B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0D9-444E-B668-012BD2E213C5}"/>
                </c:ext>
              </c:extLst>
            </c:dLbl>
            <c:dLbl>
              <c:idx val="1"/>
              <c:layout>
                <c:manualLayout>
                  <c:x val="-0.19019271337892474"/>
                  <c:y val="-1.5857350366388598E-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97E38D09-BF34-284E-82AD-CDC42DB79C53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0D9-444E-B668-012BD2E213C5}"/>
                </c:ext>
              </c:extLst>
            </c:dLbl>
            <c:dLbl>
              <c:idx val="2"/>
              <c:layout>
                <c:manualLayout>
                  <c:x val="-9.2942437142920525E-2"/>
                  <c:y val="3.7409476024377587E-2"/>
                </c:manualLayout>
              </c:layout>
              <c:tx>
                <c:rich>
                  <a:bodyPr/>
                  <a:lstStyle/>
                  <a:p>
                    <a:fld id="{060AE225-D3E2-164A-9A70-E21791C343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0D9-444E-B668-012BD2E213C5}"/>
                </c:ext>
              </c:extLst>
            </c:dLbl>
            <c:dLbl>
              <c:idx val="3"/>
              <c:layout>
                <c:manualLayout>
                  <c:x val="-0.22034414641869415"/>
                  <c:y val="9.9177185528511354E-3"/>
                </c:manualLayout>
              </c:layout>
              <c:tx>
                <c:rich>
                  <a:bodyPr/>
                  <a:lstStyle/>
                  <a:p>
                    <a:fld id="{09885E95-9D8D-E542-9C51-755B997E9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0D9-444E-B668-012BD2E213C5}"/>
                </c:ext>
              </c:extLst>
            </c:dLbl>
            <c:dLbl>
              <c:idx val="4"/>
              <c:layout>
                <c:manualLayout>
                  <c:x val="-0.14378278488874791"/>
                  <c:y val="-1.6992556276383935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5AB2F3F0-1C84-8D41-92EC-AB49D52B27B7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0D9-444E-B668-012BD2E213C5}"/>
                </c:ext>
              </c:extLst>
            </c:dLbl>
            <c:dLbl>
              <c:idx val="5"/>
              <c:layout>
                <c:manualLayout>
                  <c:x val="-0.17599749059903036"/>
                  <c:y val="3.0228352392489194E-2"/>
                </c:manualLayout>
              </c:layout>
              <c:tx>
                <c:rich>
                  <a:bodyPr/>
                  <a:lstStyle/>
                  <a:p>
                    <a:fld id="{51849A96-12DC-0F4F-BD3D-FAC9515973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0D9-444E-B668-012BD2E213C5}"/>
                </c:ext>
              </c:extLst>
            </c:dLbl>
            <c:dLbl>
              <c:idx val="6"/>
              <c:layout>
                <c:manualLayout>
                  <c:x val="-0.21700908915132189"/>
                  <c:y val="-3.089564436166438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7E643527-6A27-334A-8E43-BE955A024C2D}" type="CELLRANGE">
                      <a:rPr lang="en-US"/>
                      <a:pPr>
                        <a:defRPr sz="120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A0D9-444E-B668-012BD2E213C5}"/>
                </c:ext>
              </c:extLst>
            </c:dLbl>
            <c:dLbl>
              <c:idx val="7"/>
              <c:layout>
                <c:manualLayout>
                  <c:x val="-0.22246535276320065"/>
                  <c:y val="4.546018200990802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4E6A5E5B-BED5-2C40-BC60-524086D38D57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A0D9-444E-B668-012BD2E213C5}"/>
                </c:ext>
              </c:extLst>
            </c:dLbl>
            <c:dLbl>
              <c:idx val="8"/>
              <c:layout>
                <c:manualLayout>
                  <c:x val="-0.23282133565193797"/>
                  <c:y val="-7.814400124030407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6E4EAAC3-85D4-7D48-BC0F-7B3B338D52C2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0D9-444E-B668-012BD2E213C5}"/>
                </c:ext>
              </c:extLst>
            </c:dLbl>
            <c:dLbl>
              <c:idx val="9"/>
              <c:layout>
                <c:manualLayout>
                  <c:x val="-0.2232057201270248"/>
                  <c:y val="-4.15779464718181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A77E41C5-986E-E342-A23A-CEDCF1430EB3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A0D9-444E-B668-012BD2E213C5}"/>
                </c:ext>
              </c:extLst>
            </c:dLbl>
            <c:dLbl>
              <c:idx val="10"/>
              <c:layout>
                <c:manualLayout>
                  <c:x val="-0.23738027055283817"/>
                  <c:y val="2.43726558521545E-3"/>
                </c:manualLayout>
              </c:layout>
              <c:tx>
                <c:rich>
                  <a:bodyPr/>
                  <a:lstStyle/>
                  <a:p>
                    <a:fld id="{5C942FC6-40F2-974C-8548-76B744AEE2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A0D9-444E-B668-012BD2E213C5}"/>
                </c:ext>
              </c:extLst>
            </c:dLbl>
            <c:dLbl>
              <c:idx val="11"/>
              <c:layout>
                <c:manualLayout>
                  <c:x val="-0.24034260651399494"/>
                  <c:y val="-9.7097921560981459E-2"/>
                </c:manualLayout>
              </c:layout>
              <c:tx>
                <c:rich>
                  <a:bodyPr/>
                  <a:lstStyle/>
                  <a:p>
                    <a:fld id="{4859C9AE-6EB4-BC4F-A3E4-DC620E2E8E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A0D9-444E-B668-012BD2E213C5}"/>
                </c:ext>
              </c:extLst>
            </c:dLbl>
            <c:dLbl>
              <c:idx val="12"/>
              <c:layout>
                <c:manualLayout>
                  <c:x val="-0.24041266970207806"/>
                  <c:y val="-5.9863658213472414E-2"/>
                </c:manualLayout>
              </c:layout>
              <c:tx>
                <c:rich>
                  <a:bodyPr/>
                  <a:lstStyle/>
                  <a:p>
                    <a:fld id="{89589FE4-01EF-1F41-9223-D325187786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A0D9-444E-B668-012BD2E213C5}"/>
                </c:ext>
              </c:extLst>
            </c:dLbl>
            <c:dLbl>
              <c:idx val="13"/>
              <c:layout>
                <c:manualLayout>
                  <c:x val="-0.23419115762954695"/>
                  <c:y val="-2.978667739012892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9E3B4C6B-4990-4F4C-BC55-B422D1353C77}" type="CELLRANGE">
                      <a:rPr lang="en-US"/>
                      <a:pPr>
                        <a:defRPr sz="120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0D9-444E-B668-012BD2E213C5}"/>
                </c:ext>
              </c:extLst>
            </c:dLbl>
            <c:dLbl>
              <c:idx val="14"/>
              <c:layout>
                <c:manualLayout>
                  <c:x val="-0.23121320306930193"/>
                  <c:y val="2.827388312819731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5BE5089D-19D0-824C-BD65-990D1EC0E7CE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A0D9-444E-B668-012BD2E213C5}"/>
                </c:ext>
              </c:extLst>
            </c:dLbl>
            <c:dLbl>
              <c:idx val="15"/>
              <c:layout>
                <c:manualLayout>
                  <c:x val="-0.2341728372199422"/>
                  <c:y val="-9.9128212373787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E4FFB4B4-D18F-0342-A368-F86CDDFD7EC5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A0D9-444E-B668-012BD2E213C5}"/>
                </c:ext>
              </c:extLst>
            </c:dLbl>
            <c:dLbl>
              <c:idx val="16"/>
              <c:layout>
                <c:manualLayout>
                  <c:x val="-0.23108584820154232"/>
                  <c:y val="-2.1172639929332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E441C464-7703-B844-87F0-C42E84FF0D00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A0D9-444E-B668-012BD2E213C5}"/>
                </c:ext>
              </c:extLst>
            </c:dLbl>
            <c:dLbl>
              <c:idx val="17"/>
              <c:layout>
                <c:manualLayout>
                  <c:x val="-0.22666276904078556"/>
                  <c:y val="-1.535328042224811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537AD8DC-A09B-8540-A8E3-5B8F4FBB892F}" type="CELLRANGE">
                      <a:rPr lang="en-US"/>
                      <a:pPr>
                        <a:defRPr sz="120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3418818675231373"/>
                      <c:h val="2.496203598426939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A0D9-444E-B668-012BD2E213C5}"/>
                </c:ext>
              </c:extLst>
            </c:dLbl>
            <c:dLbl>
              <c:idx val="18"/>
              <c:layout>
                <c:manualLayout>
                  <c:x val="1.7388954349667755E-2"/>
                  <c:y val="-2.5618588040231264E-2"/>
                </c:manualLayout>
              </c:layout>
              <c:tx>
                <c:rich>
                  <a:bodyPr/>
                  <a:lstStyle/>
                  <a:p>
                    <a:fld id="{DD2A1B7D-A2A8-0640-A006-4A110170E8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A0D9-444E-B668-012BD2E213C5}"/>
                </c:ext>
              </c:extLst>
            </c:dLbl>
            <c:dLbl>
              <c:idx val="19"/>
              <c:layout>
                <c:manualLayout>
                  <c:x val="-0.17220496436586086"/>
                  <c:y val="-3.0099080617514685E-2"/>
                </c:manualLayout>
              </c:layout>
              <c:tx>
                <c:rich>
                  <a:bodyPr/>
                  <a:lstStyle/>
                  <a:p>
                    <a:fld id="{1B8B06BF-9A79-B644-9795-A3EFF54F66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A0D9-444E-B668-012BD2E213C5}"/>
                </c:ext>
              </c:extLst>
            </c:dLbl>
            <c:dLbl>
              <c:idx val="20"/>
              <c:layout>
                <c:manualLayout>
                  <c:x val="-0.21627327512965186"/>
                  <c:y val="-1.3646744276722554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81413FB5-7FB4-5949-99FE-EA3AF5D6FF52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7134659742285013"/>
                      <c:h val="2.808487177102850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A0D9-444E-B668-012BD2E213C5}"/>
                </c:ext>
              </c:extLst>
            </c:dLbl>
            <c:dLbl>
              <c:idx val="21"/>
              <c:layout>
                <c:manualLayout>
                  <c:x val="-0.219830890963889"/>
                  <c:y val="-2.393542950801804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1967DC9E-C797-1A4A-9FDB-EAB2087E5118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7588457315033712"/>
                      <c:h val="2.490214738269392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A0D9-444E-B668-012BD2E213C5}"/>
                </c:ext>
              </c:extLst>
            </c:dLbl>
            <c:dLbl>
              <c:idx val="22"/>
              <c:layout>
                <c:manualLayout>
                  <c:x val="-0.25505558693783759"/>
                  <c:y val="2.037201418624069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10FB9AD3-9C93-C34D-B3D9-2E3EC1986444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1639981475829165"/>
                      <c:h val="2.560358659931900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A0D9-444E-B668-012BD2E213C5}"/>
                </c:ext>
              </c:extLst>
            </c:dLbl>
            <c:dLbl>
              <c:idx val="23"/>
              <c:layout>
                <c:manualLayout>
                  <c:x val="-0.28482928538904689"/>
                  <c:y val="4.773160652341634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4B63B13C-02C0-E845-8348-FD5576361B7B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1995519648967707"/>
                      <c:h val="2.664928237017339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A0D9-444E-B668-012BD2E213C5}"/>
                </c:ext>
              </c:extLst>
            </c:dLbl>
            <c:dLbl>
              <c:idx val="24"/>
              <c:layout>
                <c:manualLayout>
                  <c:x val="-0.20339197577734686"/>
                  <c:y val="-4.7633701815839334E-2"/>
                </c:manualLayout>
              </c:layout>
              <c:tx>
                <c:rich>
                  <a:bodyPr/>
                  <a:lstStyle/>
                  <a:p>
                    <a:fld id="{D4C6151C-8B0B-5247-B02A-64B8321538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A0D9-444E-B668-012BD2E213C5}"/>
                </c:ext>
              </c:extLst>
            </c:dLbl>
            <c:dLbl>
              <c:idx val="25"/>
              <c:layout>
                <c:manualLayout>
                  <c:x val="-0.21140418283395618"/>
                  <c:y val="-5.8614040680689886E-2"/>
                </c:manualLayout>
              </c:layout>
              <c:tx>
                <c:rich>
                  <a:bodyPr/>
                  <a:lstStyle/>
                  <a:p>
                    <a:fld id="{85A87BBA-D4AA-8545-81AA-F4A0CF4C2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A0D9-444E-B668-012BD2E213C5}"/>
                </c:ext>
              </c:extLst>
            </c:dLbl>
            <c:dLbl>
              <c:idx val="26"/>
              <c:layout>
                <c:manualLayout>
                  <c:x val="-0.22086368947158644"/>
                  <c:y val="4.8388759775821267E-3"/>
                </c:manualLayout>
              </c:layout>
              <c:tx>
                <c:rich>
                  <a:bodyPr/>
                  <a:lstStyle/>
                  <a:p>
                    <a:fld id="{0A48CE97-23BA-5843-A719-70BD7952F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A0D9-444E-B668-012BD2E213C5}"/>
                </c:ext>
              </c:extLst>
            </c:dLbl>
            <c:dLbl>
              <c:idx val="27"/>
              <c:layout>
                <c:manualLayout>
                  <c:x val="-0.22125367295469819"/>
                  <c:y val="4.1838382759208154E-4"/>
                </c:manualLayout>
              </c:layout>
              <c:tx>
                <c:rich>
                  <a:bodyPr/>
                  <a:lstStyle/>
                  <a:p>
                    <a:fld id="{44AAA743-DC27-0C44-8807-0BE1C407C4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A0D9-444E-B668-012BD2E213C5}"/>
                </c:ext>
              </c:extLst>
            </c:dLbl>
            <c:dLbl>
              <c:idx val="28"/>
              <c:layout>
                <c:manualLayout>
                  <c:x val="1.1671417296107912E-2"/>
                  <c:y val="1.7234854854973621E-2"/>
                </c:manualLayout>
              </c:layout>
              <c:tx>
                <c:rich>
                  <a:bodyPr/>
                  <a:lstStyle/>
                  <a:p>
                    <a:fld id="{B54B63D3-435B-D44E-83AD-D26D44E3E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A0D9-444E-B668-012BD2E213C5}"/>
                </c:ext>
              </c:extLst>
            </c:dLbl>
            <c:dLbl>
              <c:idx val="29"/>
              <c:layout>
                <c:manualLayout>
                  <c:x val="4.3991807627203504E-3"/>
                  <c:y val="3.077759114060368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CE1ADFDF-16D6-C147-87EF-5C6F7A7A6402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4797171404250742"/>
                      <c:h val="2.098146426967288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A0D9-444E-B668-012BD2E213C5}"/>
                </c:ext>
              </c:extLst>
            </c:dLbl>
            <c:dLbl>
              <c:idx val="30"/>
              <c:layout>
                <c:manualLayout>
                  <c:x val="-0.2117567554731104"/>
                  <c:y val="-3.3471427034524978E-2"/>
                </c:manualLayout>
              </c:layout>
              <c:tx>
                <c:rich>
                  <a:bodyPr/>
                  <a:lstStyle/>
                  <a:p>
                    <a:fld id="{3C5DD333-9C53-5F47-B3B2-20513D9553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A0D9-444E-B668-012BD2E213C5}"/>
                </c:ext>
              </c:extLst>
            </c:dLbl>
            <c:dLbl>
              <c:idx val="31"/>
              <c:layout>
                <c:manualLayout>
                  <c:x val="2.2405756827764071E-2"/>
                  <c:y val="-1.5751794250261287E-2"/>
                </c:manualLayout>
              </c:layout>
              <c:tx>
                <c:rich>
                  <a:bodyPr/>
                  <a:lstStyle/>
                  <a:p>
                    <a:fld id="{C7CE9BF9-9613-6D49-881C-62B6E002BC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A0D9-444E-B668-012BD2E213C5}"/>
                </c:ext>
              </c:extLst>
            </c:dLbl>
            <c:dLbl>
              <c:idx val="32"/>
              <c:layout>
                <c:manualLayout>
                  <c:x val="-0.21505474284081322"/>
                  <c:y val="-1.7947505491947232E-2"/>
                </c:manualLayout>
              </c:layout>
              <c:tx>
                <c:rich>
                  <a:bodyPr/>
                  <a:lstStyle/>
                  <a:p>
                    <a:fld id="{7C35CB1E-4EEF-A74B-9FE7-D8E376C0B3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A0D9-444E-B668-012BD2E213C5}"/>
                </c:ext>
              </c:extLst>
            </c:dLbl>
            <c:dLbl>
              <c:idx val="33"/>
              <c:layout>
                <c:manualLayout>
                  <c:x val="2.1516183244509619E-2"/>
                  <c:y val="6.976187757921623E-3"/>
                </c:manualLayout>
              </c:layout>
              <c:tx>
                <c:rich>
                  <a:bodyPr/>
                  <a:lstStyle/>
                  <a:p>
                    <a:fld id="{FB7C0156-C381-264D-BEBE-9C2307C555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A0D9-444E-B668-012BD2E213C5}"/>
                </c:ext>
              </c:extLst>
            </c:dLbl>
            <c:dLbl>
              <c:idx val="34"/>
              <c:layout>
                <c:manualLayout>
                  <c:x val="-0.20192382777924511"/>
                  <c:y val="-2.0957269697775283E-2"/>
                </c:manualLayout>
              </c:layout>
              <c:tx>
                <c:rich>
                  <a:bodyPr/>
                  <a:lstStyle/>
                  <a:p>
                    <a:fld id="{FEB379FD-BB09-C041-9B94-2DB2BDAC9C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A0D9-444E-B668-012BD2E21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DataLabelsRange val="1"/>
                <c15:showLeaderLines val="1"/>
                <c15:leaderLines>
                  <c:spPr>
                    <a:ln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xVal>
            <c:numRef>
              <c:f>'ENV BENEFIT - VIABILITY'!$O$6:$O$40</c:f>
              <c:numCache>
                <c:formatCode>0</c:formatCode>
                <c:ptCount val="3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4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6</c:v>
                </c:pt>
                <c:pt idx="27">
                  <c:v>6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3</c:v>
                </c:pt>
                <c:pt idx="33">
                  <c:v>7</c:v>
                </c:pt>
                <c:pt idx="34">
                  <c:v>4</c:v>
                </c:pt>
              </c:numCache>
            </c:numRef>
          </c:xVal>
          <c:yVal>
            <c:numRef>
              <c:f>'ENV BENEFIT - VIABILITY'!$J$6:$J$40</c:f>
              <c:numCache>
                <c:formatCode>0.00_);[Red]\(0.00\)</c:formatCode>
                <c:ptCount val="35"/>
                <c:pt idx="0">
                  <c:v>0.80563688866828809</c:v>
                </c:pt>
                <c:pt idx="1">
                  <c:v>1.9991063788661707</c:v>
                </c:pt>
                <c:pt idx="2">
                  <c:v>0.60024009603841533</c:v>
                </c:pt>
                <c:pt idx="3">
                  <c:v>1.3285613592760246</c:v>
                </c:pt>
                <c:pt idx="4">
                  <c:v>1.720288238914085</c:v>
                </c:pt>
                <c:pt idx="5">
                  <c:v>1.0497432193239389</c:v>
                </c:pt>
                <c:pt idx="6">
                  <c:v>3.9605314766226165</c:v>
                </c:pt>
                <c:pt idx="7">
                  <c:v>0.98034727597458171</c:v>
                </c:pt>
                <c:pt idx="8">
                  <c:v>2.1278070741811952</c:v>
                </c:pt>
                <c:pt idx="9">
                  <c:v>2.0222207370429999</c:v>
                </c:pt>
                <c:pt idx="10">
                  <c:v>1.501256871113577</c:v>
                </c:pt>
                <c:pt idx="11">
                  <c:v>2.1622752772061435</c:v>
                </c:pt>
                <c:pt idx="12">
                  <c:v>2.0566889400679487</c:v>
                </c:pt>
                <c:pt idx="13">
                  <c:v>3.738335993613163</c:v>
                </c:pt>
                <c:pt idx="14">
                  <c:v>1.2552014041074917</c:v>
                </c:pt>
                <c:pt idx="15">
                  <c:v>2.4026612023141052</c:v>
                </c:pt>
                <c:pt idx="16">
                  <c:v>2.0128693855873143</c:v>
                </c:pt>
                <c:pt idx="17">
                  <c:v>3.6521916829124459</c:v>
                </c:pt>
                <c:pt idx="18">
                  <c:v>6.2465837701760929</c:v>
                </c:pt>
                <c:pt idx="19">
                  <c:v>6.3739072502605572</c:v>
                </c:pt>
                <c:pt idx="20">
                  <c:v>6.1581570490124005</c:v>
                </c:pt>
                <c:pt idx="21">
                  <c:v>6.1807927794271471</c:v>
                </c:pt>
                <c:pt idx="22">
                  <c:v>5.904110526950884</c:v>
                </c:pt>
                <c:pt idx="23">
                  <c:v>6.006646649575468</c:v>
                </c:pt>
                <c:pt idx="24">
                  <c:v>7.6057178974211785</c:v>
                </c:pt>
                <c:pt idx="25">
                  <c:v>7.7380673793407215</c:v>
                </c:pt>
                <c:pt idx="26">
                  <c:v>7.5204628341666666</c:v>
                </c:pt>
                <c:pt idx="27">
                  <c:v>7.766568191895094</c:v>
                </c:pt>
                <c:pt idx="28">
                  <c:v>5.5709132927381422</c:v>
                </c:pt>
                <c:pt idx="29">
                  <c:v>5.4549058279089229</c:v>
                </c:pt>
                <c:pt idx="30">
                  <c:v>6.6325265711286798</c:v>
                </c:pt>
                <c:pt idx="31">
                  <c:v>7.5993067304230948</c:v>
                </c:pt>
                <c:pt idx="32">
                  <c:v>6.5118824228895331</c:v>
                </c:pt>
                <c:pt idx="33">
                  <c:v>7.6015348929569502</c:v>
                </c:pt>
                <c:pt idx="34">
                  <c:v>4.149888444876364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'ENV BENEFIT - VIABILITY'!$A$6:$A$40</c15:f>
                <c15:dlblRangeCache>
                  <c:ptCount val="35"/>
                  <c:pt idx="0">
                    <c:v>LF*</c:v>
                  </c:pt>
                  <c:pt idx="1">
                    <c:v>LF_LFG*</c:v>
                  </c:pt>
                  <c:pt idx="2">
                    <c:v>TD-LF</c:v>
                  </c:pt>
                  <c:pt idx="3">
                    <c:v>TD-LF_LFG</c:v>
                  </c:pt>
                  <c:pt idx="4">
                    <c:v>LA*</c:v>
                  </c:pt>
                  <c:pt idx="5">
                    <c:v>TD-LA</c:v>
                  </c:pt>
                  <c:pt idx="6">
                    <c:v>TD-INC-LF*</c:v>
                  </c:pt>
                  <c:pt idx="7">
                    <c:v>AD-CHP-LF*</c:v>
                  </c:pt>
                  <c:pt idx="8">
                    <c:v>AD-CHP-LF_LFG*</c:v>
                  </c:pt>
                  <c:pt idx="9">
                    <c:v>AD-CHP-LA*</c:v>
                  </c:pt>
                  <c:pt idx="10">
                    <c:v>AD-CHP-TD-LF</c:v>
                  </c:pt>
                  <c:pt idx="11">
                    <c:v>AD-CHP-TD-LF_LFG</c:v>
                  </c:pt>
                  <c:pt idx="12">
                    <c:v>AD-CHP-TD-LA</c:v>
                  </c:pt>
                  <c:pt idx="13">
                    <c:v>AD-CHP-TD-INC-LF*</c:v>
                  </c:pt>
                  <c:pt idx="14">
                    <c:v>TH-AD-CHP-LF*</c:v>
                  </c:pt>
                  <c:pt idx="15">
                    <c:v>TH-AD-CHP-LF_LFG*</c:v>
                  </c:pt>
                  <c:pt idx="16">
                    <c:v>TH-AD-CHP-LA*</c:v>
                  </c:pt>
                  <c:pt idx="17">
                    <c:v>TH-AD-CHP-TD-INC-LF*</c:v>
                  </c:pt>
                  <c:pt idx="18">
                    <c:v>HTL-CAS_BC</c:v>
                  </c:pt>
                  <c:pt idx="19">
                    <c:v>HTL-CAS_FP</c:v>
                  </c:pt>
                  <c:pt idx="20">
                    <c:v>HTL-NH3-CAS_BC</c:v>
                  </c:pt>
                  <c:pt idx="21">
                    <c:v>HTL-NH3-CAS_FP</c:v>
                  </c:pt>
                  <c:pt idx="22">
                    <c:v>SupCrit HTL-CAS_BHO</c:v>
                  </c:pt>
                  <c:pt idx="23">
                    <c:v>SubCrit HTL-CAS_BHO</c:v>
                  </c:pt>
                  <c:pt idx="24">
                    <c:v>HTL-AD-CHP_BC</c:v>
                  </c:pt>
                  <c:pt idx="25">
                    <c:v>HTL-AD-Boiler_BC</c:v>
                  </c:pt>
                  <c:pt idx="26">
                    <c:v>HTL-CHG-CHP_BC</c:v>
                  </c:pt>
                  <c:pt idx="27">
                    <c:v>HTL-CHG-Boiler_BC</c:v>
                  </c:pt>
                  <c:pt idx="28">
                    <c:v>TD-AirGs-CHP</c:v>
                  </c:pt>
                  <c:pt idx="29">
                    <c:v>TD-StmGs-CHP</c:v>
                  </c:pt>
                  <c:pt idx="30">
                    <c:v>FD-Torr-Comb_BSF</c:v>
                  </c:pt>
                  <c:pt idx="31">
                    <c:v>FD-Torr_BSF</c:v>
                  </c:pt>
                  <c:pt idx="32">
                    <c:v>TE-PBR-TD-MWPy</c:v>
                  </c:pt>
                  <c:pt idx="33">
                    <c:v>TD-Py</c:v>
                  </c:pt>
                  <c:pt idx="34">
                    <c:v>HTC-AD-CHP-LA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7-A0D9-444E-B668-012BD2E21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783055"/>
        <c:axId val="1172990191"/>
      </c:scatterChart>
      <c:valAx>
        <c:axId val="1147783055"/>
        <c:scaling>
          <c:orientation val="minMax"/>
          <c:max val="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Technology Rediness Level</a:t>
                </a:r>
              </a:p>
            </c:rich>
          </c:tx>
          <c:layout>
            <c:manualLayout>
              <c:xMode val="edge"/>
              <c:yMode val="edge"/>
              <c:x val="0.31499443827024637"/>
              <c:y val="0.9209609947154823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  <a:tailEnd type="none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2990191"/>
        <c:crosses val="autoZero"/>
        <c:crossBetween val="midCat"/>
        <c:majorUnit val="1"/>
      </c:valAx>
      <c:valAx>
        <c:axId val="1172990191"/>
        <c:scaling>
          <c:orientation val="minMax"/>
          <c:max val="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Environmental Benefit</a:t>
                </a:r>
                <a:r>
                  <a:rPr lang="en-US" sz="16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3.1100516137952682E-2"/>
              <c:y val="0.3259891496963991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none"/>
        <c:minorTickMark val="none"/>
        <c:tickLblPos val="nextTo"/>
        <c:txPr>
          <a:bodyPr/>
          <a:lstStyle/>
          <a:p>
            <a:pPr>
              <a:defRPr sz="20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1477830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1073338840527"/>
          <c:y val="7.2065014055607668E-2"/>
          <c:w val="0.71812079009177732"/>
          <c:h val="0.72670843828691722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'CO2e v NPV'!$A$5</c:f>
              <c:strCache>
                <c:ptCount val="1"/>
                <c:pt idx="0">
                  <c:v>LF*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6A0-2D42-BEC0-F4484ECB3A30}"/>
              </c:ext>
            </c:extLst>
          </c:dPt>
          <c:dLbls>
            <c:dLbl>
              <c:idx val="0"/>
              <c:layout>
                <c:manualLayout>
                  <c:x val="1.6363617622198859E-2"/>
                  <c:y val="-1.07332989867765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  <c15:leaderLines>
                  <c:spPr>
                    <a:ln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xVal>
            <c:numRef>
              <c:f>'CO2e v NPV'!$K$5:$AA$5</c:f>
              <c:numCache>
                <c:formatCode>#,##0</c:formatCode>
                <c:ptCount val="5"/>
                <c:pt idx="0">
                  <c:v>-90.84354836422051</c:v>
                </c:pt>
                <c:pt idx="1">
                  <c:v>-165.7473578126048</c:v>
                </c:pt>
                <c:pt idx="2">
                  <c:v>-240.65116726098904</c:v>
                </c:pt>
                <c:pt idx="3">
                  <c:v>-315.55497670937336</c:v>
                </c:pt>
                <c:pt idx="4">
                  <c:v>-390.45878615775763</c:v>
                </c:pt>
              </c:numCache>
            </c:numRef>
          </c:xVal>
          <c:yVal>
            <c:numRef>
              <c:f>'CO2e v NPV'!$B$5:$F$5</c:f>
              <c:numCache>
                <c:formatCode>0.0</c:formatCode>
                <c:ptCount val="5"/>
                <c:pt idx="0">
                  <c:v>5.3322262738433244</c:v>
                </c:pt>
                <c:pt idx="1">
                  <c:v>5.3322262738433244</c:v>
                </c:pt>
                <c:pt idx="2">
                  <c:v>5.3322262738433244</c:v>
                </c:pt>
                <c:pt idx="3">
                  <c:v>5.3322262738433244</c:v>
                </c:pt>
                <c:pt idx="4">
                  <c:v>5.3322262738433244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6A0-2D42-BEC0-F4484ECB3A30}"/>
            </c:ext>
          </c:extLst>
        </c:ser>
        <c:ser>
          <c:idx val="1"/>
          <c:order val="1"/>
          <c:tx>
            <c:strRef>
              <c:f>'CO2e v NPV'!$A$6</c:f>
              <c:strCache>
                <c:ptCount val="1"/>
                <c:pt idx="0">
                  <c:v>LF_LFG*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8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A-46A0-2D42-BEC0-F4484ECB3A30}"/>
              </c:ext>
            </c:extLst>
          </c:dPt>
          <c:dLbls>
            <c:dLbl>
              <c:idx val="0"/>
              <c:layout>
                <c:manualLayout>
                  <c:x val="4.7108984186059119E-2"/>
                  <c:y val="-2.14951073290982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NPV'!$K$6:$AA$6</c:f>
              <c:numCache>
                <c:formatCode>#,##0</c:formatCode>
                <c:ptCount val="5"/>
                <c:pt idx="0">
                  <c:v>-90.84354836422051</c:v>
                </c:pt>
                <c:pt idx="1">
                  <c:v>-102.44472584240442</c:v>
                </c:pt>
                <c:pt idx="2">
                  <c:v>-114.04590332058835</c:v>
                </c:pt>
                <c:pt idx="3">
                  <c:v>-125.64708079877227</c:v>
                </c:pt>
                <c:pt idx="4">
                  <c:v>-137.24825827695619</c:v>
                </c:pt>
              </c:numCache>
            </c:numRef>
          </c:xVal>
          <c:yVal>
            <c:numRef>
              <c:f>'CO2e v NPV'!$B$6:$F$6</c:f>
              <c:numCache>
                <c:formatCode>0.0</c:formatCode>
                <c:ptCount val="5"/>
                <c:pt idx="0">
                  <c:v>0.82586057788314626</c:v>
                </c:pt>
                <c:pt idx="1">
                  <c:v>0.82586057788314626</c:v>
                </c:pt>
                <c:pt idx="2">
                  <c:v>0.82586057788314626</c:v>
                </c:pt>
                <c:pt idx="3">
                  <c:v>0.82586057788314626</c:v>
                </c:pt>
                <c:pt idx="4">
                  <c:v>0.82586057788314626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6A0-2D42-BEC0-F4484ECB3A30}"/>
            </c:ext>
          </c:extLst>
        </c:ser>
        <c:ser>
          <c:idx val="2"/>
          <c:order val="2"/>
          <c:tx>
            <c:strRef>
              <c:f>'[1]CO2e v NPV'!$A$7</c:f>
              <c:strCache>
                <c:ptCount val="1"/>
                <c:pt idx="0">
                  <c:v>TD-LF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NPV'!$K$7:$W$7</c:f>
              <c:numCache>
                <c:formatCode>General</c:formatCode>
                <c:ptCount val="13"/>
                <c:pt idx="0">
                  <c:v>-107.03470484366397</c:v>
                </c:pt>
                <c:pt idx="1">
                  <c:v>-311.63954882486649</c:v>
                </c:pt>
                <c:pt idx="2">
                  <c:v>-599.76517812631926</c:v>
                </c:pt>
                <c:pt idx="3">
                  <c:v>-19792250.878168534</c:v>
                </c:pt>
                <c:pt idx="4">
                  <c:v>-194.58908900873521</c:v>
                </c:pt>
                <c:pt idx="5">
                  <c:v>-623.27909764973299</c:v>
                </c:pt>
                <c:pt idx="6">
                  <c:v>-911.40472695118569</c:v>
                </c:pt>
                <c:pt idx="7">
                  <c:v>-30076355.989389129</c:v>
                </c:pt>
                <c:pt idx="8">
                  <c:v>-282.14347317380651</c:v>
                </c:pt>
                <c:pt idx="9">
                  <c:v>-934.91864647459943</c:v>
                </c:pt>
                <c:pt idx="10">
                  <c:v>-1223.0442757760522</c:v>
                </c:pt>
                <c:pt idx="11">
                  <c:v>-40360461.100609727</c:v>
                </c:pt>
                <c:pt idx="12">
                  <c:v>-369.69785733887778</c:v>
                </c:pt>
              </c:numCache>
            </c:numRef>
          </c:xVal>
          <c:yVal>
            <c:numRef>
              <c:f>'[1]CO2e v NPV'!$B$7:$F$7</c:f>
              <c:numCache>
                <c:formatCode>General</c:formatCode>
                <c:ptCount val="5"/>
                <c:pt idx="0">
                  <c:v>6.2327909764973297</c:v>
                </c:pt>
                <c:pt idx="1">
                  <c:v>6.2327909764973297</c:v>
                </c:pt>
                <c:pt idx="2">
                  <c:v>6.2327909764973297</c:v>
                </c:pt>
                <c:pt idx="3">
                  <c:v>6.2327909764973297</c:v>
                </c:pt>
                <c:pt idx="4">
                  <c:v>6.2327909764973297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6A0-2D42-BEC0-F4484ECB3A30}"/>
            </c:ext>
          </c:extLst>
        </c:ser>
        <c:ser>
          <c:idx val="3"/>
          <c:order val="3"/>
          <c:tx>
            <c:strRef>
              <c:f>'[1]CO2e v NPV'!$A$8</c:f>
              <c:strCache>
                <c:ptCount val="1"/>
                <c:pt idx="0">
                  <c:v>TD-LF_LFG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NPV'!$K$8:$W$8</c:f>
              <c:numCache>
                <c:formatCode>General</c:formatCode>
                <c:ptCount val="13"/>
                <c:pt idx="0">
                  <c:v>-107.03470484366397</c:v>
                </c:pt>
                <c:pt idx="1">
                  <c:v>-86.321264026857577</c:v>
                </c:pt>
                <c:pt idx="2">
                  <c:v>-374.44689332831035</c:v>
                </c:pt>
                <c:pt idx="3">
                  <c:v>-12356747.479834242</c:v>
                </c:pt>
                <c:pt idx="4">
                  <c:v>-131.28645703853488</c:v>
                </c:pt>
                <c:pt idx="5">
                  <c:v>-172.64252805371515</c:v>
                </c:pt>
                <c:pt idx="6">
                  <c:v>-460.76815735516789</c:v>
                </c:pt>
                <c:pt idx="7">
                  <c:v>-15205349.19272054</c:v>
                </c:pt>
                <c:pt idx="8">
                  <c:v>-155.53820923340578</c:v>
                </c:pt>
                <c:pt idx="9">
                  <c:v>-258.96379208057272</c:v>
                </c:pt>
                <c:pt idx="10">
                  <c:v>-547.08942138202542</c:v>
                </c:pt>
                <c:pt idx="11">
                  <c:v>-18053950.90560684</c:v>
                </c:pt>
                <c:pt idx="12">
                  <c:v>-179.78996142827668</c:v>
                </c:pt>
              </c:numCache>
            </c:numRef>
          </c:xVal>
          <c:yVal>
            <c:numRef>
              <c:f>'[1]CO2e v NPV'!$B$8:$F$8</c:f>
              <c:numCache>
                <c:formatCode>General</c:formatCode>
                <c:ptCount val="5"/>
                <c:pt idx="0">
                  <c:v>1.7264252805371516</c:v>
                </c:pt>
                <c:pt idx="1">
                  <c:v>1.7264252805371516</c:v>
                </c:pt>
                <c:pt idx="2">
                  <c:v>1.7264252805371516</c:v>
                </c:pt>
                <c:pt idx="3">
                  <c:v>1.7264252805371516</c:v>
                </c:pt>
                <c:pt idx="4">
                  <c:v>1.7264252805371516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6A0-2D42-BEC0-F4484ECB3A30}"/>
            </c:ext>
          </c:extLst>
        </c:ser>
        <c:ser>
          <c:idx val="4"/>
          <c:order val="4"/>
          <c:tx>
            <c:strRef>
              <c:f>'CO2e v NPV'!$A$9</c:f>
              <c:strCache>
                <c:ptCount val="1"/>
                <c:pt idx="0">
                  <c:v>LA*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6A0-2D42-BEC0-F4484ECB3A30}"/>
              </c:ext>
            </c:extLst>
          </c:dPt>
          <c:dLbls>
            <c:dLbl>
              <c:idx val="0"/>
              <c:layout>
                <c:manualLayout>
                  <c:x val="4.7108926866122065E-2"/>
                  <c:y val="-1.5124383657397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NPV'!$K$9:$AA$9</c:f>
              <c:numCache>
                <c:formatCode>#,##0</c:formatCode>
                <c:ptCount val="5"/>
                <c:pt idx="0">
                  <c:v>-90.84354836422051</c:v>
                </c:pt>
                <c:pt idx="1">
                  <c:v>-96.841827678666675</c:v>
                </c:pt>
                <c:pt idx="2">
                  <c:v>-102.84010699311287</c:v>
                </c:pt>
                <c:pt idx="3">
                  <c:v>-108.83838630755905</c:v>
                </c:pt>
                <c:pt idx="4">
                  <c:v>-114.83666562200523</c:v>
                </c:pt>
              </c:numCache>
            </c:numRef>
          </c:xVal>
          <c:yVal>
            <c:numRef>
              <c:f>'CO2e v NPV'!$B$9:$F$9</c:f>
              <c:numCache>
                <c:formatCode>0.0</c:formatCode>
                <c:ptCount val="5"/>
                <c:pt idx="0">
                  <c:v>0.42700341670046715</c:v>
                </c:pt>
                <c:pt idx="1">
                  <c:v>0.42700341670046715</c:v>
                </c:pt>
                <c:pt idx="2">
                  <c:v>0.42700341670046715</c:v>
                </c:pt>
                <c:pt idx="3">
                  <c:v>0.42700341670046715</c:v>
                </c:pt>
                <c:pt idx="4">
                  <c:v>0.42700341670046715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6A0-2D42-BEC0-F4484ECB3A30}"/>
            </c:ext>
          </c:extLst>
        </c:ser>
        <c:ser>
          <c:idx val="5"/>
          <c:order val="5"/>
          <c:tx>
            <c:strRef>
              <c:f>'[1]CO2e v NPV'!$A$10</c:f>
              <c:strCache>
                <c:ptCount val="1"/>
                <c:pt idx="0">
                  <c:v>TD-LA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NPV'!$K$10:$W$10</c:f>
              <c:numCache>
                <c:formatCode>General</c:formatCode>
                <c:ptCount val="13"/>
                <c:pt idx="0">
                  <c:v>-107.03470484366397</c:v>
                </c:pt>
                <c:pt idx="1">
                  <c:v>-66.378405967723623</c:v>
                </c:pt>
                <c:pt idx="2">
                  <c:v>-354.50403526917637</c:v>
                </c:pt>
                <c:pt idx="3">
                  <c:v>-11698633.16388282</c:v>
                </c:pt>
                <c:pt idx="4">
                  <c:v>-125.68355887479711</c:v>
                </c:pt>
                <c:pt idx="5">
                  <c:v>-132.75681193544725</c:v>
                </c:pt>
                <c:pt idx="6">
                  <c:v>-420.88244123690004</c:v>
                </c:pt>
                <c:pt idx="7">
                  <c:v>-13889120.560817702</c:v>
                </c:pt>
                <c:pt idx="8">
                  <c:v>-144.33241290593031</c:v>
                </c:pt>
                <c:pt idx="9">
                  <c:v>-199.13521790317085</c:v>
                </c:pt>
                <c:pt idx="10">
                  <c:v>-487.26084720462359</c:v>
                </c:pt>
                <c:pt idx="11">
                  <c:v>-16079607.957752578</c:v>
                </c:pt>
                <c:pt idx="12">
                  <c:v>-162.98126693706345</c:v>
                </c:pt>
              </c:numCache>
            </c:numRef>
          </c:xVal>
          <c:yVal>
            <c:numRef>
              <c:f>'[1]CO2e v NPV'!$B$10:$F$10</c:f>
              <c:numCache>
                <c:formatCode>General</c:formatCode>
                <c:ptCount val="5"/>
                <c:pt idx="0">
                  <c:v>1.3275681193544724</c:v>
                </c:pt>
                <c:pt idx="1">
                  <c:v>1.3275681193544724</c:v>
                </c:pt>
                <c:pt idx="2">
                  <c:v>1.3275681193544724</c:v>
                </c:pt>
                <c:pt idx="3">
                  <c:v>1.3275681193544724</c:v>
                </c:pt>
                <c:pt idx="4">
                  <c:v>1.3275681193544724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6A0-2D42-BEC0-F4484ECB3A30}"/>
            </c:ext>
          </c:extLst>
        </c:ser>
        <c:ser>
          <c:idx val="6"/>
          <c:order val="6"/>
          <c:tx>
            <c:strRef>
              <c:f>'[1]CO2e v NPV'!$A$11</c:f>
              <c:strCache>
                <c:ptCount val="1"/>
                <c:pt idx="0">
                  <c:v>TD-INC-LF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NPV'!$K$11:$W$11</c:f>
              <c:numCache>
                <c:formatCode>General</c:formatCode>
                <c:ptCount val="13"/>
                <c:pt idx="0">
                  <c:v>-130.99087896070921</c:v>
                </c:pt>
                <c:pt idx="1">
                  <c:v>-368.10045786681241</c:v>
                </c:pt>
                <c:pt idx="2">
                  <c:v>-634.07844888267823</c:v>
                </c:pt>
                <c:pt idx="3">
                  <c:v>-20924588.813128382</c:v>
                </c:pt>
                <c:pt idx="4">
                  <c:v>-234.40782017031574</c:v>
                </c:pt>
                <c:pt idx="5">
                  <c:v>-736.20091573362481</c:v>
                </c:pt>
                <c:pt idx="6">
                  <c:v>-1002.1789067494907</c:v>
                </c:pt>
                <c:pt idx="7">
                  <c:v>-33071903.922733191</c:v>
                </c:pt>
                <c:pt idx="8">
                  <c:v>-337.82476137992228</c:v>
                </c:pt>
                <c:pt idx="9">
                  <c:v>-1104.3013736004373</c:v>
                </c:pt>
                <c:pt idx="10">
                  <c:v>-1370.2793646163032</c:v>
                </c:pt>
                <c:pt idx="11">
                  <c:v>-45219219.032338001</c:v>
                </c:pt>
                <c:pt idx="12">
                  <c:v>-441.24170258952881</c:v>
                </c:pt>
              </c:numCache>
            </c:numRef>
          </c:xVal>
          <c:yVal>
            <c:numRef>
              <c:f>'[1]CO2e v NPV'!$B$11:$F$11</c:f>
              <c:numCache>
                <c:formatCode>General</c:formatCode>
                <c:ptCount val="5"/>
                <c:pt idx="0">
                  <c:v>7.3620091573362485</c:v>
                </c:pt>
                <c:pt idx="1">
                  <c:v>7.3620091573362485</c:v>
                </c:pt>
                <c:pt idx="2">
                  <c:v>7.3620091573362485</c:v>
                </c:pt>
                <c:pt idx="3">
                  <c:v>7.3620091573362485</c:v>
                </c:pt>
                <c:pt idx="4">
                  <c:v>7.3620091573362485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6A0-2D42-BEC0-F4484ECB3A30}"/>
            </c:ext>
          </c:extLst>
        </c:ser>
        <c:ser>
          <c:idx val="7"/>
          <c:order val="7"/>
          <c:tx>
            <c:strRef>
              <c:f>'CO2e v NPV'!$A$12</c:f>
              <c:strCache>
                <c:ptCount val="1"/>
                <c:pt idx="0">
                  <c:v>AD-CHP-LF*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46A0-2D42-BEC0-F4484ECB3A30}"/>
              </c:ext>
            </c:extLst>
          </c:dPt>
          <c:dLbls>
            <c:dLbl>
              <c:idx val="0"/>
              <c:layout>
                <c:manualLayout>
                  <c:x val="1.2279851479509702E-2"/>
                  <c:y val="-4.065336548927348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NPV'!$K$12:$AA$12</c:f>
              <c:numCache>
                <c:formatCode>#,##0</c:formatCode>
                <c:ptCount val="5"/>
                <c:pt idx="0">
                  <c:v>-111.66917937705342</c:v>
                </c:pt>
                <c:pt idx="1">
                  <c:v>-142.5431103125286</c:v>
                </c:pt>
                <c:pt idx="2">
                  <c:v>-173.41704124800381</c:v>
                </c:pt>
                <c:pt idx="3">
                  <c:v>-204.290972183479</c:v>
                </c:pt>
                <c:pt idx="4">
                  <c:v>-235.16490311895419</c:v>
                </c:pt>
              </c:numCache>
            </c:numRef>
          </c:xVal>
          <c:yVal>
            <c:numRef>
              <c:f>'CO2e v NPV'!$B$12:$F$12</c:f>
              <c:numCache>
                <c:formatCode>0.0</c:formatCode>
                <c:ptCount val="5"/>
                <c:pt idx="0">
                  <c:v>2.1978426320814601</c:v>
                </c:pt>
                <c:pt idx="1">
                  <c:v>2.1978426320814601</c:v>
                </c:pt>
                <c:pt idx="2">
                  <c:v>2.1978426320814601</c:v>
                </c:pt>
                <c:pt idx="3">
                  <c:v>2.1978426320814601</c:v>
                </c:pt>
                <c:pt idx="4">
                  <c:v>2.1978426320814601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6A0-2D42-BEC0-F4484ECB3A30}"/>
            </c:ext>
          </c:extLst>
        </c:ser>
        <c:ser>
          <c:idx val="8"/>
          <c:order val="8"/>
          <c:tx>
            <c:strRef>
              <c:f>'CO2e v NPV'!$A$13</c:f>
              <c:strCache>
                <c:ptCount val="1"/>
                <c:pt idx="0">
                  <c:v>AD-CHP-LF_LFG*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D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E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F-46A0-2D42-BEC0-F4484ECB3A30}"/>
              </c:ext>
            </c:extLst>
          </c:dPt>
          <c:dLbls>
            <c:dLbl>
              <c:idx val="0"/>
              <c:layout>
                <c:manualLayout>
                  <c:x val="5.7371448200723534E-2"/>
                  <c:y val="1.494929357099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NPV'!$K$13:$AA$13</c:f>
              <c:numCache>
                <c:formatCode>#,##0</c:formatCode>
                <c:ptCount val="5"/>
                <c:pt idx="0">
                  <c:v>-111.66917937705342</c:v>
                </c:pt>
                <c:pt idx="1">
                  <c:v>-116.71563646868688</c:v>
                </c:pt>
                <c:pt idx="2">
                  <c:v>-121.76209356032032</c:v>
                </c:pt>
                <c:pt idx="3">
                  <c:v>-126.80855065195378</c:v>
                </c:pt>
                <c:pt idx="4">
                  <c:v>-131.85500774358724</c:v>
                </c:pt>
              </c:numCache>
            </c:numRef>
          </c:xVal>
          <c:yVal>
            <c:numRef>
              <c:f>'CO2e v NPV'!$B$13:$F$13</c:f>
              <c:numCache>
                <c:formatCode>0.0</c:formatCode>
                <c:ptCount val="5"/>
                <c:pt idx="0">
                  <c:v>0.35924542812970783</c:v>
                </c:pt>
                <c:pt idx="1">
                  <c:v>0.35924542812970783</c:v>
                </c:pt>
                <c:pt idx="2">
                  <c:v>0.35924542812970783</c:v>
                </c:pt>
                <c:pt idx="3">
                  <c:v>0.35924542812970783</c:v>
                </c:pt>
                <c:pt idx="4">
                  <c:v>0.35924542812970783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46A0-2D42-BEC0-F4484ECB3A30}"/>
            </c:ext>
          </c:extLst>
        </c:ser>
        <c:ser>
          <c:idx val="9"/>
          <c:order val="9"/>
          <c:tx>
            <c:strRef>
              <c:f>'CO2e v NPV'!$A$14</c:f>
              <c:strCache>
                <c:ptCount val="1"/>
                <c:pt idx="0">
                  <c:v>AD-CHP-LA*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23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24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25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26-46A0-2D42-BEC0-F4484ECB3A30}"/>
              </c:ext>
            </c:extLst>
          </c:dPt>
          <c:dLbls>
            <c:dLbl>
              <c:idx val="0"/>
              <c:layout>
                <c:manualLayout>
                  <c:x val="5.7371448200723534E-2"/>
                  <c:y val="3.01591823870932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NPV'!$K$14:$AA$14</c:f>
              <c:numCache>
                <c:formatCode>#,##0</c:formatCode>
                <c:ptCount val="5"/>
                <c:pt idx="0">
                  <c:v>-111.66917937705342</c:v>
                </c:pt>
                <c:pt idx="1">
                  <c:v>-114.20741579486472</c:v>
                </c:pt>
                <c:pt idx="2">
                  <c:v>-116.74565221267599</c:v>
                </c:pt>
                <c:pt idx="3">
                  <c:v>-119.2838886304873</c:v>
                </c:pt>
                <c:pt idx="4">
                  <c:v>-121.82212504829857</c:v>
                </c:pt>
              </c:numCache>
            </c:numRef>
          </c:xVal>
          <c:yVal>
            <c:numRef>
              <c:f>'CO2e v NPV'!$B$14:$F$14</c:f>
              <c:numCache>
                <c:formatCode>0.0</c:formatCode>
                <c:ptCount val="5"/>
                <c:pt idx="0">
                  <c:v>0.18069108922431759</c:v>
                </c:pt>
                <c:pt idx="1">
                  <c:v>0.18069108922431759</c:v>
                </c:pt>
                <c:pt idx="2">
                  <c:v>0.18069108922431759</c:v>
                </c:pt>
                <c:pt idx="3">
                  <c:v>0.18069108922431759</c:v>
                </c:pt>
                <c:pt idx="4">
                  <c:v>0.18069108922431759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46A0-2D42-BEC0-F4484ECB3A30}"/>
            </c:ext>
          </c:extLst>
        </c:ser>
        <c:ser>
          <c:idx val="10"/>
          <c:order val="10"/>
          <c:tx>
            <c:strRef>
              <c:f>'[1]CO2e v NPV'!$A$15</c:f>
              <c:strCache>
                <c:ptCount val="1"/>
                <c:pt idx="0">
                  <c:v>AD-CHP-TD-LF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NPV'!$K$15:$W$15</c:f>
              <c:numCache>
                <c:formatCode>General</c:formatCode>
                <c:ptCount val="13"/>
                <c:pt idx="0">
                  <c:v>-122.04780697690407</c:v>
                </c:pt>
                <c:pt idx="1">
                  <c:v>-150.0851164297832</c:v>
                </c:pt>
                <c:pt idx="2">
                  <c:v>-356.92193015477108</c:v>
                </c:pt>
                <c:pt idx="3">
                  <c:v>-11778423.695107445</c:v>
                </c:pt>
                <c:pt idx="4">
                  <c:v>-164.21386064661135</c:v>
                </c:pt>
                <c:pt idx="5">
                  <c:v>-300.1702328595664</c:v>
                </c:pt>
                <c:pt idx="6">
                  <c:v>-507.00704658455425</c:v>
                </c:pt>
                <c:pt idx="7">
                  <c:v>-16731232.53729029</c:v>
                </c:pt>
                <c:pt idx="8">
                  <c:v>-206.37991431631866</c:v>
                </c:pt>
                <c:pt idx="9">
                  <c:v>-450.25534928934957</c:v>
                </c:pt>
                <c:pt idx="10">
                  <c:v>-657.09216301433742</c:v>
                </c:pt>
                <c:pt idx="11">
                  <c:v>-21684041.379473135</c:v>
                </c:pt>
                <c:pt idx="12">
                  <c:v>-248.54596798602594</c:v>
                </c:pt>
              </c:numCache>
            </c:numRef>
          </c:xVal>
          <c:yVal>
            <c:numRef>
              <c:f>'[1]CO2e v NPV'!$B$15:$F$15</c:f>
              <c:numCache>
                <c:formatCode>General</c:formatCode>
                <c:ptCount val="5"/>
                <c:pt idx="0">
                  <c:v>3.0017023285956639</c:v>
                </c:pt>
                <c:pt idx="1">
                  <c:v>3.0017023285956639</c:v>
                </c:pt>
                <c:pt idx="2">
                  <c:v>3.0017023285956639</c:v>
                </c:pt>
                <c:pt idx="3">
                  <c:v>3.0017023285956639</c:v>
                </c:pt>
                <c:pt idx="4">
                  <c:v>3.0017023285956639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46A0-2D42-BEC0-F4484ECB3A30}"/>
            </c:ext>
          </c:extLst>
        </c:ser>
        <c:ser>
          <c:idx val="11"/>
          <c:order val="11"/>
          <c:tx>
            <c:strRef>
              <c:f>'[1]CO2e v NPV'!$A$16</c:f>
              <c:strCache>
                <c:ptCount val="1"/>
                <c:pt idx="0">
                  <c:v>AD-CHP-TD-LF_LFG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NPV'!$K$16:$W$16</c:f>
              <c:numCache>
                <c:formatCode>General</c:formatCode>
                <c:ptCount val="13"/>
                <c:pt idx="0">
                  <c:v>-122.04780697690407</c:v>
                </c:pt>
                <c:pt idx="1">
                  <c:v>-58.155256232195576</c:v>
                </c:pt>
                <c:pt idx="2">
                  <c:v>-264.99206995718345</c:v>
                </c:pt>
                <c:pt idx="3">
                  <c:v>-8744738.3085870538</c:v>
                </c:pt>
                <c:pt idx="4">
                  <c:v>-138.38638680276961</c:v>
                </c:pt>
                <c:pt idx="5">
                  <c:v>-116.31051246439115</c:v>
                </c:pt>
                <c:pt idx="6">
                  <c:v>-323.14732618937899</c:v>
                </c:pt>
                <c:pt idx="7">
                  <c:v>-10663861.764249507</c:v>
                </c:pt>
                <c:pt idx="8">
                  <c:v>-154.72496662863517</c:v>
                </c:pt>
                <c:pt idx="9">
                  <c:v>-174.46576869658671</c:v>
                </c:pt>
                <c:pt idx="10">
                  <c:v>-381.30258242157458</c:v>
                </c:pt>
                <c:pt idx="11">
                  <c:v>-12582985.219911961</c:v>
                </c:pt>
                <c:pt idx="12">
                  <c:v>-171.06354645450074</c:v>
                </c:pt>
              </c:numCache>
            </c:numRef>
          </c:xVal>
          <c:yVal>
            <c:numRef>
              <c:f>'[1]CO2e v NPV'!$B$16:$F$16</c:f>
              <c:numCache>
                <c:formatCode>General</c:formatCode>
                <c:ptCount val="5"/>
                <c:pt idx="0">
                  <c:v>1.1631051246439115</c:v>
                </c:pt>
                <c:pt idx="1">
                  <c:v>1.1631051246439115</c:v>
                </c:pt>
                <c:pt idx="2">
                  <c:v>1.1631051246439115</c:v>
                </c:pt>
                <c:pt idx="3">
                  <c:v>1.1631051246439115</c:v>
                </c:pt>
                <c:pt idx="4">
                  <c:v>1.1631051246439115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46A0-2D42-BEC0-F4484ECB3A30}"/>
            </c:ext>
          </c:extLst>
        </c:ser>
        <c:ser>
          <c:idx val="12"/>
          <c:order val="12"/>
          <c:tx>
            <c:strRef>
              <c:f>'[1]CO2e v NPV'!$A$17</c:f>
              <c:strCache>
                <c:ptCount val="1"/>
                <c:pt idx="0">
                  <c:v>AD-CHP-TD-LA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NPV'!$K$17:$W$17</c:f>
              <c:numCache>
                <c:formatCode>General</c:formatCode>
                <c:ptCount val="13"/>
                <c:pt idx="0">
                  <c:v>-122.04780697690407</c:v>
                </c:pt>
                <c:pt idx="1">
                  <c:v>-49.227539286926067</c:v>
                </c:pt>
                <c:pt idx="2">
                  <c:v>-256.06435301191391</c:v>
                </c:pt>
                <c:pt idx="3">
                  <c:v>-8450123.6493931599</c:v>
                </c:pt>
                <c:pt idx="4">
                  <c:v>-135.87816612894744</c:v>
                </c:pt>
                <c:pt idx="5">
                  <c:v>-98.455078573852134</c:v>
                </c:pt>
                <c:pt idx="6">
                  <c:v>-305.29189229883997</c:v>
                </c:pt>
                <c:pt idx="7">
                  <c:v>-10074632.44586172</c:v>
                </c:pt>
                <c:pt idx="8">
                  <c:v>-149.70852528099084</c:v>
                </c:pt>
                <c:pt idx="9">
                  <c:v>-147.68261786077821</c:v>
                </c:pt>
                <c:pt idx="10">
                  <c:v>-354.51943158576603</c:v>
                </c:pt>
                <c:pt idx="11">
                  <c:v>-11699141.242330279</c:v>
                </c:pt>
                <c:pt idx="12">
                  <c:v>-163.53888443303421</c:v>
                </c:pt>
              </c:numCache>
            </c:numRef>
          </c:xVal>
          <c:yVal>
            <c:numRef>
              <c:f>'[1]CO2e v NPV'!$B$17:$F$17</c:f>
              <c:numCache>
                <c:formatCode>General</c:formatCode>
                <c:ptCount val="5"/>
                <c:pt idx="0">
                  <c:v>0.98455078573852139</c:v>
                </c:pt>
                <c:pt idx="1">
                  <c:v>0.98455078573852139</c:v>
                </c:pt>
                <c:pt idx="2">
                  <c:v>0.98455078573852139</c:v>
                </c:pt>
                <c:pt idx="3">
                  <c:v>0.98455078573852139</c:v>
                </c:pt>
                <c:pt idx="4">
                  <c:v>0.98455078573852139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A-46A0-2D42-BEC0-F4484ECB3A30}"/>
            </c:ext>
          </c:extLst>
        </c:ser>
        <c:ser>
          <c:idx val="13"/>
          <c:order val="13"/>
          <c:tx>
            <c:strRef>
              <c:f>'CO2e v NPV'!$A$18</c:f>
              <c:strCache>
                <c:ptCount val="1"/>
                <c:pt idx="0">
                  <c:v>AD-CHP-TD-INC-LF*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2C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2D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2E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2F-46A0-2D42-BEC0-F4484ECB3A30}"/>
              </c:ext>
            </c:extLst>
          </c:dPt>
          <c:dLbls>
            <c:dLbl>
              <c:idx val="0"/>
              <c:layout>
                <c:manualLayout>
                  <c:x val="4.8068185307369296E-2"/>
                  <c:y val="1.917744073910476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2473341476488"/>
                      <c:h val="5.63582710971020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B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NPV'!$K$18:$AA$18</c:f>
              <c:numCache>
                <c:formatCode>#,##0</c:formatCode>
                <c:ptCount val="5"/>
                <c:pt idx="0">
                  <c:v>-169.0491957152388</c:v>
                </c:pt>
                <c:pt idx="1">
                  <c:v>-243.14840473906827</c:v>
                </c:pt>
                <c:pt idx="2">
                  <c:v>-317.24761376289774</c:v>
                </c:pt>
                <c:pt idx="3">
                  <c:v>-391.3468227867271</c:v>
                </c:pt>
                <c:pt idx="4">
                  <c:v>-465.44603181055663</c:v>
                </c:pt>
              </c:numCache>
            </c:numRef>
          </c:xVal>
          <c:yVal>
            <c:numRef>
              <c:f>'CO2e v NPV'!$B$18:$F$18</c:f>
              <c:numCache>
                <c:formatCode>0.0</c:formatCode>
                <c:ptCount val="5"/>
                <c:pt idx="0">
                  <c:v>5.2749486593220869</c:v>
                </c:pt>
                <c:pt idx="1">
                  <c:v>5.2749486593220869</c:v>
                </c:pt>
                <c:pt idx="2">
                  <c:v>5.2749486593220869</c:v>
                </c:pt>
                <c:pt idx="3">
                  <c:v>5.2749486593220869</c:v>
                </c:pt>
                <c:pt idx="4">
                  <c:v>5.2749486593220869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0-46A0-2D42-BEC0-F4484ECB3A30}"/>
            </c:ext>
          </c:extLst>
        </c:ser>
        <c:ser>
          <c:idx val="14"/>
          <c:order val="14"/>
          <c:tx>
            <c:strRef>
              <c:f>'CO2e v NPV'!$A$19</c:f>
              <c:strCache>
                <c:ptCount val="1"/>
                <c:pt idx="0">
                  <c:v>TH-AD-CHP-LF*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2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3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34-46A0-2D42-BEC0-F4484ECB3A30}"/>
              </c:ext>
            </c:extLst>
          </c:dPt>
          <c:dLbls>
            <c:dLbl>
              <c:idx val="0"/>
              <c:layout>
                <c:manualLayout>
                  <c:x val="5.3234631591548648E-2"/>
                  <c:y val="8.729101051256706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6A0-2D42-BEC0-F4484ECB3A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NPV'!$K$19:$AA$19</c:f>
              <c:numCache>
                <c:formatCode>#,##0</c:formatCode>
                <c:ptCount val="5"/>
                <c:pt idx="0">
                  <c:v>-151.21042950010062</c:v>
                </c:pt>
                <c:pt idx="1">
                  <c:v>-179.4262705628941</c:v>
                </c:pt>
                <c:pt idx="2">
                  <c:v>-207.64211162568753</c:v>
                </c:pt>
                <c:pt idx="3">
                  <c:v>-235.85795268848099</c:v>
                </c:pt>
                <c:pt idx="4">
                  <c:v>-264.07379375127448</c:v>
                </c:pt>
              </c:numCache>
            </c:numRef>
          </c:xVal>
          <c:yVal>
            <c:numRef>
              <c:f>'CO2e v NPV'!$B$19:$F$19</c:f>
              <c:numCache>
                <c:formatCode>0.0</c:formatCode>
                <c:ptCount val="5"/>
                <c:pt idx="0">
                  <c:v>2.0086194568954601</c:v>
                </c:pt>
                <c:pt idx="1">
                  <c:v>2.0086194568954601</c:v>
                </c:pt>
                <c:pt idx="2">
                  <c:v>2.0086194568954601</c:v>
                </c:pt>
                <c:pt idx="3">
                  <c:v>2.0086194568954601</c:v>
                </c:pt>
                <c:pt idx="4">
                  <c:v>2.0086194568954601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6A0-2D42-BEC0-F4484ECB3A30}"/>
            </c:ext>
          </c:extLst>
        </c:ser>
        <c:ser>
          <c:idx val="15"/>
          <c:order val="15"/>
          <c:tx>
            <c:strRef>
              <c:f>'CO2e v NPV'!$A$20</c:f>
              <c:strCache>
                <c:ptCount val="1"/>
                <c:pt idx="0">
                  <c:v>TH-AD-CHP-LF_LFG*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8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39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A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3B-46A0-2D42-BEC0-F4484ECB3A30}"/>
              </c:ext>
            </c:extLst>
          </c:dPt>
          <c:dLbls>
            <c:dLbl>
              <c:idx val="0"/>
              <c:layout>
                <c:manualLayout>
                  <c:x val="-0.27763983921931762"/>
                  <c:y val="1.28311285015042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2528162199295859"/>
                      <c:h val="2.23040298316506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7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3347754719836494"/>
                      <c:h val="1.79536949671935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B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NPV'!$K$20:$AA$20</c:f>
              <c:numCache>
                <c:formatCode>#,##0</c:formatCode>
                <c:ptCount val="5"/>
                <c:pt idx="0">
                  <c:v>-151.21042950010062</c:v>
                </c:pt>
                <c:pt idx="1">
                  <c:v>-153.59879671905233</c:v>
                </c:pt>
                <c:pt idx="2">
                  <c:v>-155.98716393800407</c:v>
                </c:pt>
                <c:pt idx="3">
                  <c:v>-158.37553115695579</c:v>
                </c:pt>
                <c:pt idx="4">
                  <c:v>-160.7638983759075</c:v>
                </c:pt>
              </c:numCache>
            </c:numRef>
          </c:xVal>
          <c:yVal>
            <c:numRef>
              <c:f>'CO2e v NPV'!$B$20:$F$20</c:f>
              <c:numCache>
                <c:formatCode>0.0</c:formatCode>
                <c:ptCount val="5"/>
                <c:pt idx="0">
                  <c:v>0.17002225294370782</c:v>
                </c:pt>
                <c:pt idx="1">
                  <c:v>0.17002225294370782</c:v>
                </c:pt>
                <c:pt idx="2">
                  <c:v>0.17002225294370782</c:v>
                </c:pt>
                <c:pt idx="3">
                  <c:v>0.17002225294370782</c:v>
                </c:pt>
                <c:pt idx="4">
                  <c:v>0.17002225294370782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46A0-2D42-BEC0-F4484ECB3A30}"/>
            </c:ext>
          </c:extLst>
        </c:ser>
        <c:ser>
          <c:idx val="16"/>
          <c:order val="16"/>
          <c:tx>
            <c:strRef>
              <c:f>'CO2e v NPV'!$A$21</c:f>
              <c:strCache>
                <c:ptCount val="1"/>
                <c:pt idx="0">
                  <c:v>TH-AD-CHP-LA*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FF0000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E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3F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40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41-46A0-2D42-BEC0-F4484ECB3A30}"/>
              </c:ext>
            </c:extLst>
          </c:dPt>
          <c:dLbls>
            <c:dLbl>
              <c:idx val="0"/>
              <c:layout>
                <c:manualLayout>
                  <c:x val="-0.22333881739804626"/>
                  <c:y val="-1.502340937456121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NPV'!$K$21:$AA$21</c:f>
              <c:numCache>
                <c:formatCode>#,##0</c:formatCode>
                <c:ptCount val="5"/>
                <c:pt idx="0">
                  <c:v>-151.21042950010062</c:v>
                </c:pt>
                <c:pt idx="1">
                  <c:v>-153.88898990136593</c:v>
                </c:pt>
                <c:pt idx="2">
                  <c:v>-156.56755030263125</c:v>
                </c:pt>
                <c:pt idx="3">
                  <c:v>-159.24611070389659</c:v>
                </c:pt>
                <c:pt idx="4">
                  <c:v>-161.92467110516191</c:v>
                </c:pt>
              </c:numCache>
            </c:numRef>
          </c:xVal>
          <c:yVal>
            <c:numRef>
              <c:f>'CO2e v NPV'!$B$21:$F$21</c:f>
              <c:numCache>
                <c:formatCode>0.0</c:formatCode>
                <c:ptCount val="5"/>
                <c:pt idx="0">
                  <c:v>0.19068042403831753</c:v>
                </c:pt>
                <c:pt idx="1">
                  <c:v>0.19068042403831753</c:v>
                </c:pt>
                <c:pt idx="2">
                  <c:v>0.19068042403831753</c:v>
                </c:pt>
                <c:pt idx="3">
                  <c:v>0.19068042403831753</c:v>
                </c:pt>
                <c:pt idx="4">
                  <c:v>0.19068042403831753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2-46A0-2D42-BEC0-F4484ECB3A30}"/>
            </c:ext>
          </c:extLst>
        </c:ser>
        <c:ser>
          <c:idx val="17"/>
          <c:order val="17"/>
          <c:tx>
            <c:strRef>
              <c:f>'[1]CO2e v NPV'!$A$22</c:f>
              <c:strCache>
                <c:ptCount val="1"/>
                <c:pt idx="0">
                  <c:v>TH-AD-CHP-TD-INC-LF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NPV'!$K$22:$W$22</c:f>
              <c:numCache>
                <c:formatCode>General</c:formatCode>
                <c:ptCount val="13"/>
                <c:pt idx="0">
                  <c:v>-169.86305149380422</c:v>
                </c:pt>
                <c:pt idx="1">
                  <c:v>-256.82123051832241</c:v>
                </c:pt>
                <c:pt idx="2">
                  <c:v>-533.7164619841883</c:v>
                </c:pt>
                <c:pt idx="3">
                  <c:v>-17612643.245478213</c:v>
                </c:pt>
                <c:pt idx="4">
                  <c:v>-242.01636054375405</c:v>
                </c:pt>
                <c:pt idx="5">
                  <c:v>-513.64246103664482</c:v>
                </c:pt>
                <c:pt idx="6">
                  <c:v>-790.53769250251071</c:v>
                </c:pt>
                <c:pt idx="7">
                  <c:v>-26087743.852582853</c:v>
                </c:pt>
                <c:pt idx="8">
                  <c:v>-314.16966959370387</c:v>
                </c:pt>
                <c:pt idx="9">
                  <c:v>-770.46369155496723</c:v>
                </c:pt>
                <c:pt idx="10">
                  <c:v>-1047.3589230208331</c:v>
                </c:pt>
                <c:pt idx="11">
                  <c:v>-34562844.459687494</c:v>
                </c:pt>
                <c:pt idx="12">
                  <c:v>-386.32297864365376</c:v>
                </c:pt>
              </c:numCache>
            </c:numRef>
          </c:xVal>
          <c:yVal>
            <c:numRef>
              <c:f>'[1]CO2e v NPV'!$B$22:$F$22</c:f>
              <c:numCache>
                <c:formatCode>General</c:formatCode>
                <c:ptCount val="5"/>
                <c:pt idx="0">
                  <c:v>5.1364246103664479</c:v>
                </c:pt>
                <c:pt idx="1">
                  <c:v>5.1364246103664479</c:v>
                </c:pt>
                <c:pt idx="2">
                  <c:v>5.1364246103664479</c:v>
                </c:pt>
                <c:pt idx="3">
                  <c:v>5.1364246103664479</c:v>
                </c:pt>
                <c:pt idx="4">
                  <c:v>5.1364246103664479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46A0-2D42-BEC0-F4484ECB3A30}"/>
            </c:ext>
          </c:extLst>
        </c:ser>
        <c:ser>
          <c:idx val="18"/>
          <c:order val="18"/>
          <c:tx>
            <c:strRef>
              <c:f>'[1]CO2e v NPV'!$A$23</c:f>
              <c:strCache>
                <c:ptCount val="1"/>
                <c:pt idx="0">
                  <c:v>HTL-CAS_BC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'[1]CO2e v NPV'!$K$23:$AA$23</c:f>
              <c:numCache>
                <c:formatCode>General</c:formatCode>
                <c:ptCount val="17"/>
                <c:pt idx="0">
                  <c:v>-31.759815543978014</c:v>
                </c:pt>
                <c:pt idx="1">
                  <c:v>32.492022573140417</c:v>
                </c:pt>
                <c:pt idx="2">
                  <c:v>-10.644406808228752</c:v>
                </c:pt>
                <c:pt idx="3">
                  <c:v>-351265.42467154883</c:v>
                </c:pt>
                <c:pt idx="4">
                  <c:v>-22.63125969348928</c:v>
                </c:pt>
                <c:pt idx="5">
                  <c:v>64.984045146280835</c:v>
                </c:pt>
                <c:pt idx="6">
                  <c:v>21.847615764911666</c:v>
                </c:pt>
                <c:pt idx="7">
                  <c:v>720971.32024208503</c:v>
                </c:pt>
                <c:pt idx="8">
                  <c:v>-13.502703843000548</c:v>
                </c:pt>
                <c:pt idx="9">
                  <c:v>97.476067719421252</c:v>
                </c:pt>
                <c:pt idx="10">
                  <c:v>54.339638338052083</c:v>
                </c:pt>
                <c:pt idx="11">
                  <c:v>1793208.0651557187</c:v>
                </c:pt>
                <c:pt idx="12">
                  <c:v>-4.3741479925118183</c:v>
                </c:pt>
                <c:pt idx="13">
                  <c:v>129.96809029256167</c:v>
                </c:pt>
                <c:pt idx="14">
                  <c:v>86.8316609111925</c:v>
                </c:pt>
                <c:pt idx="15">
                  <c:v>2865444.8100693524</c:v>
                </c:pt>
                <c:pt idx="16">
                  <c:v>4.7544078579769131</c:v>
                </c:pt>
              </c:numCache>
            </c:numRef>
          </c:xVal>
          <c:yVal>
            <c:numRef>
              <c:f>'[1]CO2e v NPV'!$B$23:$F$23</c:f>
              <c:numCache>
                <c:formatCode>General</c:formatCode>
                <c:ptCount val="5"/>
                <c:pt idx="0">
                  <c:v>-0.64984045146280833</c:v>
                </c:pt>
                <c:pt idx="1">
                  <c:v>-0.64984045146280833</c:v>
                </c:pt>
                <c:pt idx="2">
                  <c:v>-0.64984045146280833</c:v>
                </c:pt>
                <c:pt idx="3">
                  <c:v>-0.64984045146280833</c:v>
                </c:pt>
                <c:pt idx="4">
                  <c:v>-0.64984045146280833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4-46A0-2D42-BEC0-F4484ECB3A30}"/>
            </c:ext>
          </c:extLst>
        </c:ser>
        <c:ser>
          <c:idx val="19"/>
          <c:order val="19"/>
          <c:tx>
            <c:strRef>
              <c:f>'CO2e v NPV'!$A$24</c:f>
              <c:strCache>
                <c:ptCount val="1"/>
                <c:pt idx="0">
                  <c:v>HTL-CAS_FP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5"/>
            <c:spPr>
              <a:solidFill>
                <a:schemeClr val="tx1"/>
              </a:solidFill>
            </c:spPr>
          </c:marker>
          <c:dPt>
            <c:idx val="0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6A0-2D42-BEC0-F4484ECB3A30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46-46A0-2D42-BEC0-F4484ECB3A30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47-46A0-2D42-BEC0-F4484ECB3A30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48-46A0-2D42-BEC0-F4484ECB3A30}"/>
              </c:ext>
            </c:extLst>
          </c:dPt>
          <c:dLbls>
            <c:dLbl>
              <c:idx val="0"/>
              <c:layout>
                <c:manualLayout>
                  <c:x val="-0.19864491242305521"/>
                  <c:y val="1.1908058232929309E-2"/>
                </c:manualLayout>
              </c:layout>
              <c:tx>
                <c:rich>
                  <a:bodyPr/>
                  <a:lstStyle/>
                  <a:p>
                    <a:fld id="{23F2DE19-44A5-EB4F-A075-4E614C3A50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46A0-2D42-BEC0-F4484ECB3A3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46A0-2D42-BEC0-F4484ECB3A3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46A0-2D42-BEC0-F4484ECB3A3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DataLabelsRange val="1"/>
                <c15:showLeaderLines val="1"/>
              </c:ext>
            </c:extLst>
          </c:dLbls>
          <c:xVal>
            <c:numRef>
              <c:f>'CO2e v NPV'!$K$24:$W$24</c:f>
              <c:numCache>
                <c:formatCode>#,##0</c:formatCode>
                <c:ptCount val="4"/>
                <c:pt idx="0">
                  <c:v>-5.8621037178733681</c:v>
                </c:pt>
                <c:pt idx="1">
                  <c:v>7.3789499666934271</c:v>
                </c:pt>
                <c:pt idx="2">
                  <c:v>20.62000365126023</c:v>
                </c:pt>
                <c:pt idx="3">
                  <c:v>33.861057335827034</c:v>
                </c:pt>
              </c:numCache>
            </c:numRef>
          </c:xVal>
          <c:yVal>
            <c:numRef>
              <c:f>'CO2e v NPV'!$B$24:$F$24</c:f>
              <c:numCache>
                <c:formatCode>0.0</c:formatCode>
                <c:ptCount val="5"/>
                <c:pt idx="0">
                  <c:v>-0.94259951356506133</c:v>
                </c:pt>
                <c:pt idx="1">
                  <c:v>-0.94259951356506133</c:v>
                </c:pt>
                <c:pt idx="2">
                  <c:v>-0.94259951356506133</c:v>
                </c:pt>
                <c:pt idx="3">
                  <c:v>-0.94259951356506133</c:v>
                </c:pt>
                <c:pt idx="4">
                  <c:v>-0.94259951356506133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'CO2e v NPV'!$A$24</c15:f>
                <c15:dlblRangeCache>
                  <c:ptCount val="1"/>
                  <c:pt idx="0">
                    <c:v>HTL-CAS_FP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9-46A0-2D42-BEC0-F4484ECB3A30}"/>
            </c:ext>
          </c:extLst>
        </c:ser>
        <c:ser>
          <c:idx val="20"/>
          <c:order val="20"/>
          <c:tx>
            <c:strRef>
              <c:f>'[1]CO2e v NPV'!$A$25</c:f>
              <c:strCache>
                <c:ptCount val="1"/>
                <c:pt idx="0">
                  <c:v>HTL-NH3-CAS_BC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NPV'!$K$25:$W$25</c:f>
              <c:numCache>
                <c:formatCode>General</c:formatCode>
                <c:ptCount val="13"/>
                <c:pt idx="0">
                  <c:v>-36.345985536925262</c:v>
                </c:pt>
                <c:pt idx="1">
                  <c:v>29.366464580518613</c:v>
                </c:pt>
                <c:pt idx="2">
                  <c:v>-13.68485679915015</c:v>
                </c:pt>
                <c:pt idx="3">
                  <c:v>-451600.27437195496</c:v>
                </c:pt>
                <c:pt idx="4">
                  <c:v>-28.095547711726084</c:v>
                </c:pt>
                <c:pt idx="5">
                  <c:v>58.732929161037227</c:v>
                </c:pt>
                <c:pt idx="6">
                  <c:v>15.681607781368463</c:v>
                </c:pt>
                <c:pt idx="7">
                  <c:v>517493.05678515928</c:v>
                </c:pt>
                <c:pt idx="8">
                  <c:v>-19.845109886526906</c:v>
                </c:pt>
                <c:pt idx="9">
                  <c:v>88.099393741555843</c:v>
                </c:pt>
                <c:pt idx="10">
                  <c:v>45.04807236188708</c:v>
                </c:pt>
                <c:pt idx="11">
                  <c:v>1486586.3879422736</c:v>
                </c:pt>
                <c:pt idx="12">
                  <c:v>-11.594672061327724</c:v>
                </c:pt>
              </c:numCache>
            </c:numRef>
          </c:xVal>
          <c:yVal>
            <c:numRef>
              <c:f>'[1]CO2e v NPV'!$B$25:$F$25</c:f>
              <c:numCache>
                <c:formatCode>General</c:formatCode>
                <c:ptCount val="5"/>
                <c:pt idx="0">
                  <c:v>-0.58732929161037228</c:v>
                </c:pt>
                <c:pt idx="1">
                  <c:v>-0.58732929161037228</c:v>
                </c:pt>
                <c:pt idx="2">
                  <c:v>-0.58732929161037228</c:v>
                </c:pt>
                <c:pt idx="3">
                  <c:v>-0.58732929161037228</c:v>
                </c:pt>
                <c:pt idx="4">
                  <c:v>-0.58732929161037228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46A0-2D42-BEC0-F4484ECB3A30}"/>
            </c:ext>
          </c:extLst>
        </c:ser>
        <c:ser>
          <c:idx val="21"/>
          <c:order val="21"/>
          <c:tx>
            <c:strRef>
              <c:f>'[1]CO2e v NPV'!$A$26</c:f>
              <c:strCache>
                <c:ptCount val="1"/>
                <c:pt idx="0">
                  <c:v>HTL-NH3-CAS_FP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NPV'!$K$26:$W$26</c:f>
              <c:numCache>
                <c:formatCode>General</c:formatCode>
                <c:ptCount val="13"/>
                <c:pt idx="0">
                  <c:v>-37.080069363885379</c:v>
                </c:pt>
                <c:pt idx="1">
                  <c:v>40.564205273921857</c:v>
                </c:pt>
                <c:pt idx="2">
                  <c:v>20.69945152925257</c:v>
                </c:pt>
                <c:pt idx="3">
                  <c:v>683081.90046533488</c:v>
                </c:pt>
                <c:pt idx="4">
                  <c:v>-25.683653134635676</c:v>
                </c:pt>
                <c:pt idx="5">
                  <c:v>81.128410547843714</c:v>
                </c:pt>
                <c:pt idx="6">
                  <c:v>61.263656803174428</c:v>
                </c:pt>
                <c:pt idx="7">
                  <c:v>2021700.674504756</c:v>
                </c:pt>
                <c:pt idx="8">
                  <c:v>-14.287236905385971</c:v>
                </c:pt>
                <c:pt idx="9">
                  <c:v>121.69261582176559</c:v>
                </c:pt>
                <c:pt idx="10">
                  <c:v>101.8278620770963</c:v>
                </c:pt>
                <c:pt idx="11">
                  <c:v>3360319.4485441777</c:v>
                </c:pt>
                <c:pt idx="12">
                  <c:v>-2.8908206761362627</c:v>
                </c:pt>
              </c:numCache>
            </c:numRef>
          </c:xVal>
          <c:yVal>
            <c:numRef>
              <c:f>'[1]CO2e v NPV'!$B$26:$F$26</c:f>
              <c:numCache>
                <c:formatCode>General</c:formatCode>
                <c:ptCount val="5"/>
                <c:pt idx="0">
                  <c:v>-0.81128410547843721</c:v>
                </c:pt>
                <c:pt idx="1">
                  <c:v>-0.81128410547843721</c:v>
                </c:pt>
                <c:pt idx="2">
                  <c:v>-0.81128410547843721</c:v>
                </c:pt>
                <c:pt idx="3">
                  <c:v>-0.81128410547843721</c:v>
                </c:pt>
                <c:pt idx="4">
                  <c:v>-0.81128410547843721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B-46A0-2D42-BEC0-F4484ECB3A30}"/>
            </c:ext>
          </c:extLst>
        </c:ser>
        <c:ser>
          <c:idx val="22"/>
          <c:order val="22"/>
          <c:tx>
            <c:strRef>
              <c:f>'[1]CO2e v NPV'!$A$27</c:f>
              <c:strCache>
                <c:ptCount val="1"/>
                <c:pt idx="0">
                  <c:v>SupCrit HTL-CAS_BHO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NPV'!$K$27:$W$27</c:f>
              <c:numCache>
                <c:formatCode>General</c:formatCode>
                <c:ptCount val="13"/>
                <c:pt idx="0">
                  <c:v>-99.794325972605733</c:v>
                </c:pt>
                <c:pt idx="1">
                  <c:v>23.415221103638459</c:v>
                </c:pt>
                <c:pt idx="2">
                  <c:v>-172.30828902411579</c:v>
                </c:pt>
                <c:pt idx="3">
                  <c:v>-5686173.5377958212</c:v>
                </c:pt>
                <c:pt idx="4">
                  <c:v>-93.215875735629709</c:v>
                </c:pt>
                <c:pt idx="5">
                  <c:v>46.830442207276917</c:v>
                </c:pt>
                <c:pt idx="6">
                  <c:v>-148.89306792047734</c:v>
                </c:pt>
                <c:pt idx="7">
                  <c:v>-4913471.2413757518</c:v>
                </c:pt>
                <c:pt idx="8">
                  <c:v>-86.637425498653684</c:v>
                </c:pt>
                <c:pt idx="9">
                  <c:v>70.245663310915376</c:v>
                </c:pt>
                <c:pt idx="10">
                  <c:v>-125.47784681683888</c:v>
                </c:pt>
                <c:pt idx="11">
                  <c:v>-4140768.9449556828</c:v>
                </c:pt>
                <c:pt idx="12">
                  <c:v>-80.058975261677659</c:v>
                </c:pt>
              </c:numCache>
            </c:numRef>
          </c:xVal>
          <c:yVal>
            <c:numRef>
              <c:f>'[1]CO2e v NPV'!$B$27:$F$27</c:f>
              <c:numCache>
                <c:formatCode>General</c:formatCode>
                <c:ptCount val="5"/>
                <c:pt idx="0">
                  <c:v>-0.46830442207276918</c:v>
                </c:pt>
                <c:pt idx="1">
                  <c:v>-0.46830442207276918</c:v>
                </c:pt>
                <c:pt idx="2">
                  <c:v>-0.46830442207276918</c:v>
                </c:pt>
                <c:pt idx="3">
                  <c:v>-0.46830442207276918</c:v>
                </c:pt>
                <c:pt idx="4">
                  <c:v>-0.46830442207276918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C-46A0-2D42-BEC0-F4484ECB3A30}"/>
            </c:ext>
          </c:extLst>
        </c:ser>
        <c:ser>
          <c:idx val="23"/>
          <c:order val="23"/>
          <c:tx>
            <c:strRef>
              <c:f>'[1]CO2e v NPV'!$A$28</c:f>
              <c:strCache>
                <c:ptCount val="1"/>
                <c:pt idx="0">
                  <c:v>SubCrit HTL-CAS_BHO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NPV'!$K$28:$W$28</c:f>
              <c:numCache>
                <c:formatCode>General</c:formatCode>
                <c:ptCount val="13"/>
                <c:pt idx="0">
                  <c:v>-93.462116487661802</c:v>
                </c:pt>
                <c:pt idx="1">
                  <c:v>26.159369016405819</c:v>
                </c:pt>
                <c:pt idx="2">
                  <c:v>-156.72491611134848</c:v>
                </c:pt>
                <c:pt idx="3">
                  <c:v>-5171922.2316744998</c:v>
                </c:pt>
                <c:pt idx="4">
                  <c:v>-86.112704472996768</c:v>
                </c:pt>
                <c:pt idx="5">
                  <c:v>52.318738032811638</c:v>
                </c:pt>
                <c:pt idx="6">
                  <c:v>-130.56554709494267</c:v>
                </c:pt>
                <c:pt idx="7">
                  <c:v>-4308663.0541331079</c:v>
                </c:pt>
                <c:pt idx="8">
                  <c:v>-78.763292458331762</c:v>
                </c:pt>
                <c:pt idx="9">
                  <c:v>78.478107049217456</c:v>
                </c:pt>
                <c:pt idx="10">
                  <c:v>-104.40617807853685</c:v>
                </c:pt>
                <c:pt idx="11">
                  <c:v>-3445403.876591716</c:v>
                </c:pt>
                <c:pt idx="12">
                  <c:v>-71.413880443666756</c:v>
                </c:pt>
              </c:numCache>
            </c:numRef>
          </c:xVal>
          <c:yVal>
            <c:numRef>
              <c:f>'[1]CO2e v NPV'!$B$28:$F$28</c:f>
              <c:numCache>
                <c:formatCode>General</c:formatCode>
                <c:ptCount val="5"/>
                <c:pt idx="0">
                  <c:v>-0.5231873803281164</c:v>
                </c:pt>
                <c:pt idx="1">
                  <c:v>-0.5231873803281164</c:v>
                </c:pt>
                <c:pt idx="2">
                  <c:v>-0.5231873803281164</c:v>
                </c:pt>
                <c:pt idx="3">
                  <c:v>-0.5231873803281164</c:v>
                </c:pt>
                <c:pt idx="4">
                  <c:v>-0.5231873803281164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D-46A0-2D42-BEC0-F4484ECB3A30}"/>
            </c:ext>
          </c:extLst>
        </c:ser>
        <c:ser>
          <c:idx val="24"/>
          <c:order val="24"/>
          <c:tx>
            <c:strRef>
              <c:f>'CO2e v NPV'!$A$29</c:f>
              <c:strCache>
                <c:ptCount val="1"/>
                <c:pt idx="0">
                  <c:v>HTL-AD-CHP_BC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4F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50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51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52-46A0-2D42-BEC0-F4484ECB3A30}"/>
              </c:ext>
            </c:extLst>
          </c:dPt>
          <c:dLbls>
            <c:dLbl>
              <c:idx val="0"/>
              <c:layout>
                <c:manualLayout>
                  <c:x val="-0.2212911587276824"/>
                  <c:y val="1.290519474734863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NPV'!$K$29:$AA$29</c:f>
              <c:numCache>
                <c:formatCode>#,##0</c:formatCode>
                <c:ptCount val="5"/>
                <c:pt idx="0">
                  <c:v>-118.12703822488764</c:v>
                </c:pt>
                <c:pt idx="1">
                  <c:v>-98.4903616141914</c:v>
                </c:pt>
                <c:pt idx="2">
                  <c:v>-78.853685003495144</c:v>
                </c:pt>
                <c:pt idx="3">
                  <c:v>-59.217008392798903</c:v>
                </c:pt>
                <c:pt idx="4">
                  <c:v>-39.580331782102647</c:v>
                </c:pt>
              </c:numCache>
            </c:numRef>
          </c:xVal>
          <c:yVal>
            <c:numRef>
              <c:f>'CO2e v NPV'!$B$29:$F$29</c:f>
              <c:numCache>
                <c:formatCode>0.0</c:formatCode>
                <c:ptCount val="5"/>
                <c:pt idx="0">
                  <c:v>-1.3978888887710346</c:v>
                </c:pt>
                <c:pt idx="1">
                  <c:v>-1.3978888887710346</c:v>
                </c:pt>
                <c:pt idx="2">
                  <c:v>-1.3978888887710346</c:v>
                </c:pt>
                <c:pt idx="3">
                  <c:v>-1.3978888887710346</c:v>
                </c:pt>
                <c:pt idx="4">
                  <c:v>-1.3978888887710346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3-46A0-2D42-BEC0-F4484ECB3A30}"/>
            </c:ext>
          </c:extLst>
        </c:ser>
        <c:ser>
          <c:idx val="25"/>
          <c:order val="25"/>
          <c:tx>
            <c:strRef>
              <c:f>'[1]CO2e v NPV'!$A$30</c:f>
              <c:strCache>
                <c:ptCount val="1"/>
                <c:pt idx="0">
                  <c:v>HTL-AD-Boiler_BC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NPV'!$K$30:$W$30</c:f>
              <c:numCache>
                <c:formatCode>General</c:formatCode>
                <c:ptCount val="13"/>
                <c:pt idx="0">
                  <c:v>-114.16309828185857</c:v>
                </c:pt>
                <c:pt idx="1">
                  <c:v>74.617100556820176</c:v>
                </c:pt>
                <c:pt idx="2">
                  <c:v>-25.13043127479817</c:v>
                </c:pt>
                <c:pt idx="3">
                  <c:v>-829304.2320683396</c:v>
                </c:pt>
                <c:pt idx="4">
                  <c:v>-93.199602756112569</c:v>
                </c:pt>
                <c:pt idx="5">
                  <c:v>149.23420111364035</c:v>
                </c:pt>
                <c:pt idx="6">
                  <c:v>49.486669282022007</c:v>
                </c:pt>
                <c:pt idx="7">
                  <c:v>1633060.0863067263</c:v>
                </c:pt>
                <c:pt idx="8">
                  <c:v>-72.236107230366585</c:v>
                </c:pt>
                <c:pt idx="9">
                  <c:v>223.85130167046054</c:v>
                </c:pt>
                <c:pt idx="10">
                  <c:v>124.1037698388422</c:v>
                </c:pt>
                <c:pt idx="11">
                  <c:v>4095424.4046817925</c:v>
                </c:pt>
                <c:pt idx="12">
                  <c:v>-51.272611704620601</c:v>
                </c:pt>
              </c:numCache>
            </c:numRef>
          </c:xVal>
          <c:yVal>
            <c:numRef>
              <c:f>'[1]CO2e v NPV'!$B$30:$F$30</c:f>
              <c:numCache>
                <c:formatCode>General</c:formatCode>
                <c:ptCount val="5"/>
                <c:pt idx="0">
                  <c:v>-1.4923420111364036</c:v>
                </c:pt>
                <c:pt idx="1">
                  <c:v>-1.4923420111364036</c:v>
                </c:pt>
                <c:pt idx="2">
                  <c:v>-1.4923420111364036</c:v>
                </c:pt>
                <c:pt idx="3">
                  <c:v>-1.4923420111364036</c:v>
                </c:pt>
                <c:pt idx="4">
                  <c:v>-1.4923420111364036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4-46A0-2D42-BEC0-F4484ECB3A30}"/>
            </c:ext>
          </c:extLst>
        </c:ser>
        <c:ser>
          <c:idx val="26"/>
          <c:order val="26"/>
          <c:tx>
            <c:strRef>
              <c:f>'CO2e v NPV'!$A$31</c:f>
              <c:strCache>
                <c:ptCount val="1"/>
                <c:pt idx="0">
                  <c:v>HTL-CHG-CHP_BC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56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57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58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59-46A0-2D42-BEC0-F4484ECB3A30}"/>
              </c:ext>
            </c:extLst>
          </c:dPt>
          <c:dLbls>
            <c:dLbl>
              <c:idx val="0"/>
              <c:layout>
                <c:manualLayout>
                  <c:x val="-0.26636752485439857"/>
                  <c:y val="8.7214820186548164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NPV'!$K$31:$AA$31</c:f>
              <c:numCache>
                <c:formatCode>#,##0</c:formatCode>
                <c:ptCount val="5"/>
                <c:pt idx="0">
                  <c:v>-282.75138090881433</c:v>
                </c:pt>
                <c:pt idx="1">
                  <c:v>-263.9932605864883</c:v>
                </c:pt>
                <c:pt idx="2">
                  <c:v>-245.23514026416228</c:v>
                </c:pt>
                <c:pt idx="3">
                  <c:v>-226.47701994183626</c:v>
                </c:pt>
                <c:pt idx="4">
                  <c:v>-207.71889961951024</c:v>
                </c:pt>
              </c:numCache>
            </c:numRef>
          </c:xVal>
          <c:yVal>
            <c:numRef>
              <c:f>'CO2e v NPV'!$B$31:$F$31</c:f>
              <c:numCache>
                <c:formatCode>0.0</c:formatCode>
                <c:ptCount val="5"/>
                <c:pt idx="0">
                  <c:v>-1.3353465299992</c:v>
                </c:pt>
                <c:pt idx="1">
                  <c:v>-1.3353465299992</c:v>
                </c:pt>
                <c:pt idx="2">
                  <c:v>-1.3353465299992</c:v>
                </c:pt>
                <c:pt idx="3">
                  <c:v>-1.3353465299992</c:v>
                </c:pt>
                <c:pt idx="4">
                  <c:v>-1.3353465299992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A-46A0-2D42-BEC0-F4484ECB3A30}"/>
            </c:ext>
          </c:extLst>
        </c:ser>
        <c:ser>
          <c:idx val="27"/>
          <c:order val="27"/>
          <c:tx>
            <c:strRef>
              <c:f>'[1]CO2e v NPV'!$A$32</c:f>
              <c:strCache>
                <c:ptCount val="1"/>
                <c:pt idx="0">
                  <c:v>HTL-CHG-Boiler_BC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NPV'!$K$32:$W$32</c:f>
              <c:numCache>
                <c:formatCode>General</c:formatCode>
                <c:ptCount val="13"/>
                <c:pt idx="0">
                  <c:v>-275.67807350759148</c:v>
                </c:pt>
                <c:pt idx="1">
                  <c:v>75.592958932735229</c:v>
                </c:pt>
                <c:pt idx="2">
                  <c:v>-346.1104953367319</c:v>
                </c:pt>
                <c:pt idx="3">
                  <c:v>-11421646.346112153</c:v>
                </c:pt>
                <c:pt idx="4">
                  <c:v>-254.44041291050672</c:v>
                </c:pt>
                <c:pt idx="5">
                  <c:v>151.18591786547046</c:v>
                </c:pt>
                <c:pt idx="6">
                  <c:v>-270.51753640399664</c:v>
                </c:pt>
                <c:pt idx="7">
                  <c:v>-8927078.7013318893</c:v>
                </c:pt>
                <c:pt idx="8">
                  <c:v>-233.20275231342191</c:v>
                </c:pt>
                <c:pt idx="9">
                  <c:v>226.77887679820569</c:v>
                </c:pt>
                <c:pt idx="10">
                  <c:v>-194.92457747126141</c:v>
                </c:pt>
                <c:pt idx="11">
                  <c:v>-6432511.0565516269</c:v>
                </c:pt>
                <c:pt idx="12">
                  <c:v>-211.96509171633707</c:v>
                </c:pt>
              </c:numCache>
            </c:numRef>
          </c:xVal>
          <c:yVal>
            <c:numRef>
              <c:f>'[1]CO2e v NPV'!$B$32:$F$32</c:f>
              <c:numCache>
                <c:formatCode>General</c:formatCode>
                <c:ptCount val="5"/>
                <c:pt idx="0">
                  <c:v>-1.5118591786547046</c:v>
                </c:pt>
                <c:pt idx="1">
                  <c:v>-1.5118591786547046</c:v>
                </c:pt>
                <c:pt idx="2">
                  <c:v>-1.5118591786547046</c:v>
                </c:pt>
                <c:pt idx="3">
                  <c:v>-1.5118591786547046</c:v>
                </c:pt>
                <c:pt idx="4">
                  <c:v>-1.5118591786547046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B-46A0-2D42-BEC0-F4484ECB3A30}"/>
            </c:ext>
          </c:extLst>
        </c:ser>
        <c:ser>
          <c:idx val="28"/>
          <c:order val="28"/>
          <c:tx>
            <c:strRef>
              <c:f>'CO2e v NPV'!$A$33</c:f>
              <c:strCache>
                <c:ptCount val="1"/>
                <c:pt idx="0">
                  <c:v>TD-AirGs-CHP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5D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5E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5F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60-46A0-2D42-BEC0-F4484ECB3A30}"/>
              </c:ext>
            </c:extLst>
          </c:dPt>
          <c:dLbls>
            <c:dLbl>
              <c:idx val="0"/>
              <c:layout>
                <c:manualLayout>
                  <c:x val="-0.19055627557105986"/>
                  <c:y val="1.505606053857332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NPV'!$K$33:$AA$33</c:f>
              <c:numCache>
                <c:formatCode>#,##0</c:formatCode>
                <c:ptCount val="5"/>
                <c:pt idx="0">
                  <c:v>-82.228702296093047</c:v>
                </c:pt>
                <c:pt idx="1">
                  <c:v>-78.777759114091936</c:v>
                </c:pt>
                <c:pt idx="2">
                  <c:v>-75.326815932090824</c:v>
                </c:pt>
                <c:pt idx="3">
                  <c:v>-71.875872750089727</c:v>
                </c:pt>
                <c:pt idx="4">
                  <c:v>-68.424929568088601</c:v>
                </c:pt>
              </c:numCache>
            </c:numRef>
          </c:xVal>
          <c:yVal>
            <c:numRef>
              <c:f>'CO2e v NPV'!$B$33:$F$33</c:f>
              <c:numCache>
                <c:formatCode>0.0</c:formatCode>
                <c:ptCount val="5"/>
                <c:pt idx="0">
                  <c:v>-0.2456645401631668</c:v>
                </c:pt>
                <c:pt idx="1">
                  <c:v>-0.2456645401631668</c:v>
                </c:pt>
                <c:pt idx="2">
                  <c:v>-0.2456645401631668</c:v>
                </c:pt>
                <c:pt idx="3">
                  <c:v>-0.2456645401631668</c:v>
                </c:pt>
                <c:pt idx="4">
                  <c:v>-0.2456645401631668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1-46A0-2D42-BEC0-F4484ECB3A30}"/>
            </c:ext>
          </c:extLst>
        </c:ser>
        <c:ser>
          <c:idx val="29"/>
          <c:order val="29"/>
          <c:tx>
            <c:strRef>
              <c:f>'[1]CO2e v NPV'!$A$34</c:f>
              <c:strCache>
                <c:ptCount val="1"/>
                <c:pt idx="0">
                  <c:v>TD-StmGs-CHP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NPV'!$K$34:$W$34</c:f>
              <c:numCache>
                <c:formatCode>General</c:formatCode>
                <c:ptCount val="13"/>
                <c:pt idx="0">
                  <c:v>-85.136061884253735</c:v>
                </c:pt>
                <c:pt idx="1">
                  <c:v>9.5715072679173403</c:v>
                </c:pt>
                <c:pt idx="2">
                  <c:v>-135.53359946700311</c:v>
                </c:pt>
                <c:pt idx="3">
                  <c:v>-4472608.7824111031</c:v>
                </c:pt>
                <c:pt idx="4">
                  <c:v>-82.446969862608697</c:v>
                </c:pt>
                <c:pt idx="5">
                  <c:v>19.143014535834681</c:v>
                </c:pt>
                <c:pt idx="6">
                  <c:v>-125.96209219908579</c:v>
                </c:pt>
                <c:pt idx="7">
                  <c:v>-4156749.042569831</c:v>
                </c:pt>
                <c:pt idx="8">
                  <c:v>-79.757877840963658</c:v>
                </c:pt>
                <c:pt idx="9">
                  <c:v>28.714521803752017</c:v>
                </c:pt>
                <c:pt idx="10">
                  <c:v>-116.39058493116845</c:v>
                </c:pt>
                <c:pt idx="11">
                  <c:v>-3840889.3027285589</c:v>
                </c:pt>
                <c:pt idx="12">
                  <c:v>-77.068785819318634</c:v>
                </c:pt>
              </c:numCache>
            </c:numRef>
          </c:xVal>
          <c:yVal>
            <c:numRef>
              <c:f>'[1]CO2e v NPV'!$B$34:$F$34</c:f>
              <c:numCache>
                <c:formatCode>General</c:formatCode>
                <c:ptCount val="5"/>
                <c:pt idx="0">
                  <c:v>-0.19143014535834679</c:v>
                </c:pt>
                <c:pt idx="1">
                  <c:v>-0.19143014535834679</c:v>
                </c:pt>
                <c:pt idx="2">
                  <c:v>-0.19143014535834679</c:v>
                </c:pt>
                <c:pt idx="3">
                  <c:v>-0.19143014535834679</c:v>
                </c:pt>
                <c:pt idx="4">
                  <c:v>-0.19143014535834679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2-46A0-2D42-BEC0-F4484ECB3A30}"/>
            </c:ext>
          </c:extLst>
        </c:ser>
        <c:ser>
          <c:idx val="30"/>
          <c:order val="30"/>
          <c:tx>
            <c:strRef>
              <c:f>'[1]CO2e v NPV'!$A$35</c:f>
              <c:strCache>
                <c:ptCount val="1"/>
                <c:pt idx="0">
                  <c:v>FD-Torr-Comb_BSF</c:v>
                </c:pt>
              </c:strCache>
            </c:strRef>
          </c:tx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'[1]CO2e v NPV'!$K$35:$W$35</c:f>
              <c:numCache>
                <c:formatCode>General</c:formatCode>
                <c:ptCount val="13"/>
                <c:pt idx="0">
                  <c:v>-123.11024693857823</c:v>
                </c:pt>
                <c:pt idx="1">
                  <c:v>81.166301692924108</c:v>
                </c:pt>
                <c:pt idx="2">
                  <c:v>-255.09295270130622</c:v>
                </c:pt>
                <c:pt idx="3">
                  <c:v>-8418067.4391431045</c:v>
                </c:pt>
                <c:pt idx="4">
                  <c:v>-100.30676905370295</c:v>
                </c:pt>
                <c:pt idx="5">
                  <c:v>162.33260338584822</c:v>
                </c:pt>
                <c:pt idx="6">
                  <c:v>-173.92665100838209</c:v>
                </c:pt>
                <c:pt idx="7">
                  <c:v>-5739579.4832766093</c:v>
                </c:pt>
                <c:pt idx="8">
                  <c:v>-77.503291168827687</c:v>
                </c:pt>
                <c:pt idx="9">
                  <c:v>243.49890507877234</c:v>
                </c:pt>
                <c:pt idx="10">
                  <c:v>-92.760349315457972</c:v>
                </c:pt>
                <c:pt idx="11">
                  <c:v>-3061091.5274101133</c:v>
                </c:pt>
                <c:pt idx="12">
                  <c:v>-54.699813283952402</c:v>
                </c:pt>
              </c:numCache>
            </c:numRef>
          </c:xVal>
          <c:yVal>
            <c:numRef>
              <c:f>'[1]CO2e v NPV'!$B$35:$F$35</c:f>
              <c:numCache>
                <c:formatCode>General</c:formatCode>
                <c:ptCount val="5"/>
                <c:pt idx="0">
                  <c:v>-1.6233260338584823</c:v>
                </c:pt>
                <c:pt idx="1">
                  <c:v>-1.6233260338584823</c:v>
                </c:pt>
                <c:pt idx="2">
                  <c:v>-1.6233260338584823</c:v>
                </c:pt>
                <c:pt idx="3">
                  <c:v>-1.6233260338584823</c:v>
                </c:pt>
                <c:pt idx="4">
                  <c:v>-1.6233260338584823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3-46A0-2D42-BEC0-F4484ECB3A30}"/>
            </c:ext>
          </c:extLst>
        </c:ser>
        <c:ser>
          <c:idx val="31"/>
          <c:order val="31"/>
          <c:tx>
            <c:strRef>
              <c:f>'CO2e v NPV'!$A$36</c:f>
              <c:strCache>
                <c:ptCount val="1"/>
                <c:pt idx="0">
                  <c:v>FD-Torr_BSF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65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66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67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68-46A0-2D42-BEC0-F4484ECB3A30}"/>
              </c:ext>
            </c:extLst>
          </c:dPt>
          <c:dLbls>
            <c:dLbl>
              <c:idx val="0"/>
              <c:layout>
                <c:manualLayout>
                  <c:x val="-0.1700654480121816"/>
                  <c:y val="-1.30510045933711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NPV'!$K$36:$AA$36</c:f>
              <c:numCache>
                <c:formatCode>#,##0</c:formatCode>
                <c:ptCount val="5"/>
                <c:pt idx="0">
                  <c:v>-156.61147354950421</c:v>
                </c:pt>
                <c:pt idx="1">
                  <c:v>-105.89480185477245</c:v>
                </c:pt>
                <c:pt idx="2">
                  <c:v>-55.178130160040681</c:v>
                </c:pt>
                <c:pt idx="3">
                  <c:v>-4.4614584653089233</c:v>
                </c:pt>
                <c:pt idx="4">
                  <c:v>46.255213229422836</c:v>
                </c:pt>
              </c:numCache>
            </c:numRef>
          </c:xVal>
          <c:yVal>
            <c:numRef>
              <c:f>'CO2e v NPV'!$B$36:$F$36</c:f>
              <c:numCache>
                <c:formatCode>0.0</c:formatCode>
                <c:ptCount val="5"/>
                <c:pt idx="0">
                  <c:v>-3.6104007436215668</c:v>
                </c:pt>
                <c:pt idx="1">
                  <c:v>-3.6104007436215668</c:v>
                </c:pt>
                <c:pt idx="2">
                  <c:v>-3.6104007436215668</c:v>
                </c:pt>
                <c:pt idx="3">
                  <c:v>-3.6104007436215668</c:v>
                </c:pt>
                <c:pt idx="4">
                  <c:v>-3.6104007436215668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9-46A0-2D42-BEC0-F4484ECB3A30}"/>
            </c:ext>
          </c:extLst>
        </c:ser>
        <c:ser>
          <c:idx val="32"/>
          <c:order val="32"/>
          <c:tx>
            <c:strRef>
              <c:f>'CO2e v NPV'!$A$37</c:f>
              <c:strCache>
                <c:ptCount val="1"/>
                <c:pt idx="0">
                  <c:v>TE-PBR-TD-MWPy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A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6B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6C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6D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6E-46A0-2D42-BEC0-F4484ECB3A30}"/>
              </c:ext>
            </c:extLst>
          </c:dPt>
          <c:dLbls>
            <c:dLbl>
              <c:idx val="0"/>
              <c:layout>
                <c:manualLayout>
                  <c:x val="-0.21925518881022357"/>
                  <c:y val="4.2187673971452004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NPV'!$K$37:$AA$37</c:f>
              <c:numCache>
                <c:formatCode>#,##0</c:formatCode>
                <c:ptCount val="5"/>
                <c:pt idx="0">
                  <c:v>-16.235185689450997</c:v>
                </c:pt>
                <c:pt idx="1">
                  <c:v>-5.7462214410931454</c:v>
                </c:pt>
                <c:pt idx="2">
                  <c:v>4.7427428072647064</c:v>
                </c:pt>
                <c:pt idx="3">
                  <c:v>15.231707055622564</c:v>
                </c:pt>
                <c:pt idx="4">
                  <c:v>25.720671303980417</c:v>
                </c:pt>
              </c:numCache>
            </c:numRef>
          </c:xVal>
          <c:yVal>
            <c:numRef>
              <c:f>'CO2e v NPV'!$B$37:$F$37</c:f>
              <c:numCache>
                <c:formatCode>0.0</c:formatCode>
                <c:ptCount val="5"/>
                <c:pt idx="0">
                  <c:v>-0.74668473022106729</c:v>
                </c:pt>
                <c:pt idx="1">
                  <c:v>-0.74668473022106729</c:v>
                </c:pt>
                <c:pt idx="2">
                  <c:v>-0.74668473022106729</c:v>
                </c:pt>
                <c:pt idx="3">
                  <c:v>-0.74668473022106729</c:v>
                </c:pt>
                <c:pt idx="4">
                  <c:v>-0.74668473022106729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F-46A0-2D42-BEC0-F4484ECB3A30}"/>
            </c:ext>
          </c:extLst>
        </c:ser>
        <c:ser>
          <c:idx val="33"/>
          <c:order val="33"/>
          <c:tx>
            <c:strRef>
              <c:f>'CO2e v NPV'!$A$38</c:f>
              <c:strCache>
                <c:ptCount val="1"/>
                <c:pt idx="0">
                  <c:v>TD-Py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70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71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72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73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74-46A0-2D42-BEC0-F4484ECB3A30}"/>
              </c:ext>
            </c:extLst>
          </c:dPt>
          <c:dLbls>
            <c:dLbl>
              <c:idx val="0"/>
              <c:layout>
                <c:manualLayout>
                  <c:x val="-0.10244961052207514"/>
                  <c:y val="1.290519474734855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NPV'!$K$38:$AA$38</c:f>
              <c:numCache>
                <c:formatCode>#,##0</c:formatCode>
                <c:ptCount val="5"/>
                <c:pt idx="0">
                  <c:v>-224.8067515192609</c:v>
                </c:pt>
                <c:pt idx="1">
                  <c:v>-197.87805359303906</c:v>
                </c:pt>
                <c:pt idx="2">
                  <c:v>-170.94935566681718</c:v>
                </c:pt>
                <c:pt idx="3">
                  <c:v>-144.02065774059531</c:v>
                </c:pt>
                <c:pt idx="4">
                  <c:v>-117.09195981437344</c:v>
                </c:pt>
              </c:numCache>
            </c:numRef>
          </c:xVal>
          <c:yVal>
            <c:numRef>
              <c:f>'CO2e v NPV'!$B$38:$F$38</c:f>
              <c:numCache>
                <c:formatCode>0.0</c:formatCode>
                <c:ptCount val="5"/>
                <c:pt idx="0">
                  <c:v>-1.9169907600165168</c:v>
                </c:pt>
                <c:pt idx="1">
                  <c:v>-1.9169907600165168</c:v>
                </c:pt>
                <c:pt idx="2">
                  <c:v>-1.9169907600165168</c:v>
                </c:pt>
                <c:pt idx="3">
                  <c:v>-1.9169907600165168</c:v>
                </c:pt>
                <c:pt idx="4">
                  <c:v>-1.9169907600165168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46A0-2D42-BEC0-F4484ECB3A30}"/>
            </c:ext>
          </c:extLst>
        </c:ser>
        <c:ser>
          <c:idx val="34"/>
          <c:order val="34"/>
          <c:tx>
            <c:strRef>
              <c:f>'CO2e v NPV'!$A$39</c:f>
              <c:strCache>
                <c:ptCount val="1"/>
                <c:pt idx="0">
                  <c:v>HTC-AD-CHP-LA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76-46A0-2D42-BEC0-F4484ECB3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77-46A0-2D42-BEC0-F4484ECB3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78-46A0-2D42-BEC0-F4484ECB3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79-46A0-2D42-BEC0-F4484ECB3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7A-46A0-2D42-BEC0-F4484ECB3A30}"/>
              </c:ext>
            </c:extLst>
          </c:dPt>
          <c:dLbls>
            <c:dLbl>
              <c:idx val="0"/>
              <c:layout>
                <c:manualLayout>
                  <c:x val="-0.21514303664191647"/>
                  <c:y val="-8.7006697289141923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6A0-2D42-BEC0-F4484ECB3A3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6A0-2D42-BEC0-F4484ECB3A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6A0-2D42-BEC0-F4484ECB3A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6A0-2D42-BEC0-F4484ECB3A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6A0-2D42-BEC0-F4484ECB3A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1"/>
              </c:ext>
            </c:extLst>
          </c:dLbls>
          <c:xVal>
            <c:numRef>
              <c:f>'CO2e v NPV'!$K$39:$AA$39</c:f>
              <c:numCache>
                <c:formatCode>#,##0</c:formatCode>
                <c:ptCount val="5"/>
                <c:pt idx="0">
                  <c:v>-304.84887953248773</c:v>
                </c:pt>
                <c:pt idx="1">
                  <c:v>-289.57565555027946</c:v>
                </c:pt>
                <c:pt idx="2">
                  <c:v>-274.30243156807114</c:v>
                </c:pt>
                <c:pt idx="3">
                  <c:v>-259.02920758586276</c:v>
                </c:pt>
                <c:pt idx="4">
                  <c:v>-243.75598360365444</c:v>
                </c:pt>
              </c:numCache>
            </c:numRef>
          </c:xVal>
          <c:yVal>
            <c:numRef>
              <c:f>'CO2e v NPV'!$B$39:$F$39</c:f>
              <c:numCache>
                <c:formatCode>0.0</c:formatCode>
                <c:ptCount val="5"/>
                <c:pt idx="0">
                  <c:v>-1.0872649442528719</c:v>
                </c:pt>
                <c:pt idx="1">
                  <c:v>-1.0872649442528719</c:v>
                </c:pt>
                <c:pt idx="2">
                  <c:v>-1.0872649442528719</c:v>
                </c:pt>
                <c:pt idx="3">
                  <c:v>-1.0872649442528719</c:v>
                </c:pt>
                <c:pt idx="4">
                  <c:v>-1.0872649442528719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B-46A0-2D42-BEC0-F4484ECB3A30}"/>
            </c:ext>
          </c:extLst>
        </c:ser>
        <c:ser>
          <c:idx val="35"/>
          <c:order val="35"/>
          <c:tx>
            <c:v>0 USD</c:v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'CO2e v NPV'!$AE$5</c:f>
              <c:numCache>
                <c:formatCode>General</c:formatCode>
                <c:ptCount val="1"/>
                <c:pt idx="0">
                  <c:v>-1000</c:v>
                </c:pt>
              </c:numCache>
            </c:numRef>
          </c:xVal>
          <c:yVal>
            <c:numRef>
              <c:f>'CO2e v NPV'!$AD$5</c:f>
              <c:numCache>
                <c:formatCode>General</c:formatCode>
                <c:ptCount val="1"/>
                <c:pt idx="0">
                  <c:v>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C-46A0-2D42-BEC0-F4484ECB3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783055"/>
        <c:axId val="1172990191"/>
      </c:scatterChart>
      <c:valAx>
        <c:axId val="1147783055"/>
        <c:scaling>
          <c:orientation val="minMax"/>
          <c:max val="50"/>
          <c:min val="-50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6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Net Present Value (million USD)</a:t>
                </a:r>
              </a:p>
            </c:rich>
          </c:tx>
          <c:layout>
            <c:manualLayout>
              <c:xMode val="edge"/>
              <c:yMode val="edge"/>
              <c:x val="0.30889399468912249"/>
              <c:y val="0.8812182677574533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  <a:tailEnd type="none" w="lg" len="lg"/>
          </a:ln>
          <a:effectLst/>
        </c:spPr>
        <c:txPr>
          <a:bodyPr rot="-2700000" vert="horz"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172990191"/>
        <c:crossesAt val="-6000"/>
        <c:crossBetween val="midCat"/>
        <c:majorUnit val="50"/>
      </c:valAx>
      <c:valAx>
        <c:axId val="1172990191"/>
        <c:scaling>
          <c:orientation val="minMax"/>
          <c:max val="6"/>
          <c:min val="-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Net CO2e Emissions</a:t>
                </a:r>
              </a:p>
              <a:p>
                <a:pPr>
                  <a:defRPr sz="16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(t CO2e/t DS)</a:t>
                </a:r>
              </a:p>
            </c:rich>
          </c:tx>
          <c:layout>
            <c:manualLayout>
              <c:xMode val="edge"/>
              <c:yMode val="edge"/>
              <c:x val="3.9994674647738204E-2"/>
              <c:y val="0.3300444179502786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147783055"/>
        <c:crossesAt val="-40000000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VIABILITY'!$F$4:$G$4</c:f>
              <c:strCache>
                <c:ptCount val="1"/>
                <c:pt idx="0">
                  <c:v>Net lifecycle energy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VIABILITY'!$F$6:$F$39</c:f>
              <c:numCache>
                <c:formatCode>0</c:formatCode>
                <c:ptCount val="34"/>
                <c:pt idx="0">
                  <c:v>-876.22873089752466</c:v>
                </c:pt>
                <c:pt idx="1">
                  <c:v>423.39322146513121</c:v>
                </c:pt>
                <c:pt idx="2">
                  <c:v>-3035.7933764199024</c:v>
                </c:pt>
                <c:pt idx="3">
                  <c:v>-1736.1714240572464</c:v>
                </c:pt>
                <c:pt idx="4">
                  <c:v>-876.22873089752466</c:v>
                </c:pt>
                <c:pt idx="5">
                  <c:v>-3035.7933764199024</c:v>
                </c:pt>
                <c:pt idx="6">
                  <c:v>-125.50760394481404</c:v>
                </c:pt>
                <c:pt idx="7">
                  <c:v>-407.9056179180966</c:v>
                </c:pt>
                <c:pt idx="8">
                  <c:v>122.34013864586709</c:v>
                </c:pt>
                <c:pt idx="9">
                  <c:v>-407.9056179180966</c:v>
                </c:pt>
                <c:pt idx="10">
                  <c:v>-2680.0566356968429</c:v>
                </c:pt>
                <c:pt idx="11">
                  <c:v>-2149.8108791328791</c:v>
                </c:pt>
                <c:pt idx="12">
                  <c:v>-2680.0566356968429</c:v>
                </c:pt>
                <c:pt idx="13">
                  <c:v>-721.11775567851259</c:v>
                </c:pt>
                <c:pt idx="14">
                  <c:v>66.873892640231304</c:v>
                </c:pt>
                <c:pt idx="15">
                  <c:v>597.11964920419473</c:v>
                </c:pt>
                <c:pt idx="16">
                  <c:v>-419.14198971270991</c:v>
                </c:pt>
                <c:pt idx="17">
                  <c:v>-952.03345780044128</c:v>
                </c:pt>
                <c:pt idx="18">
                  <c:v>2541.5488337152001</c:v>
                </c:pt>
                <c:pt idx="19">
                  <c:v>2477.5135236852966</c:v>
                </c:pt>
                <c:pt idx="20">
                  <c:v>2391.063738876871</c:v>
                </c:pt>
                <c:pt idx="21">
                  <c:v>2141.6675262653916</c:v>
                </c:pt>
                <c:pt idx="22">
                  <c:v>2180.5756252623123</c:v>
                </c:pt>
                <c:pt idx="23">
                  <c:v>2379.4434302565546</c:v>
                </c:pt>
                <c:pt idx="24">
                  <c:v>4732.5367416930867</c:v>
                </c:pt>
                <c:pt idx="25">
                  <c:v>4956.5350919423663</c:v>
                </c:pt>
                <c:pt idx="26">
                  <c:v>4590.596688203861</c:v>
                </c:pt>
                <c:pt idx="27">
                  <c:v>5005.9113018208964</c:v>
                </c:pt>
                <c:pt idx="28">
                  <c:v>630.27925417206779</c:v>
                </c:pt>
                <c:pt idx="29">
                  <c:v>490.94171156331123</c:v>
                </c:pt>
                <c:pt idx="30">
                  <c:v>1423.9941869153611</c:v>
                </c:pt>
                <c:pt idx="31">
                  <c:v>1264.343836414836</c:v>
                </c:pt>
                <c:pt idx="32">
                  <c:v>2301.7802064793473</c:v>
                </c:pt>
                <c:pt idx="33">
                  <c:v>3601.8121907506902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D-49E9-BC9E-ADCB57736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VIABILITY'!$H$4:$I$4</c:f>
              <c:strCache>
                <c:ptCount val="1"/>
                <c:pt idx="0">
                  <c:v>Net lifecycle CO2e emissions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VIABILITY'!$H$6:$H$39</c:f>
              <c:numCache>
                <c:formatCode>#,##0.00</c:formatCode>
                <c:ptCount val="34"/>
                <c:pt idx="0">
                  <c:v>5.3322262738433244</c:v>
                </c:pt>
                <c:pt idx="1">
                  <c:v>0.82586057788314626</c:v>
                </c:pt>
                <c:pt idx="2">
                  <c:v>6.2327909764973297</c:v>
                </c:pt>
                <c:pt idx="3">
                  <c:v>1.7264252805371516</c:v>
                </c:pt>
                <c:pt idx="4">
                  <c:v>0.42700341670046715</c:v>
                </c:pt>
                <c:pt idx="5">
                  <c:v>1.3275681193544724</c:v>
                </c:pt>
                <c:pt idx="6">
                  <c:v>7.3620091573362485</c:v>
                </c:pt>
                <c:pt idx="7">
                  <c:v>2.1978426320814601</c:v>
                </c:pt>
                <c:pt idx="8">
                  <c:v>0.35924542812970783</c:v>
                </c:pt>
                <c:pt idx="9">
                  <c:v>0.18069108922431759</c:v>
                </c:pt>
                <c:pt idx="10">
                  <c:v>3.1396326298861834</c:v>
                </c:pt>
                <c:pt idx="11">
                  <c:v>1.3010354259344312</c:v>
                </c:pt>
                <c:pt idx="12">
                  <c:v>1.1224810870290411</c:v>
                </c:pt>
                <c:pt idx="13">
                  <c:v>5.2749486593220869</c:v>
                </c:pt>
                <c:pt idx="14">
                  <c:v>2.0086194568954601</c:v>
                </c:pt>
                <c:pt idx="15">
                  <c:v>0.17002225294370782</c:v>
                </c:pt>
                <c:pt idx="16">
                  <c:v>0.19068042403831753</c:v>
                </c:pt>
                <c:pt idx="17">
                  <c:v>5.365234222320348</c:v>
                </c:pt>
                <c:pt idx="18">
                  <c:v>-0.64984045146280833</c:v>
                </c:pt>
                <c:pt idx="19">
                  <c:v>-0.94259951356506133</c:v>
                </c:pt>
                <c:pt idx="20">
                  <c:v>-0.58732929161037228</c:v>
                </c:pt>
                <c:pt idx="21">
                  <c:v>-0.81128410547843721</c:v>
                </c:pt>
                <c:pt idx="22">
                  <c:v>-0.46830442207276918</c:v>
                </c:pt>
                <c:pt idx="23">
                  <c:v>-0.5231873803281164</c:v>
                </c:pt>
                <c:pt idx="24">
                  <c:v>-1.3978888887710346</c:v>
                </c:pt>
                <c:pt idx="25">
                  <c:v>-1.4923420111364036</c:v>
                </c:pt>
                <c:pt idx="26">
                  <c:v>-1.3353465299992</c:v>
                </c:pt>
                <c:pt idx="27">
                  <c:v>-1.5118591786547046</c:v>
                </c:pt>
                <c:pt idx="28">
                  <c:v>-0.2456645401631668</c:v>
                </c:pt>
                <c:pt idx="29">
                  <c:v>-0.19143014535834679</c:v>
                </c:pt>
                <c:pt idx="30">
                  <c:v>-1.6233260338584823</c:v>
                </c:pt>
                <c:pt idx="31">
                  <c:v>-3.6104007436215668</c:v>
                </c:pt>
                <c:pt idx="32">
                  <c:v>-0.74668473022106729</c:v>
                </c:pt>
                <c:pt idx="33">
                  <c:v>-1.9169907600165168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E-4B1F-9F12-D0FADFA37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VIABILITY'!$K$4:$L$4</c:f>
              <c:strCache>
                <c:ptCount val="1"/>
                <c:pt idx="0">
                  <c:v>CAPEX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VIABILITY'!$K$6:$K$39</c:f>
              <c:numCache>
                <c:formatCode>"$"#,##0</c:formatCode>
                <c:ptCount val="34"/>
                <c:pt idx="0">
                  <c:v>35805</c:v>
                </c:pt>
                <c:pt idx="1">
                  <c:v>35805</c:v>
                </c:pt>
                <c:pt idx="2">
                  <c:v>260864.99999999997</c:v>
                </c:pt>
                <c:pt idx="3">
                  <c:v>260864.99999999997</c:v>
                </c:pt>
                <c:pt idx="4">
                  <c:v>35805</c:v>
                </c:pt>
                <c:pt idx="5">
                  <c:v>260864.99999999997</c:v>
                </c:pt>
                <c:pt idx="6">
                  <c:v>562650</c:v>
                </c:pt>
                <c:pt idx="7">
                  <c:v>465464.99999999994</c:v>
                </c:pt>
                <c:pt idx="8">
                  <c:v>465464.99999999994</c:v>
                </c:pt>
                <c:pt idx="9">
                  <c:v>465464.99999999994</c:v>
                </c:pt>
                <c:pt idx="10">
                  <c:v>639375</c:v>
                </c:pt>
                <c:pt idx="11">
                  <c:v>639375</c:v>
                </c:pt>
                <c:pt idx="12">
                  <c:v>639375</c:v>
                </c:pt>
                <c:pt idx="13">
                  <c:v>879779.99999999988</c:v>
                </c:pt>
                <c:pt idx="14">
                  <c:v>644490</c:v>
                </c:pt>
                <c:pt idx="15">
                  <c:v>644490</c:v>
                </c:pt>
                <c:pt idx="16">
                  <c:v>644490</c:v>
                </c:pt>
                <c:pt idx="17">
                  <c:v>920699.99999999988</c:v>
                </c:pt>
                <c:pt idx="18">
                  <c:v>196407.39117999998</c:v>
                </c:pt>
                <c:pt idx="19">
                  <c:v>271195.30231252348</c:v>
                </c:pt>
                <c:pt idx="20">
                  <c:v>242508.19999999995</c:v>
                </c:pt>
                <c:pt idx="21">
                  <c:v>314991.14420061081</c:v>
                </c:pt>
                <c:pt idx="22">
                  <c:v>448062.75000000006</c:v>
                </c:pt>
                <c:pt idx="23">
                  <c:v>420812.15000000008</c:v>
                </c:pt>
                <c:pt idx="24">
                  <c:v>886317.4458333333</c:v>
                </c:pt>
                <c:pt idx="25">
                  <c:v>861392.68333333323</c:v>
                </c:pt>
                <c:pt idx="26">
                  <c:v>1620709.3562499997</c:v>
                </c:pt>
                <c:pt idx="27">
                  <c:v>1572014.989583333</c:v>
                </c:pt>
                <c:pt idx="28">
                  <c:v>443691.30000000005</c:v>
                </c:pt>
                <c:pt idx="29">
                  <c:v>443691.30000000005</c:v>
                </c:pt>
                <c:pt idx="30">
                  <c:v>286390.15513333335</c:v>
                </c:pt>
                <c:pt idx="31">
                  <c:v>271028.17068888887</c:v>
                </c:pt>
                <c:pt idx="32">
                  <c:v>144989.78067283021</c:v>
                </c:pt>
                <c:pt idx="33">
                  <c:v>68694.184942499982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F-42DB-8EB1-83959F055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VIABILITY'!$M$4:$N$4</c:f>
              <c:strCache>
                <c:ptCount val="1"/>
                <c:pt idx="0">
                  <c:v> Net operating profit
(Revenue-OPEX)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VIABILITY'!$M$6:$M$39</c:f>
              <c:numCache>
                <c:formatCode>"$"#,##0</c:formatCode>
                <c:ptCount val="34"/>
                <c:pt idx="0">
                  <c:v>-310.60257325363199</c:v>
                </c:pt>
                <c:pt idx="1">
                  <c:v>-310.60257325363199</c:v>
                </c:pt>
                <c:pt idx="2">
                  <c:v>-288.12562930145276</c:v>
                </c:pt>
                <c:pt idx="3">
                  <c:v>-288.12562930145276</c:v>
                </c:pt>
                <c:pt idx="4">
                  <c:v>-310.60257325363199</c:v>
                </c:pt>
                <c:pt idx="5">
                  <c:v>-288.12562930145276</c:v>
                </c:pt>
                <c:pt idx="6">
                  <c:v>-265.97799101586588</c:v>
                </c:pt>
                <c:pt idx="7">
                  <c:v>-231.79652981246971</c:v>
                </c:pt>
                <c:pt idx="8">
                  <c:v>-231.79652981246971</c:v>
                </c:pt>
                <c:pt idx="9">
                  <c:v>-231.79652981246971</c:v>
                </c:pt>
                <c:pt idx="10">
                  <c:v>-249.28912792498784</c:v>
                </c:pt>
                <c:pt idx="11">
                  <c:v>-249.28912792498784</c:v>
                </c:pt>
                <c:pt idx="12">
                  <c:v>-249.28912792498784</c:v>
                </c:pt>
                <c:pt idx="13">
                  <c:v>-288.5634008658659</c:v>
                </c:pt>
                <c:pt idx="14">
                  <c:v>-308.81711981246974</c:v>
                </c:pt>
                <c:pt idx="15">
                  <c:v>-308.81711981246974</c:v>
                </c:pt>
                <c:pt idx="16">
                  <c:v>-308.81711981246974</c:v>
                </c:pt>
                <c:pt idx="17">
                  <c:v>-347.31846296586593</c:v>
                </c:pt>
                <c:pt idx="18">
                  <c:v>-43.136429381369169</c:v>
                </c:pt>
                <c:pt idx="19">
                  <c:v>75.663313390650302</c:v>
                </c:pt>
                <c:pt idx="20">
                  <c:v>-43.051321379668764</c:v>
                </c:pt>
                <c:pt idx="21">
                  <c:v>-19.864753744669287</c:v>
                </c:pt>
                <c:pt idx="22">
                  <c:v>-195.72351012775425</c:v>
                </c:pt>
                <c:pt idx="23">
                  <c:v>-182.88428512775431</c:v>
                </c:pt>
                <c:pt idx="24">
                  <c:v>-104.98503405130378</c:v>
                </c:pt>
                <c:pt idx="25">
                  <c:v>-99.747531831618346</c:v>
                </c:pt>
                <c:pt idx="26">
                  <c:v>-429.54787334607806</c:v>
                </c:pt>
                <c:pt idx="27">
                  <c:v>-421.7034542694671</c:v>
                </c:pt>
                <c:pt idx="28">
                  <c:v>-134.75670169539868</c:v>
                </c:pt>
                <c:pt idx="29">
                  <c:v>-145.10510673492047</c:v>
                </c:pt>
                <c:pt idx="30">
                  <c:v>-336.25925439423031</c:v>
                </c:pt>
                <c:pt idx="31">
                  <c:v>-460.9708543942304</c:v>
                </c:pt>
                <c:pt idx="32">
                  <c:v>-6.1798271462752865</c:v>
                </c:pt>
                <c:pt idx="33">
                  <c:v>-775.72234427415549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9-4C64-845E-AAADBA9DA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VIABILITY'!$O$4:$P$4</c:f>
              <c:strCache>
                <c:ptCount val="1"/>
                <c:pt idx="0">
                  <c:v>TRL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VIABILITY'!$O$6:$O$39</c:f>
              <c:numCache>
                <c:formatCode>0</c:formatCode>
                <c:ptCount val="3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4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6</c:v>
                </c:pt>
                <c:pt idx="27">
                  <c:v>6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3</c:v>
                </c:pt>
                <c:pt idx="3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D-4853-A672-CC7F31F68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70317417814743"/>
          <c:y val="0.10865159444889748"/>
          <c:w val="0.71812079009177732"/>
          <c:h val="0.75213632293618626"/>
        </c:manualLayout>
      </c:layout>
      <c:scatterChart>
        <c:scatterStyle val="lineMarker"/>
        <c:varyColors val="0"/>
        <c:ser>
          <c:idx val="0"/>
          <c:order val="0"/>
          <c:tx>
            <c:v>Vertical Line</c:v>
          </c:tx>
          <c:spPr>
            <a:ln w="19050">
              <a:noFill/>
            </a:ln>
          </c:spPr>
          <c:marker>
            <c:symbol val="none"/>
          </c:marker>
          <c:xVal>
            <c:numRef>
              <c:f>'ENV BENEFIT - VIABILITY'!$AD$1:$AD$2</c:f>
            </c:numRef>
          </c:xVal>
          <c:yVal>
            <c:numRef>
              <c:f>'ENV BENEFIT - VIABILITY'!$AE$1:$AE$2</c:f>
            </c:numRef>
          </c:yVal>
          <c:smooth val="0"/>
          <c:extLst>
            <c:ext xmlns:c16="http://schemas.microsoft.com/office/drawing/2014/chart" uri="{C3380CC4-5D6E-409C-BE32-E72D297353CC}">
              <c16:uniqueId val="{00000000-9549-4F47-A360-2834B9B1FC3C}"/>
            </c:ext>
          </c:extLst>
        </c:ser>
        <c:ser>
          <c:idx val="1"/>
          <c:order val="1"/>
          <c:tx>
            <c:v>Horizontal Line</c:v>
          </c:tx>
          <c:spPr>
            <a:ln w="19050">
              <a:noFill/>
            </a:ln>
          </c:spPr>
          <c:marker>
            <c:symbol val="none"/>
          </c:marker>
          <c:xVal>
            <c:numRef>
              <c:f>'ENV BENEFIT - VIABILITY'!$AD$3:$AD$4</c:f>
            </c:numRef>
          </c:xVal>
          <c:yVal>
            <c:numRef>
              <c:f>'ENV BENEFIT - VIABILITY'!$AE$3:$AE$4</c:f>
            </c:numRef>
          </c:yVal>
          <c:smooth val="0"/>
          <c:extLst>
            <c:ext xmlns:c16="http://schemas.microsoft.com/office/drawing/2014/chart" uri="{C3380CC4-5D6E-409C-BE32-E72D297353CC}">
              <c16:uniqueId val="{00000003-9549-4F47-A360-2834B9B1FC3C}"/>
            </c:ext>
          </c:extLst>
        </c:ser>
        <c:ser>
          <c:idx val="2"/>
          <c:order val="2"/>
          <c:tx>
            <c:v>Environmental Benevit vs. Commercial Viability</c:v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1.8993120651672236E-2"/>
                  <c:y val="1.9690278236177343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2D0C99C7-AB0A-AC4D-9271-E176F38948A3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549-4F47-A360-2834B9B1FC3C}"/>
                </c:ext>
              </c:extLst>
            </c:dLbl>
            <c:dLbl>
              <c:idx val="1"/>
              <c:layout>
                <c:manualLayout>
                  <c:x val="3.3038007854636516E-2"/>
                  <c:y val="6.5802050461991396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D65CA145-AB66-DD46-AFA3-9A23DDD8C615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549-4F47-A360-2834B9B1FC3C}"/>
                </c:ext>
              </c:extLst>
            </c:dLbl>
            <c:dLbl>
              <c:idx val="2"/>
              <c:layout>
                <c:manualLayout>
                  <c:x val="4.0450409739635339E-2"/>
                  <c:y val="2.9794348311251512E-2"/>
                </c:manualLayout>
              </c:layout>
              <c:tx>
                <c:rich>
                  <a:bodyPr/>
                  <a:lstStyle/>
                  <a:p>
                    <a:fld id="{11E2F158-02B1-4546-BD02-2BA603095A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549-4F47-A360-2834B9B1FC3C}"/>
                </c:ext>
              </c:extLst>
            </c:dLbl>
            <c:dLbl>
              <c:idx val="3"/>
              <c:layout>
                <c:manualLayout>
                  <c:x val="4.0793526399016865E-2"/>
                  <c:y val="-1.9404580393693864E-3"/>
                </c:manualLayout>
              </c:layout>
              <c:tx>
                <c:rich>
                  <a:bodyPr/>
                  <a:lstStyle/>
                  <a:p>
                    <a:fld id="{74F370CF-0FDC-D04F-B959-CE98E178EE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549-4F47-A360-2834B9B1FC3C}"/>
                </c:ext>
              </c:extLst>
            </c:dLbl>
            <c:dLbl>
              <c:idx val="4"/>
              <c:layout>
                <c:manualLayout>
                  <c:x val="3.3195263518648446E-2"/>
                  <c:y val="6.6399032835488597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279BDC40-1A12-F347-AB9F-9BC69CAF67A9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549-4F47-A360-2834B9B1FC3C}"/>
                </c:ext>
              </c:extLst>
            </c:dLbl>
            <c:dLbl>
              <c:idx val="5"/>
              <c:layout>
                <c:manualLayout>
                  <c:x val="4.1771795154565333E-2"/>
                  <c:y val="-3.5489388676716031E-3"/>
                </c:manualLayout>
              </c:layout>
              <c:tx>
                <c:rich>
                  <a:bodyPr/>
                  <a:lstStyle/>
                  <a:p>
                    <a:fld id="{3F01A7B3-6179-104D-B790-ADE539E52D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549-4F47-A360-2834B9B1FC3C}"/>
                </c:ext>
              </c:extLst>
            </c:dLbl>
            <c:dLbl>
              <c:idx val="6"/>
              <c:layout>
                <c:manualLayout>
                  <c:x val="2.1100455615572396E-2"/>
                  <c:y val="-2.502219969509799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B1BCAD05-7C2A-4D41-8BAD-25E3FB087272}" type="CELLRANGE">
                      <a:rPr lang="en-US"/>
                      <a:pPr>
                        <a:defRPr sz="120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2116495298722096"/>
                      <c:h val="2.711999745444350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9549-4F47-A360-2834B9B1FC3C}"/>
                </c:ext>
              </c:extLst>
            </c:dLbl>
            <c:dLbl>
              <c:idx val="7"/>
              <c:layout>
                <c:manualLayout>
                  <c:x val="6.0374787778150217E-2"/>
                  <c:y val="4.119281122793782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E76A8B56-0B76-7847-8D6B-3628981906C6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549-4F47-A360-2834B9B1FC3C}"/>
                </c:ext>
              </c:extLst>
            </c:dLbl>
            <c:dLbl>
              <c:idx val="8"/>
              <c:layout>
                <c:manualLayout>
                  <c:x val="2.6768699008428605E-2"/>
                  <c:y val="-2.706234512602104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4FF5FF16-A399-F846-83ED-FCD5ED156BBA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7362232017505264"/>
                      <c:h val="2.535748766144936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549-4F47-A360-2834B9B1FC3C}"/>
                </c:ext>
              </c:extLst>
            </c:dLbl>
            <c:dLbl>
              <c:idx val="9"/>
              <c:layout>
                <c:manualLayout>
                  <c:x val="3.1473133088240728E-2"/>
                  <c:y val="-1.86436837610867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92B0915E-A925-A949-BF46-847EE538B7A7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1886366795351981"/>
                      <c:h val="2.539061656023298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549-4F47-A360-2834B9B1FC3C}"/>
                </c:ext>
              </c:extLst>
            </c:dLbl>
            <c:dLbl>
              <c:idx val="10"/>
              <c:layout>
                <c:manualLayout>
                  <c:x val="-0.24888899613983015"/>
                  <c:y val="-3.290739304297968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0C9608FB-A47B-C941-B4F6-08046DD079F2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5099724620606061"/>
                      <c:h val="2.539061656023298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549-4F47-A360-2834B9B1FC3C}"/>
                </c:ext>
              </c:extLst>
            </c:dLbl>
            <c:dLbl>
              <c:idx val="11"/>
              <c:layout>
                <c:manualLayout>
                  <c:x val="3.5383077379889272E-2"/>
                  <c:y val="-6.87870977205693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355FFAFD-D544-FB48-87DA-9C306D71B56E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9422905094797274"/>
                      <c:h val="2.87829896068228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9549-4F47-A360-2834B9B1FC3C}"/>
                </c:ext>
              </c:extLst>
            </c:dLbl>
            <c:dLbl>
              <c:idx val="12"/>
              <c:layout>
                <c:manualLayout>
                  <c:x val="3.6840116449255694E-2"/>
                  <c:y val="-5.571972852195870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DAC2726C-E4A3-6348-ACA9-4820DF5DC68D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4577779857140363"/>
                      <c:h val="2.529096797535419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9549-4F47-A360-2834B9B1FC3C}"/>
                </c:ext>
              </c:extLst>
            </c:dLbl>
            <c:dLbl>
              <c:idx val="13"/>
              <c:layout>
                <c:manualLayout>
                  <c:x val="-0.24810855361890163"/>
                  <c:y val="5.620884215820327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2790CCEC-2153-024A-B9FE-92803E03E812}" type="CELLRANGE">
                      <a:rPr lang="en-US"/>
                      <a:pPr>
                        <a:defRPr sz="120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9549-4F47-A360-2834B9B1FC3C}"/>
                </c:ext>
              </c:extLst>
            </c:dLbl>
            <c:dLbl>
              <c:idx val="14"/>
              <c:layout>
                <c:manualLayout>
                  <c:x val="-0.23014471347561308"/>
                  <c:y val="-1.875738516944548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D4ED6397-56EF-8E4D-A65F-7A74A9B9E300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557129434998816"/>
                      <c:h val="2.1998243513643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9549-4F47-A360-2834B9B1FC3C}"/>
                </c:ext>
              </c:extLst>
            </c:dLbl>
            <c:dLbl>
              <c:idx val="15"/>
              <c:layout>
                <c:manualLayout>
                  <c:x val="6.5937825325868921E-2"/>
                  <c:y val="-9.533891534516268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FE12F36F-E2CD-4042-8738-55C8B4BBAA21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9894474824179373"/>
                      <c:h val="2.1998243513643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549-4F47-A360-2834B9B1FC3C}"/>
                </c:ext>
              </c:extLst>
            </c:dLbl>
            <c:dLbl>
              <c:idx val="16"/>
              <c:layout>
                <c:manualLayout>
                  <c:x val="6.7548836243883872E-2"/>
                  <c:y val="-0.1056469737689974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6BEEB6FB-F4D8-3E4B-B536-B23A5B40BA74}" type="CELLRANGE">
                      <a:rPr lang="en-US"/>
                      <a:pPr>
                        <a:defRPr sz="1200" baseline="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549-4F47-A360-2834B9B1FC3C}"/>
                </c:ext>
              </c:extLst>
            </c:dLbl>
            <c:dLbl>
              <c:idx val="17"/>
              <c:layout>
                <c:manualLayout>
                  <c:x val="-0.25561802307325088"/>
                  <c:y val="2.018224298881841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308A1C04-84A8-7F48-9EA7-19C2D7EBF99C}" type="CELLRANGE">
                      <a:rPr lang="en-US"/>
                      <a:pPr>
                        <a:defRPr sz="1200">
                          <a:solidFill>
                            <a:srgbClr val="FF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2291596194221872"/>
                      <c:h val="2.64563719246593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9549-4F47-A360-2834B9B1FC3C}"/>
                </c:ext>
              </c:extLst>
            </c:dLbl>
            <c:dLbl>
              <c:idx val="18"/>
              <c:layout>
                <c:manualLayout>
                  <c:x val="2.8382178662430722E-2"/>
                  <c:y val="2.4244117501519983E-3"/>
                </c:manualLayout>
              </c:layout>
              <c:tx>
                <c:rich>
                  <a:bodyPr/>
                  <a:lstStyle/>
                  <a:p>
                    <a:fld id="{CAC52588-A62E-D04D-849F-E0B05B837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9549-4F47-A360-2834B9B1FC3C}"/>
                </c:ext>
              </c:extLst>
            </c:dLbl>
            <c:dLbl>
              <c:idx val="19"/>
              <c:layout>
                <c:manualLayout>
                  <c:x val="1.6275220617723452E-2"/>
                  <c:y val="-1.1737602102227058E-2"/>
                </c:manualLayout>
              </c:layout>
              <c:tx>
                <c:rich>
                  <a:bodyPr/>
                  <a:lstStyle/>
                  <a:p>
                    <a:fld id="{78A3E6FA-FEBD-7848-862E-1038CF8B5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9549-4F47-A360-2834B9B1FC3C}"/>
                </c:ext>
              </c:extLst>
            </c:dLbl>
            <c:dLbl>
              <c:idx val="20"/>
              <c:layout>
                <c:manualLayout>
                  <c:x val="2.1534891810201549E-2"/>
                  <c:y val="2.001734963440136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678526FC-F536-3347-B066-372B353F29A5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7295581020320941"/>
                      <c:h val="2.81481718151114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9549-4F47-A360-2834B9B1FC3C}"/>
                </c:ext>
              </c:extLst>
            </c:dLbl>
            <c:dLbl>
              <c:idx val="21"/>
              <c:layout>
                <c:manualLayout>
                  <c:x val="2.2396033207360107E-2"/>
                  <c:y val="4.855854626036311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7ADB6D80-173E-9243-B0FC-5D90DB6B7B99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7907334444059514"/>
                      <c:h val="2.48046409789812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9549-4F47-A360-2834B9B1FC3C}"/>
                </c:ext>
              </c:extLst>
            </c:dLbl>
            <c:dLbl>
              <c:idx val="22"/>
              <c:layout>
                <c:manualLayout>
                  <c:x val="-0.25028133828273108"/>
                  <c:y val="5.4954217421775784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1C06CF16-9CC3-1D43-AC44-5A481F2FB5AB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1319221887667636"/>
                      <c:h val="2.56523741439027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9549-4F47-A360-2834B9B1FC3C}"/>
                </c:ext>
              </c:extLst>
            </c:dLbl>
            <c:dLbl>
              <c:idx val="23"/>
              <c:layout>
                <c:manualLayout>
                  <c:x val="-0.30629444096027442"/>
                  <c:y val="3.787510457536281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42DC01E4-DB8B-5A41-A19A-E5B461A9FAAE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21811263436797712"/>
                      <c:h val="2.146739546752143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9549-4F47-A360-2834B9B1FC3C}"/>
                </c:ext>
              </c:extLst>
            </c:dLbl>
            <c:dLbl>
              <c:idx val="24"/>
              <c:layout>
                <c:manualLayout>
                  <c:x val="-0.2248450658272973"/>
                  <c:y val="-5.1114306819432E-2"/>
                </c:manualLayout>
              </c:layout>
              <c:tx>
                <c:rich>
                  <a:bodyPr/>
                  <a:lstStyle/>
                  <a:p>
                    <a:fld id="{D58E4695-EC8A-9940-9B78-43E1E14B75C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9549-4F47-A360-2834B9B1FC3C}"/>
                </c:ext>
              </c:extLst>
            </c:dLbl>
            <c:dLbl>
              <c:idx val="25"/>
              <c:layout>
                <c:manualLayout>
                  <c:x val="2.2644198444798262E-2"/>
                  <c:y val="-4.7206580178513646E-2"/>
                </c:manualLayout>
              </c:layout>
              <c:tx>
                <c:rich>
                  <a:bodyPr/>
                  <a:lstStyle/>
                  <a:p>
                    <a:fld id="{0ED1880B-C6AA-1747-82C3-AB551FC32A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9549-4F47-A360-2834B9B1FC3C}"/>
                </c:ext>
              </c:extLst>
            </c:dLbl>
            <c:dLbl>
              <c:idx val="26"/>
              <c:layout>
                <c:manualLayout>
                  <c:x val="1.272470885520074E-2"/>
                  <c:y val="3.1591875013176264E-2"/>
                </c:manualLayout>
              </c:layout>
              <c:tx>
                <c:rich>
                  <a:bodyPr/>
                  <a:lstStyle/>
                  <a:p>
                    <a:fld id="{30BDCAEA-117F-1043-BCD4-BE2B13585F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9549-4F47-A360-2834B9B1FC3C}"/>
                </c:ext>
              </c:extLst>
            </c:dLbl>
            <c:dLbl>
              <c:idx val="27"/>
              <c:layout>
                <c:manualLayout>
                  <c:x val="1.0735699524184905E-2"/>
                  <c:y val="1.7717544580301999E-2"/>
                </c:manualLayout>
              </c:layout>
              <c:tx>
                <c:rich>
                  <a:bodyPr/>
                  <a:lstStyle/>
                  <a:p>
                    <a:fld id="{ED873F54-B8C0-BA4A-B672-81D5CB9B32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9549-4F47-A360-2834B9B1FC3C}"/>
                </c:ext>
              </c:extLst>
            </c:dLbl>
            <c:dLbl>
              <c:idx val="28"/>
              <c:layout>
                <c:manualLayout>
                  <c:x val="2.4211323963084664E-2"/>
                  <c:y val="2.1450239993547286E-2"/>
                </c:manualLayout>
              </c:layout>
              <c:tx>
                <c:rich>
                  <a:bodyPr/>
                  <a:lstStyle/>
                  <a:p>
                    <a:fld id="{1FD005BA-A4B3-F94B-BAC2-A333A557EA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9549-4F47-A360-2834B9B1FC3C}"/>
                </c:ext>
              </c:extLst>
            </c:dLbl>
            <c:dLbl>
              <c:idx val="29"/>
              <c:layout>
                <c:manualLayout>
                  <c:x val="1.8539319532276725E-2"/>
                  <c:y val="3.669292460470811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F5F09CEE-715F-D04C-B6D8-EDF6434EECAA}" type="CELLRANGE">
                      <a:rPr lang="en-US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  <c15:layout>
                    <c:manualLayout>
                      <c:w val="0.16677230366848086"/>
                      <c:h val="2.771738310207800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9549-4F47-A360-2834B9B1FC3C}"/>
                </c:ext>
              </c:extLst>
            </c:dLbl>
            <c:dLbl>
              <c:idx val="30"/>
              <c:layout>
                <c:manualLayout>
                  <c:x val="-0.23724584355628869"/>
                  <c:y val="2.9152639239173824E-2"/>
                </c:manualLayout>
              </c:layout>
              <c:tx>
                <c:rich>
                  <a:bodyPr/>
                  <a:lstStyle/>
                  <a:p>
                    <a:fld id="{EF759BFC-CFAD-804E-B1DB-AB3F457119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9549-4F47-A360-2834B9B1FC3C}"/>
                </c:ext>
              </c:extLst>
            </c:dLbl>
            <c:dLbl>
              <c:idx val="31"/>
              <c:layout>
                <c:manualLayout>
                  <c:x val="-0.18228868261116946"/>
                  <c:y val="-2.6466489592992522E-2"/>
                </c:manualLayout>
              </c:layout>
              <c:tx>
                <c:rich>
                  <a:bodyPr/>
                  <a:lstStyle/>
                  <a:p>
                    <a:fld id="{BEE733CD-CB2E-F148-A584-B906573184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9549-4F47-A360-2834B9B1FC3C}"/>
                </c:ext>
              </c:extLst>
            </c:dLbl>
            <c:dLbl>
              <c:idx val="32"/>
              <c:layout>
                <c:manualLayout>
                  <c:x val="1.2585390504448768E-2"/>
                  <c:y val="-2.6613739536059822E-2"/>
                </c:manualLayout>
              </c:layout>
              <c:tx>
                <c:rich>
                  <a:bodyPr/>
                  <a:lstStyle/>
                  <a:p>
                    <a:fld id="{1B33D004-F395-1C4D-831D-13F4D91543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9549-4F47-A360-2834B9B1FC3C}"/>
                </c:ext>
              </c:extLst>
            </c:dLbl>
            <c:dLbl>
              <c:idx val="33"/>
              <c:layout>
                <c:manualLayout>
                  <c:x val="2.1491813139290872E-2"/>
                  <c:y val="-1.4352252235400528E-2"/>
                </c:manualLayout>
              </c:layout>
              <c:tx>
                <c:rich>
                  <a:bodyPr/>
                  <a:lstStyle/>
                  <a:p>
                    <a:fld id="{9B287273-5D33-2242-AF49-513C3C19C8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9549-4F47-A360-2834B9B1FC3C}"/>
                </c:ext>
              </c:extLst>
            </c:dLbl>
            <c:dLbl>
              <c:idx val="34"/>
              <c:layout>
                <c:manualLayout>
                  <c:x val="2.193752282812125E-2"/>
                  <c:y val="-1.9877993991491504E-2"/>
                </c:manualLayout>
              </c:layout>
              <c:tx>
                <c:rich>
                  <a:bodyPr/>
                  <a:lstStyle/>
                  <a:p>
                    <a:fld id="{854FA401-F893-974C-A2AE-19AC5FB61E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9549-4F47-A360-2834B9B1F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DataLabelsRange val="1"/>
                <c15:showLeaderLines val="1"/>
                <c15:leaderLines>
                  <c:spPr>
                    <a:ln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xVal>
            <c:numRef>
              <c:f>'ENV BENEFIT - VIABILITY'!$Q$6:$Q$40</c:f>
              <c:numCache>
                <c:formatCode>0.00_);[Red]\(0.00\)</c:formatCode>
                <c:ptCount val="35"/>
                <c:pt idx="0">
                  <c:v>6.4564129696774604</c:v>
                </c:pt>
                <c:pt idx="1">
                  <c:v>6.4564129696774604</c:v>
                </c:pt>
                <c:pt idx="2">
                  <c:v>5.9229946526962189</c:v>
                </c:pt>
                <c:pt idx="3">
                  <c:v>5.9229946526962189</c:v>
                </c:pt>
                <c:pt idx="4">
                  <c:v>6.4564129696774604</c:v>
                </c:pt>
                <c:pt idx="5">
                  <c:v>5.9229946526962189</c:v>
                </c:pt>
                <c:pt idx="6">
                  <c:v>5.1573244107725538</c:v>
                </c:pt>
                <c:pt idx="7">
                  <c:v>5.6644612745055909</c:v>
                </c:pt>
                <c:pt idx="8">
                  <c:v>5.6644612745055909</c:v>
                </c:pt>
                <c:pt idx="9">
                  <c:v>5.6644612745055909</c:v>
                </c:pt>
                <c:pt idx="10">
                  <c:v>5.0324057714444468</c:v>
                </c:pt>
                <c:pt idx="11">
                  <c:v>5.0324057714444468</c:v>
                </c:pt>
                <c:pt idx="12">
                  <c:v>5.0324057714444468</c:v>
                </c:pt>
                <c:pt idx="13">
                  <c:v>4.0634886352785049</c:v>
                </c:pt>
                <c:pt idx="14">
                  <c:v>4.6416187925593118</c:v>
                </c:pt>
                <c:pt idx="15">
                  <c:v>4.6416187925593118</c:v>
                </c:pt>
                <c:pt idx="16">
                  <c:v>4.6416187925593118</c:v>
                </c:pt>
                <c:pt idx="17">
                  <c:v>3.5701615107224054</c:v>
                </c:pt>
                <c:pt idx="18">
                  <c:v>6.9115099761068723</c:v>
                </c:pt>
                <c:pt idx="19">
                  <c:v>7.0614140930624298</c:v>
                </c:pt>
                <c:pt idx="20">
                  <c:v>6.3987443242895949</c:v>
                </c:pt>
                <c:pt idx="21">
                  <c:v>6.3275327585670578</c:v>
                </c:pt>
                <c:pt idx="22">
                  <c:v>4.0691799137087621</c:v>
                </c:pt>
                <c:pt idx="23">
                  <c:v>5.3569084758757564</c:v>
                </c:pt>
                <c:pt idx="24">
                  <c:v>4.4517017699972996</c:v>
                </c:pt>
                <c:pt idx="25">
                  <c:v>4.5595088902105347</c:v>
                </c:pt>
                <c:pt idx="26">
                  <c:v>1.875</c:v>
                </c:pt>
                <c:pt idx="27">
                  <c:v>1.875</c:v>
                </c:pt>
                <c:pt idx="28">
                  <c:v>5.5918108327779743</c:v>
                </c:pt>
                <c:pt idx="29">
                  <c:v>5.5265436274993771</c:v>
                </c:pt>
                <c:pt idx="30">
                  <c:v>4.7928412757499066</c:v>
                </c:pt>
                <c:pt idx="31">
                  <c:v>4.4369154879333337</c:v>
                </c:pt>
                <c:pt idx="32">
                  <c:v>5.7988474361547517</c:v>
                </c:pt>
                <c:pt idx="33">
                  <c:v>5.0439174451725002</c:v>
                </c:pt>
                <c:pt idx="34">
                  <c:v>1.125</c:v>
                </c:pt>
              </c:numCache>
            </c:numRef>
          </c:xVal>
          <c:yVal>
            <c:numRef>
              <c:f>'ENV BENEFIT - VIABILITY'!$J$6:$J$40</c:f>
              <c:numCache>
                <c:formatCode>0.00_);[Red]\(0.00\)</c:formatCode>
                <c:ptCount val="35"/>
                <c:pt idx="0">
                  <c:v>0.80563688866828809</c:v>
                </c:pt>
                <c:pt idx="1">
                  <c:v>1.9991063788661707</c:v>
                </c:pt>
                <c:pt idx="2">
                  <c:v>0.60024009603841533</c:v>
                </c:pt>
                <c:pt idx="3">
                  <c:v>1.3285613592760246</c:v>
                </c:pt>
                <c:pt idx="4">
                  <c:v>1.720288238914085</c:v>
                </c:pt>
                <c:pt idx="5">
                  <c:v>1.0497432193239389</c:v>
                </c:pt>
                <c:pt idx="6">
                  <c:v>3.9605314766226165</c:v>
                </c:pt>
                <c:pt idx="7">
                  <c:v>0.98034727597458171</c:v>
                </c:pt>
                <c:pt idx="8">
                  <c:v>2.1278070741811952</c:v>
                </c:pt>
                <c:pt idx="9">
                  <c:v>2.0222207370429999</c:v>
                </c:pt>
                <c:pt idx="10">
                  <c:v>1.501256871113577</c:v>
                </c:pt>
                <c:pt idx="11">
                  <c:v>2.1622752772061435</c:v>
                </c:pt>
                <c:pt idx="12">
                  <c:v>2.0566889400679487</c:v>
                </c:pt>
                <c:pt idx="13">
                  <c:v>3.738335993613163</c:v>
                </c:pt>
                <c:pt idx="14">
                  <c:v>1.2552014041074917</c:v>
                </c:pt>
                <c:pt idx="15">
                  <c:v>2.4026612023141052</c:v>
                </c:pt>
                <c:pt idx="16">
                  <c:v>2.0128693855873143</c:v>
                </c:pt>
                <c:pt idx="17">
                  <c:v>3.6521916829124459</c:v>
                </c:pt>
                <c:pt idx="18">
                  <c:v>6.2465837701760929</c:v>
                </c:pt>
                <c:pt idx="19">
                  <c:v>6.3739072502605572</c:v>
                </c:pt>
                <c:pt idx="20">
                  <c:v>6.1581570490124005</c:v>
                </c:pt>
                <c:pt idx="21">
                  <c:v>6.1807927794271471</c:v>
                </c:pt>
                <c:pt idx="22">
                  <c:v>5.904110526950884</c:v>
                </c:pt>
                <c:pt idx="23">
                  <c:v>6.006646649575468</c:v>
                </c:pt>
                <c:pt idx="24">
                  <c:v>7.6057178974211785</c:v>
                </c:pt>
                <c:pt idx="25">
                  <c:v>7.7380673793407215</c:v>
                </c:pt>
                <c:pt idx="26">
                  <c:v>7.5204628341666666</c:v>
                </c:pt>
                <c:pt idx="27">
                  <c:v>7.766568191895094</c:v>
                </c:pt>
                <c:pt idx="28">
                  <c:v>5.5709132927381422</c:v>
                </c:pt>
                <c:pt idx="29">
                  <c:v>5.4549058279089229</c:v>
                </c:pt>
                <c:pt idx="30">
                  <c:v>6.6325265711286798</c:v>
                </c:pt>
                <c:pt idx="31">
                  <c:v>7.5993067304230948</c:v>
                </c:pt>
                <c:pt idx="32">
                  <c:v>6.5118824228895331</c:v>
                </c:pt>
                <c:pt idx="33">
                  <c:v>7.6015348929569502</c:v>
                </c:pt>
                <c:pt idx="34">
                  <c:v>4.149888444876364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'ENV BENEFIT - VIABILITY'!$A$6:$A$40</c15:f>
                <c15:dlblRangeCache>
                  <c:ptCount val="35"/>
                  <c:pt idx="0">
                    <c:v>LF*</c:v>
                  </c:pt>
                  <c:pt idx="1">
                    <c:v>LF_LFG*</c:v>
                  </c:pt>
                  <c:pt idx="2">
                    <c:v>TD-LF</c:v>
                  </c:pt>
                  <c:pt idx="3">
                    <c:v>TD-LF_LFG</c:v>
                  </c:pt>
                  <c:pt idx="4">
                    <c:v>LA*</c:v>
                  </c:pt>
                  <c:pt idx="5">
                    <c:v>TD-LA</c:v>
                  </c:pt>
                  <c:pt idx="6">
                    <c:v>TD-INC-LF*</c:v>
                  </c:pt>
                  <c:pt idx="7">
                    <c:v>AD-CHP-LF*</c:v>
                  </c:pt>
                  <c:pt idx="8">
                    <c:v>AD-CHP-LF_LFG*</c:v>
                  </c:pt>
                  <c:pt idx="9">
                    <c:v>AD-CHP-LA*</c:v>
                  </c:pt>
                  <c:pt idx="10">
                    <c:v>AD-CHP-TD-LF</c:v>
                  </c:pt>
                  <c:pt idx="11">
                    <c:v>AD-CHP-TD-LF_LFG</c:v>
                  </c:pt>
                  <c:pt idx="12">
                    <c:v>AD-CHP-TD-LA</c:v>
                  </c:pt>
                  <c:pt idx="13">
                    <c:v>AD-CHP-TD-INC-LF*</c:v>
                  </c:pt>
                  <c:pt idx="14">
                    <c:v>TH-AD-CHP-LF*</c:v>
                  </c:pt>
                  <c:pt idx="15">
                    <c:v>TH-AD-CHP-LF_LFG*</c:v>
                  </c:pt>
                  <c:pt idx="16">
                    <c:v>TH-AD-CHP-LA*</c:v>
                  </c:pt>
                  <c:pt idx="17">
                    <c:v>TH-AD-CHP-TD-INC-LF*</c:v>
                  </c:pt>
                  <c:pt idx="18">
                    <c:v>HTL-CAS_BC</c:v>
                  </c:pt>
                  <c:pt idx="19">
                    <c:v>HTL-CAS_FP</c:v>
                  </c:pt>
                  <c:pt idx="20">
                    <c:v>HTL-NH3-CAS_BC</c:v>
                  </c:pt>
                  <c:pt idx="21">
                    <c:v>HTL-NH3-CAS_FP</c:v>
                  </c:pt>
                  <c:pt idx="22">
                    <c:v>SupCrit HTL-CAS_BHO</c:v>
                  </c:pt>
                  <c:pt idx="23">
                    <c:v>SubCrit HTL-CAS_BHO</c:v>
                  </c:pt>
                  <c:pt idx="24">
                    <c:v>HTL-AD-CHP_BC</c:v>
                  </c:pt>
                  <c:pt idx="25">
                    <c:v>HTL-AD-Boiler_BC</c:v>
                  </c:pt>
                  <c:pt idx="26">
                    <c:v>HTL-CHG-CHP_BC</c:v>
                  </c:pt>
                  <c:pt idx="27">
                    <c:v>HTL-CHG-Boiler_BC</c:v>
                  </c:pt>
                  <c:pt idx="28">
                    <c:v>TD-AirGs-CHP</c:v>
                  </c:pt>
                  <c:pt idx="29">
                    <c:v>TD-StmGs-CHP</c:v>
                  </c:pt>
                  <c:pt idx="30">
                    <c:v>FD-Torr-Comb_BSF</c:v>
                  </c:pt>
                  <c:pt idx="31">
                    <c:v>FD-Torr_BSF</c:v>
                  </c:pt>
                  <c:pt idx="32">
                    <c:v>TE-PBR-TD-MWPy</c:v>
                  </c:pt>
                  <c:pt idx="33">
                    <c:v>TD-Py</c:v>
                  </c:pt>
                  <c:pt idx="34">
                    <c:v>HTC-AD-CHP-LA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7-9549-4F47-A360-2834B9B1F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783055"/>
        <c:axId val="1172990191"/>
      </c:scatterChart>
      <c:valAx>
        <c:axId val="1147783055"/>
        <c:scaling>
          <c:orientation val="minMax"/>
          <c:max val="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Commercial Benefit</a:t>
                </a:r>
              </a:p>
            </c:rich>
          </c:tx>
          <c:layout>
            <c:manualLayout>
              <c:xMode val="edge"/>
              <c:yMode val="edge"/>
              <c:x val="0.35606819269601614"/>
              <c:y val="0.919921836117790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none" w="lg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2990191"/>
        <c:crosses val="autoZero"/>
        <c:crossBetween val="midCat"/>
        <c:majorUnit val="1"/>
      </c:valAx>
      <c:valAx>
        <c:axId val="1172990191"/>
        <c:scaling>
          <c:orientation val="minMax"/>
          <c:max val="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Environmental Benefit</a:t>
                </a:r>
                <a:endParaRPr lang="en-US" sz="16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3.7314285381870607E-2"/>
              <c:y val="0.312636406976074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none"/>
        <c:minorTickMark val="none"/>
        <c:tickLblPos val="nextTo"/>
        <c:txPr>
          <a:bodyPr/>
          <a:lstStyle/>
          <a:p>
            <a:pPr>
              <a:defRPr sz="20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1477830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VIABILITY'!$D$4:$E$4</c:f>
              <c:strCache>
                <c:ptCount val="1"/>
                <c:pt idx="0">
                  <c:v>Remaining wet-weight of final residues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VIABILITY'!$D$6:$D$39</c:f>
              <c:numCache>
                <c:formatCode>0.00</c:formatCode>
                <c:ptCount val="34"/>
                <c:pt idx="0">
                  <c:v>5.0000000000000009</c:v>
                </c:pt>
                <c:pt idx="1">
                  <c:v>5.0000000000000009</c:v>
                </c:pt>
                <c:pt idx="2">
                  <c:v>2</c:v>
                </c:pt>
                <c:pt idx="3">
                  <c:v>2</c:v>
                </c:pt>
                <c:pt idx="4">
                  <c:v>5.0000000000000009</c:v>
                </c:pt>
                <c:pt idx="5">
                  <c:v>2</c:v>
                </c:pt>
                <c:pt idx="6">
                  <c:v>0.10526315789473684</c:v>
                </c:pt>
                <c:pt idx="7">
                  <c:v>3.4000000000000004</c:v>
                </c:pt>
                <c:pt idx="8">
                  <c:v>3.4000000000000004</c:v>
                </c:pt>
                <c:pt idx="9">
                  <c:v>3.4000000000000004</c:v>
                </c:pt>
                <c:pt idx="10">
                  <c:v>1.3599999999999999</c:v>
                </c:pt>
                <c:pt idx="11">
                  <c:v>1.3599999999999999</c:v>
                </c:pt>
                <c:pt idx="12">
                  <c:v>1.3599999999999999</c:v>
                </c:pt>
                <c:pt idx="13">
                  <c:v>0.10526315789473684</c:v>
                </c:pt>
                <c:pt idx="14">
                  <c:v>3.4000000000000004</c:v>
                </c:pt>
                <c:pt idx="15">
                  <c:v>3.4000000000000004</c:v>
                </c:pt>
                <c:pt idx="16">
                  <c:v>3.4000000000000004</c:v>
                </c:pt>
                <c:pt idx="17">
                  <c:v>0.10526315789473684</c:v>
                </c:pt>
                <c:pt idx="18">
                  <c:v>0.25499999999999995</c:v>
                </c:pt>
                <c:pt idx="19">
                  <c:v>0.25499999999999995</c:v>
                </c:pt>
                <c:pt idx="20">
                  <c:v>0.255</c:v>
                </c:pt>
                <c:pt idx="21">
                  <c:v>0.255</c:v>
                </c:pt>
                <c:pt idx="22">
                  <c:v>0.35</c:v>
                </c:pt>
                <c:pt idx="23">
                  <c:v>0.35</c:v>
                </c:pt>
                <c:pt idx="24">
                  <c:v>0.12554999999999999</c:v>
                </c:pt>
                <c:pt idx="25">
                  <c:v>0.12554999999999999</c:v>
                </c:pt>
                <c:pt idx="26">
                  <c:v>0.12554999999999999</c:v>
                </c:pt>
                <c:pt idx="27">
                  <c:v>0.12554999999999999</c:v>
                </c:pt>
                <c:pt idx="28">
                  <c:v>0.05</c:v>
                </c:pt>
                <c:pt idx="29">
                  <c:v>0.08</c:v>
                </c:pt>
                <c:pt idx="30">
                  <c:v>5.066666666666662E-3</c:v>
                </c:pt>
                <c:pt idx="31">
                  <c:v>5.066666666666662E-3</c:v>
                </c:pt>
                <c:pt idx="32">
                  <c:v>1.1642264150943395E-3</c:v>
                </c:pt>
                <c:pt idx="3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6-AB44-8875-6695A718E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'ENV BENEFIT - VIABILITY'!$F$4:$G$4</c:f>
              <c:strCache>
                <c:ptCount val="1"/>
                <c:pt idx="0">
                  <c:v>Net lifecycle energy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'ENV BENEFIT - VIABILITY'!$A$6:$A$39</c:f>
              <c:strCache>
                <c:ptCount val="34"/>
                <c:pt idx="0">
                  <c:v>LF*</c:v>
                </c:pt>
                <c:pt idx="1">
                  <c:v>LF_LFG*</c:v>
                </c:pt>
                <c:pt idx="2">
                  <c:v>TD-LF</c:v>
                </c:pt>
                <c:pt idx="3">
                  <c:v>TD-LF_LFG</c:v>
                </c:pt>
                <c:pt idx="4">
                  <c:v>LA*</c:v>
                </c:pt>
                <c:pt idx="5">
                  <c:v>TD-LA</c:v>
                </c:pt>
                <c:pt idx="6">
                  <c:v>TD-INC-LF*</c:v>
                </c:pt>
                <c:pt idx="7">
                  <c:v>AD-CHP-LF*</c:v>
                </c:pt>
                <c:pt idx="8">
                  <c:v>AD-CHP-LF_LFG*</c:v>
                </c:pt>
                <c:pt idx="9">
                  <c:v>AD-CHP-LA*</c:v>
                </c:pt>
                <c:pt idx="10">
                  <c:v>AD-CHP-TD-LF</c:v>
                </c:pt>
                <c:pt idx="11">
                  <c:v>AD-CHP-TD-LF_LFG</c:v>
                </c:pt>
                <c:pt idx="12">
                  <c:v>AD-CHP-TD-LA</c:v>
                </c:pt>
                <c:pt idx="13">
                  <c:v>AD-CHP-TD-INC-LF*</c:v>
                </c:pt>
                <c:pt idx="14">
                  <c:v>TH-AD-CHP-LF*</c:v>
                </c:pt>
                <c:pt idx="15">
                  <c:v>TH-AD-CHP-LF_LFG*</c:v>
                </c:pt>
                <c:pt idx="16">
                  <c:v>TH-AD-CHP-LA*</c:v>
                </c:pt>
                <c:pt idx="17">
                  <c:v>TH-AD-CHP-TD-INC-LF*</c:v>
                </c:pt>
                <c:pt idx="18">
                  <c:v>HTL-CAS_BC</c:v>
                </c:pt>
                <c:pt idx="19">
                  <c:v>HTL-CAS_FP</c:v>
                </c:pt>
                <c:pt idx="20">
                  <c:v>HTL-NH3-CAS_BC</c:v>
                </c:pt>
                <c:pt idx="21">
                  <c:v>HTL-NH3-CAS_FP</c:v>
                </c:pt>
                <c:pt idx="22">
                  <c:v>SupCrit HTL-CAS_BHO</c:v>
                </c:pt>
                <c:pt idx="23">
                  <c:v>SubCrit HTL-CAS_BHO</c:v>
                </c:pt>
                <c:pt idx="24">
                  <c:v>HTL-AD-CHP_BC</c:v>
                </c:pt>
                <c:pt idx="25">
                  <c:v>HTL-AD-Boiler_BC</c:v>
                </c:pt>
                <c:pt idx="26">
                  <c:v>HTL-CHG-CHP_BC</c:v>
                </c:pt>
                <c:pt idx="27">
                  <c:v>HTL-CHG-Boiler_BC</c:v>
                </c:pt>
                <c:pt idx="28">
                  <c:v>TD-AirGs-CHP</c:v>
                </c:pt>
                <c:pt idx="29">
                  <c:v>TD-StmGs-CHP</c:v>
                </c:pt>
                <c:pt idx="30">
                  <c:v>FD-Torr-Comb_BSF</c:v>
                </c:pt>
                <c:pt idx="31">
                  <c:v>FD-Torr_BSF</c:v>
                </c:pt>
                <c:pt idx="32">
                  <c:v>TE-PBR-TD-MWPy</c:v>
                </c:pt>
                <c:pt idx="33">
                  <c:v>TD-Py</c:v>
                </c:pt>
              </c:strCache>
            </c:strRef>
          </c:cat>
          <c:val>
            <c:numRef>
              <c:f>'ENV BENEFIT - VIABILITY'!$F$6:$F$39</c:f>
              <c:numCache>
                <c:formatCode>0</c:formatCode>
                <c:ptCount val="34"/>
                <c:pt idx="0">
                  <c:v>-876.22873089752466</c:v>
                </c:pt>
                <c:pt idx="1">
                  <c:v>423.39322146513121</c:v>
                </c:pt>
                <c:pt idx="2">
                  <c:v>-3035.7933764199024</c:v>
                </c:pt>
                <c:pt idx="3">
                  <c:v>-1736.1714240572464</c:v>
                </c:pt>
                <c:pt idx="4">
                  <c:v>-876.22873089752466</c:v>
                </c:pt>
                <c:pt idx="5">
                  <c:v>-3035.7933764199024</c:v>
                </c:pt>
                <c:pt idx="6">
                  <c:v>-125.50760394481404</c:v>
                </c:pt>
                <c:pt idx="7">
                  <c:v>-407.9056179180966</c:v>
                </c:pt>
                <c:pt idx="8">
                  <c:v>122.34013864586709</c:v>
                </c:pt>
                <c:pt idx="9">
                  <c:v>-407.9056179180966</c:v>
                </c:pt>
                <c:pt idx="10">
                  <c:v>-2680.0566356968429</c:v>
                </c:pt>
                <c:pt idx="11">
                  <c:v>-2149.8108791328791</c:v>
                </c:pt>
                <c:pt idx="12">
                  <c:v>-2680.0566356968429</c:v>
                </c:pt>
                <c:pt idx="13">
                  <c:v>-721.11775567851259</c:v>
                </c:pt>
                <c:pt idx="14">
                  <c:v>66.873892640231304</c:v>
                </c:pt>
                <c:pt idx="15">
                  <c:v>597.11964920419473</c:v>
                </c:pt>
                <c:pt idx="16">
                  <c:v>-419.14198971270991</c:v>
                </c:pt>
                <c:pt idx="17">
                  <c:v>-952.03345780044128</c:v>
                </c:pt>
                <c:pt idx="18">
                  <c:v>2541.5488337152001</c:v>
                </c:pt>
                <c:pt idx="19">
                  <c:v>2477.5135236852966</c:v>
                </c:pt>
                <c:pt idx="20">
                  <c:v>2391.063738876871</c:v>
                </c:pt>
                <c:pt idx="21">
                  <c:v>2141.6675262653916</c:v>
                </c:pt>
                <c:pt idx="22">
                  <c:v>2180.5756252623123</c:v>
                </c:pt>
                <c:pt idx="23">
                  <c:v>2379.4434302565546</c:v>
                </c:pt>
                <c:pt idx="24">
                  <c:v>4732.5367416930867</c:v>
                </c:pt>
                <c:pt idx="25">
                  <c:v>4956.5350919423663</c:v>
                </c:pt>
                <c:pt idx="26">
                  <c:v>4590.596688203861</c:v>
                </c:pt>
                <c:pt idx="27">
                  <c:v>5005.9113018208964</c:v>
                </c:pt>
                <c:pt idx="28">
                  <c:v>630.27925417206779</c:v>
                </c:pt>
                <c:pt idx="29">
                  <c:v>490.94171156331123</c:v>
                </c:pt>
                <c:pt idx="30">
                  <c:v>1423.9941869153611</c:v>
                </c:pt>
                <c:pt idx="31">
                  <c:v>1264.343836414836</c:v>
                </c:pt>
                <c:pt idx="32">
                  <c:v>2301.7802064793473</c:v>
                </c:pt>
                <c:pt idx="33">
                  <c:v>3601.8121907506902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25-D540-8820-F9C24128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405152"/>
        <c:axId val="1800415968"/>
      </c:barChart>
      <c:catAx>
        <c:axId val="18004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15968"/>
        <c:crosses val="autoZero"/>
        <c:auto val="1"/>
        <c:lblAlgn val="ctr"/>
        <c:lblOffset val="100"/>
        <c:noMultiLvlLbl val="0"/>
      </c:catAx>
      <c:valAx>
        <c:axId val="18004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4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14286</xdr:colOff>
      <xdr:row>0</xdr:row>
      <xdr:rowOff>195262</xdr:rowOff>
    </xdr:from>
    <xdr:to>
      <xdr:col>24</xdr:col>
      <xdr:colOff>647699</xdr:colOff>
      <xdr:row>24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25</xdr:row>
      <xdr:rowOff>0</xdr:rowOff>
    </xdr:from>
    <xdr:to>
      <xdr:col>24</xdr:col>
      <xdr:colOff>633413</xdr:colOff>
      <xdr:row>48</xdr:row>
      <xdr:rowOff>33339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49</xdr:row>
      <xdr:rowOff>0</xdr:rowOff>
    </xdr:from>
    <xdr:to>
      <xdr:col>24</xdr:col>
      <xdr:colOff>633413</xdr:colOff>
      <xdr:row>72</xdr:row>
      <xdr:rowOff>33339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24</xdr:col>
      <xdr:colOff>633413</xdr:colOff>
      <xdr:row>96</xdr:row>
      <xdr:rowOff>33339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97</xdr:row>
      <xdr:rowOff>0</xdr:rowOff>
    </xdr:from>
    <xdr:to>
      <xdr:col>24</xdr:col>
      <xdr:colOff>633413</xdr:colOff>
      <xdr:row>120</xdr:row>
      <xdr:rowOff>33339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121</xdr:row>
      <xdr:rowOff>0</xdr:rowOff>
    </xdr:from>
    <xdr:to>
      <xdr:col>24</xdr:col>
      <xdr:colOff>633413</xdr:colOff>
      <xdr:row>144</xdr:row>
      <xdr:rowOff>33339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13</xdr:col>
      <xdr:colOff>2199</xdr:colOff>
      <xdr:row>38</xdr:row>
      <xdr:rowOff>116840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14286</xdr:colOff>
      <xdr:row>0</xdr:row>
      <xdr:rowOff>195262</xdr:rowOff>
    </xdr:from>
    <xdr:to>
      <xdr:col>24</xdr:col>
      <xdr:colOff>647699</xdr:colOff>
      <xdr:row>24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25</xdr:row>
      <xdr:rowOff>0</xdr:rowOff>
    </xdr:from>
    <xdr:to>
      <xdr:col>24</xdr:col>
      <xdr:colOff>633413</xdr:colOff>
      <xdr:row>48</xdr:row>
      <xdr:rowOff>33339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49</xdr:row>
      <xdr:rowOff>0</xdr:rowOff>
    </xdr:from>
    <xdr:to>
      <xdr:col>24</xdr:col>
      <xdr:colOff>633413</xdr:colOff>
      <xdr:row>72</xdr:row>
      <xdr:rowOff>33339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24</xdr:col>
      <xdr:colOff>633413</xdr:colOff>
      <xdr:row>96</xdr:row>
      <xdr:rowOff>33339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97</xdr:row>
      <xdr:rowOff>0</xdr:rowOff>
    </xdr:from>
    <xdr:to>
      <xdr:col>24</xdr:col>
      <xdr:colOff>633413</xdr:colOff>
      <xdr:row>120</xdr:row>
      <xdr:rowOff>33339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121</xdr:row>
      <xdr:rowOff>0</xdr:rowOff>
    </xdr:from>
    <xdr:to>
      <xdr:col>24</xdr:col>
      <xdr:colOff>633413</xdr:colOff>
      <xdr:row>144</xdr:row>
      <xdr:rowOff>33339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13</xdr:col>
      <xdr:colOff>1222</xdr:colOff>
      <xdr:row>38</xdr:row>
      <xdr:rowOff>118437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88900</xdr:colOff>
      <xdr:row>32</xdr:row>
      <xdr:rowOff>133350</xdr:rowOff>
    </xdr:from>
    <xdr:to>
      <xdr:col>36</xdr:col>
      <xdr:colOff>201242</xdr:colOff>
      <xdr:row>45</xdr:row>
      <xdr:rowOff>157935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5C59B-3097-9347-9DFA-289ECDD1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60900" y="4248150"/>
          <a:ext cx="5014542" cy="267888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40</xdr:row>
      <xdr:rowOff>0</xdr:rowOff>
    </xdr:from>
    <xdr:to>
      <xdr:col>26</xdr:col>
      <xdr:colOff>595376</xdr:colOff>
      <xdr:row>69</xdr:row>
      <xdr:rowOff>23368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C32B11B-9C7F-4A46-AE34-D2B24A79C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ARCHIVE/2023.03.06%20-%20Backup/2023.02.26%20-%20Clack_Bioresource%20TEA-LCA-SI_R7.xlsx?9B283D8D" TargetMode="External"/><Relationship Id="rId1" Type="http://schemas.openxmlformats.org/officeDocument/2006/relationships/externalLinkPath" Target="file:///9B283D8D/2023.02.26%20-%20Clack_Bioresource%20TEA-LCA-SI_R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"/>
      <sheetName val="Energy Balance"/>
      <sheetName val="GWP"/>
      <sheetName val="Commercial Viability"/>
      <sheetName val="ENV BENEFIT - VIABILITY"/>
      <sheetName val="ENV-Com"/>
      <sheetName val="ENV-TRL"/>
      <sheetName val="CO2e v NPV"/>
      <sheetName val="CO2e v NPV (2)"/>
      <sheetName val="CORREL (2)"/>
      <sheetName val="ENV BENEFIT - VIABILITY w CC"/>
      <sheetName val="ENV-Com w CC"/>
      <sheetName val="Rejected Papers"/>
      <sheetName val="Paper Spec. Calcs_OLD"/>
      <sheetName val="TCI_"/>
      <sheetName val="EROI_Electricity"/>
      <sheetName val="EF_disp,crude"/>
      <sheetName val="EF_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A7" t="str">
            <v>TD-LF</v>
          </cell>
          <cell r="B7">
            <v>6.2327909764973297</v>
          </cell>
          <cell r="C7">
            <v>6.2327909764973297</v>
          </cell>
          <cell r="D7">
            <v>6.2327909764973297</v>
          </cell>
          <cell r="E7">
            <v>6.2327909764973297</v>
          </cell>
          <cell r="F7">
            <v>6.2327909764973297</v>
          </cell>
          <cell r="K7">
            <v>-107.03470484366397</v>
          </cell>
          <cell r="L7">
            <v>-311.63954882486649</v>
          </cell>
          <cell r="M7">
            <v>-599.76517812631926</v>
          </cell>
          <cell r="N7">
            <v>-19792250.878168534</v>
          </cell>
          <cell r="O7">
            <v>-194.58908900873521</v>
          </cell>
          <cell r="P7">
            <v>-623.27909764973299</v>
          </cell>
          <cell r="Q7">
            <v>-911.40472695118569</v>
          </cell>
          <cell r="R7">
            <v>-30076355.989389129</v>
          </cell>
          <cell r="S7">
            <v>-282.14347317380651</v>
          </cell>
          <cell r="T7">
            <v>-934.91864647459943</v>
          </cell>
          <cell r="U7">
            <v>-1223.0442757760522</v>
          </cell>
          <cell r="V7">
            <v>-40360461.100609727</v>
          </cell>
          <cell r="W7">
            <v>-369.69785733887778</v>
          </cell>
        </row>
        <row r="8">
          <cell r="A8" t="str">
            <v>TD-LF_LFG</v>
          </cell>
          <cell r="B8">
            <v>1.7264252805371516</v>
          </cell>
          <cell r="C8">
            <v>1.7264252805371516</v>
          </cell>
          <cell r="D8">
            <v>1.7264252805371516</v>
          </cell>
          <cell r="E8">
            <v>1.7264252805371516</v>
          </cell>
          <cell r="F8">
            <v>1.7264252805371516</v>
          </cell>
          <cell r="K8">
            <v>-107.03470484366397</v>
          </cell>
          <cell r="L8">
            <v>-86.321264026857577</v>
          </cell>
          <cell r="M8">
            <v>-374.44689332831035</v>
          </cell>
          <cell r="N8">
            <v>-12356747.479834242</v>
          </cell>
          <cell r="O8">
            <v>-131.28645703853488</v>
          </cell>
          <cell r="P8">
            <v>-172.64252805371515</v>
          </cell>
          <cell r="Q8">
            <v>-460.76815735516789</v>
          </cell>
          <cell r="R8">
            <v>-15205349.19272054</v>
          </cell>
          <cell r="S8">
            <v>-155.53820923340578</v>
          </cell>
          <cell r="T8">
            <v>-258.96379208057272</v>
          </cell>
          <cell r="U8">
            <v>-547.08942138202542</v>
          </cell>
          <cell r="V8">
            <v>-18053950.90560684</v>
          </cell>
          <cell r="W8">
            <v>-179.78996142827668</v>
          </cell>
        </row>
        <row r="10">
          <cell r="A10" t="str">
            <v>TD-LA</v>
          </cell>
          <cell r="B10">
            <v>1.3275681193544724</v>
          </cell>
          <cell r="C10">
            <v>1.3275681193544724</v>
          </cell>
          <cell r="D10">
            <v>1.3275681193544724</v>
          </cell>
          <cell r="E10">
            <v>1.3275681193544724</v>
          </cell>
          <cell r="F10">
            <v>1.3275681193544724</v>
          </cell>
          <cell r="K10">
            <v>-107.03470484366397</v>
          </cell>
          <cell r="L10">
            <v>-66.378405967723623</v>
          </cell>
          <cell r="M10">
            <v>-354.50403526917637</v>
          </cell>
          <cell r="N10">
            <v>-11698633.16388282</v>
          </cell>
          <cell r="O10">
            <v>-125.68355887479711</v>
          </cell>
          <cell r="P10">
            <v>-132.75681193544725</v>
          </cell>
          <cell r="Q10">
            <v>-420.88244123690004</v>
          </cell>
          <cell r="R10">
            <v>-13889120.560817702</v>
          </cell>
          <cell r="S10">
            <v>-144.33241290593031</v>
          </cell>
          <cell r="T10">
            <v>-199.13521790317085</v>
          </cell>
          <cell r="U10">
            <v>-487.26084720462359</v>
          </cell>
          <cell r="V10">
            <v>-16079607.957752578</v>
          </cell>
          <cell r="W10">
            <v>-162.98126693706345</v>
          </cell>
        </row>
        <row r="11">
          <cell r="A11" t="str">
            <v>TD-INC-LF</v>
          </cell>
          <cell r="B11">
            <v>7.3620091573362485</v>
          </cell>
          <cell r="C11">
            <v>7.3620091573362485</v>
          </cell>
          <cell r="D11">
            <v>7.3620091573362485</v>
          </cell>
          <cell r="E11">
            <v>7.3620091573362485</v>
          </cell>
          <cell r="F11">
            <v>7.3620091573362485</v>
          </cell>
          <cell r="K11">
            <v>-130.99087896070921</v>
          </cell>
          <cell r="L11">
            <v>-368.10045786681241</v>
          </cell>
          <cell r="M11">
            <v>-634.07844888267823</v>
          </cell>
          <cell r="N11">
            <v>-20924588.813128382</v>
          </cell>
          <cell r="O11">
            <v>-234.40782017031574</v>
          </cell>
          <cell r="P11">
            <v>-736.20091573362481</v>
          </cell>
          <cell r="Q11">
            <v>-1002.1789067494907</v>
          </cell>
          <cell r="R11">
            <v>-33071903.922733191</v>
          </cell>
          <cell r="S11">
            <v>-337.82476137992228</v>
          </cell>
          <cell r="T11">
            <v>-1104.3013736004373</v>
          </cell>
          <cell r="U11">
            <v>-1370.2793646163032</v>
          </cell>
          <cell r="V11">
            <v>-45219219.032338001</v>
          </cell>
          <cell r="W11">
            <v>-441.24170258952881</v>
          </cell>
        </row>
        <row r="15">
          <cell r="A15" t="str">
            <v>AD-CHP-TD-LF</v>
          </cell>
          <cell r="B15">
            <v>3.0017023285956639</v>
          </cell>
          <cell r="C15">
            <v>3.0017023285956639</v>
          </cell>
          <cell r="D15">
            <v>3.0017023285956639</v>
          </cell>
          <cell r="E15">
            <v>3.0017023285956639</v>
          </cell>
          <cell r="F15">
            <v>3.0017023285956639</v>
          </cell>
          <cell r="K15">
            <v>-122.04780697690407</v>
          </cell>
          <cell r="L15">
            <v>-150.0851164297832</v>
          </cell>
          <cell r="M15">
            <v>-356.92193015477108</v>
          </cell>
          <cell r="N15">
            <v>-11778423.695107445</v>
          </cell>
          <cell r="O15">
            <v>-164.21386064661135</v>
          </cell>
          <cell r="P15">
            <v>-300.1702328595664</v>
          </cell>
          <cell r="Q15">
            <v>-507.00704658455425</v>
          </cell>
          <cell r="R15">
            <v>-16731232.53729029</v>
          </cell>
          <cell r="S15">
            <v>-206.37991431631866</v>
          </cell>
          <cell r="T15">
            <v>-450.25534928934957</v>
          </cell>
          <cell r="U15">
            <v>-657.09216301433742</v>
          </cell>
          <cell r="V15">
            <v>-21684041.379473135</v>
          </cell>
          <cell r="W15">
            <v>-248.54596798602594</v>
          </cell>
        </row>
        <row r="16">
          <cell r="A16" t="str">
            <v>AD-CHP-TD-LF_LFG</v>
          </cell>
          <cell r="B16">
            <v>1.1631051246439115</v>
          </cell>
          <cell r="C16">
            <v>1.1631051246439115</v>
          </cell>
          <cell r="D16">
            <v>1.1631051246439115</v>
          </cell>
          <cell r="E16">
            <v>1.1631051246439115</v>
          </cell>
          <cell r="F16">
            <v>1.1631051246439115</v>
          </cell>
          <cell r="K16">
            <v>-122.04780697690407</v>
          </cell>
          <cell r="L16">
            <v>-58.155256232195576</v>
          </cell>
          <cell r="M16">
            <v>-264.99206995718345</v>
          </cell>
          <cell r="N16">
            <v>-8744738.3085870538</v>
          </cell>
          <cell r="O16">
            <v>-138.38638680276961</v>
          </cell>
          <cell r="P16">
            <v>-116.31051246439115</v>
          </cell>
          <cell r="Q16">
            <v>-323.14732618937899</v>
          </cell>
          <cell r="R16">
            <v>-10663861.764249507</v>
          </cell>
          <cell r="S16">
            <v>-154.72496662863517</v>
          </cell>
          <cell r="T16">
            <v>-174.46576869658671</v>
          </cell>
          <cell r="U16">
            <v>-381.30258242157458</v>
          </cell>
          <cell r="V16">
            <v>-12582985.219911961</v>
          </cell>
          <cell r="W16">
            <v>-171.06354645450074</v>
          </cell>
        </row>
        <row r="17">
          <cell r="A17" t="str">
            <v>AD-CHP-TD-LA</v>
          </cell>
          <cell r="B17">
            <v>0.98455078573852139</v>
          </cell>
          <cell r="C17">
            <v>0.98455078573852139</v>
          </cell>
          <cell r="D17">
            <v>0.98455078573852139</v>
          </cell>
          <cell r="E17">
            <v>0.98455078573852139</v>
          </cell>
          <cell r="F17">
            <v>0.98455078573852139</v>
          </cell>
          <cell r="K17">
            <v>-122.04780697690407</v>
          </cell>
          <cell r="L17">
            <v>-49.227539286926067</v>
          </cell>
          <cell r="M17">
            <v>-256.06435301191391</v>
          </cell>
          <cell r="N17">
            <v>-8450123.6493931599</v>
          </cell>
          <cell r="O17">
            <v>-135.87816612894744</v>
          </cell>
          <cell r="P17">
            <v>-98.455078573852134</v>
          </cell>
          <cell r="Q17">
            <v>-305.29189229883997</v>
          </cell>
          <cell r="R17">
            <v>-10074632.44586172</v>
          </cell>
          <cell r="S17">
            <v>-149.70852528099084</v>
          </cell>
          <cell r="T17">
            <v>-147.68261786077821</v>
          </cell>
          <cell r="U17">
            <v>-354.51943158576603</v>
          </cell>
          <cell r="V17">
            <v>-11699141.242330279</v>
          </cell>
          <cell r="W17">
            <v>-163.53888443303421</v>
          </cell>
        </row>
        <row r="22">
          <cell r="A22" t="str">
            <v>TH-AD-CHP-TD-INC-LF</v>
          </cell>
          <cell r="B22">
            <v>5.1364246103664479</v>
          </cell>
          <cell r="C22">
            <v>5.1364246103664479</v>
          </cell>
          <cell r="D22">
            <v>5.1364246103664479</v>
          </cell>
          <cell r="E22">
            <v>5.1364246103664479</v>
          </cell>
          <cell r="F22">
            <v>5.1364246103664479</v>
          </cell>
          <cell r="K22">
            <v>-169.86305149380422</v>
          </cell>
          <cell r="L22">
            <v>-256.82123051832241</v>
          </cell>
          <cell r="M22">
            <v>-533.7164619841883</v>
          </cell>
          <cell r="N22">
            <v>-17612643.245478213</v>
          </cell>
          <cell r="O22">
            <v>-242.01636054375405</v>
          </cell>
          <cell r="P22">
            <v>-513.64246103664482</v>
          </cell>
          <cell r="Q22">
            <v>-790.53769250251071</v>
          </cell>
          <cell r="R22">
            <v>-26087743.852582853</v>
          </cell>
          <cell r="S22">
            <v>-314.16966959370387</v>
          </cell>
          <cell r="T22">
            <v>-770.46369155496723</v>
          </cell>
          <cell r="U22">
            <v>-1047.3589230208331</v>
          </cell>
          <cell r="V22">
            <v>-34562844.459687494</v>
          </cell>
          <cell r="W22">
            <v>-386.32297864365376</v>
          </cell>
        </row>
        <row r="23">
          <cell r="A23" t="str">
            <v>HTL-CAS_BC</v>
          </cell>
          <cell r="B23">
            <v>-0.64984045146280833</v>
          </cell>
          <cell r="C23">
            <v>-0.64984045146280833</v>
          </cell>
          <cell r="D23">
            <v>-0.64984045146280833</v>
          </cell>
          <cell r="E23">
            <v>-0.64984045146280833</v>
          </cell>
          <cell r="F23">
            <v>-0.64984045146280833</v>
          </cell>
          <cell r="K23">
            <v>-31.759815543978014</v>
          </cell>
          <cell r="L23">
            <v>32.492022573140417</v>
          </cell>
          <cell r="M23">
            <v>-10.644406808228752</v>
          </cell>
          <cell r="N23">
            <v>-351265.42467154883</v>
          </cell>
          <cell r="O23">
            <v>-22.63125969348928</v>
          </cell>
          <cell r="P23">
            <v>64.984045146280835</v>
          </cell>
          <cell r="Q23">
            <v>21.847615764911666</v>
          </cell>
          <cell r="R23">
            <v>720971.32024208503</v>
          </cell>
          <cell r="S23">
            <v>-13.502703843000548</v>
          </cell>
          <cell r="T23">
            <v>97.476067719421252</v>
          </cell>
          <cell r="U23">
            <v>54.339638338052083</v>
          </cell>
          <cell r="V23">
            <v>1793208.0651557187</v>
          </cell>
          <cell r="W23">
            <v>-4.3741479925118183</v>
          </cell>
          <cell r="X23">
            <v>129.96809029256167</v>
          </cell>
          <cell r="Y23">
            <v>86.8316609111925</v>
          </cell>
          <cell r="Z23">
            <v>2865444.8100693524</v>
          </cell>
          <cell r="AA23">
            <v>4.7544078579769131</v>
          </cell>
        </row>
        <row r="25">
          <cell r="A25" t="str">
            <v>HTL-NH3-CAS_BC</v>
          </cell>
          <cell r="B25">
            <v>-0.58732929161037228</v>
          </cell>
          <cell r="C25">
            <v>-0.58732929161037228</v>
          </cell>
          <cell r="D25">
            <v>-0.58732929161037228</v>
          </cell>
          <cell r="E25">
            <v>-0.58732929161037228</v>
          </cell>
          <cell r="F25">
            <v>-0.58732929161037228</v>
          </cell>
          <cell r="K25">
            <v>-36.345985536925262</v>
          </cell>
          <cell r="L25">
            <v>29.366464580518613</v>
          </cell>
          <cell r="M25">
            <v>-13.68485679915015</v>
          </cell>
          <cell r="N25">
            <v>-451600.27437195496</v>
          </cell>
          <cell r="O25">
            <v>-28.095547711726084</v>
          </cell>
          <cell r="P25">
            <v>58.732929161037227</v>
          </cell>
          <cell r="Q25">
            <v>15.681607781368463</v>
          </cell>
          <cell r="R25">
            <v>517493.05678515928</v>
          </cell>
          <cell r="S25">
            <v>-19.845109886526906</v>
          </cell>
          <cell r="T25">
            <v>88.099393741555843</v>
          </cell>
          <cell r="U25">
            <v>45.04807236188708</v>
          </cell>
          <cell r="V25">
            <v>1486586.3879422736</v>
          </cell>
          <cell r="W25">
            <v>-11.594672061327724</v>
          </cell>
        </row>
        <row r="26">
          <cell r="A26" t="str">
            <v>HTL-NH3-CAS_FP</v>
          </cell>
          <cell r="B26">
            <v>-0.81128410547843721</v>
          </cell>
          <cell r="C26">
            <v>-0.81128410547843721</v>
          </cell>
          <cell r="D26">
            <v>-0.81128410547843721</v>
          </cell>
          <cell r="E26">
            <v>-0.81128410547843721</v>
          </cell>
          <cell r="F26">
            <v>-0.81128410547843721</v>
          </cell>
          <cell r="K26">
            <v>-37.080069363885379</v>
          </cell>
          <cell r="L26">
            <v>40.564205273921857</v>
          </cell>
          <cell r="M26">
            <v>20.69945152925257</v>
          </cell>
          <cell r="N26">
            <v>683081.90046533488</v>
          </cell>
          <cell r="O26">
            <v>-25.683653134635676</v>
          </cell>
          <cell r="P26">
            <v>81.128410547843714</v>
          </cell>
          <cell r="Q26">
            <v>61.263656803174428</v>
          </cell>
          <cell r="R26">
            <v>2021700.674504756</v>
          </cell>
          <cell r="S26">
            <v>-14.287236905385971</v>
          </cell>
          <cell r="T26">
            <v>121.69261582176559</v>
          </cell>
          <cell r="U26">
            <v>101.8278620770963</v>
          </cell>
          <cell r="V26">
            <v>3360319.4485441777</v>
          </cell>
          <cell r="W26">
            <v>-2.8908206761362627</v>
          </cell>
        </row>
        <row r="27">
          <cell r="A27" t="str">
            <v>SupCrit HTL-CAS_BHO</v>
          </cell>
          <cell r="B27">
            <v>-0.46830442207276918</v>
          </cell>
          <cell r="C27">
            <v>-0.46830442207276918</v>
          </cell>
          <cell r="D27">
            <v>-0.46830442207276918</v>
          </cell>
          <cell r="E27">
            <v>-0.46830442207276918</v>
          </cell>
          <cell r="F27">
            <v>-0.46830442207276918</v>
          </cell>
          <cell r="K27">
            <v>-99.794325972605733</v>
          </cell>
          <cell r="L27">
            <v>23.415221103638459</v>
          </cell>
          <cell r="M27">
            <v>-172.30828902411579</v>
          </cell>
          <cell r="N27">
            <v>-5686173.5377958212</v>
          </cell>
          <cell r="O27">
            <v>-93.215875735629709</v>
          </cell>
          <cell r="P27">
            <v>46.830442207276917</v>
          </cell>
          <cell r="Q27">
            <v>-148.89306792047734</v>
          </cell>
          <cell r="R27">
            <v>-4913471.2413757518</v>
          </cell>
          <cell r="S27">
            <v>-86.637425498653684</v>
          </cell>
          <cell r="T27">
            <v>70.245663310915376</v>
          </cell>
          <cell r="U27">
            <v>-125.47784681683888</v>
          </cell>
          <cell r="V27">
            <v>-4140768.9449556828</v>
          </cell>
          <cell r="W27">
            <v>-80.058975261677659</v>
          </cell>
        </row>
        <row r="28">
          <cell r="A28" t="str">
            <v>SubCrit HTL-CAS_BHO</v>
          </cell>
          <cell r="B28">
            <v>-0.5231873803281164</v>
          </cell>
          <cell r="C28">
            <v>-0.5231873803281164</v>
          </cell>
          <cell r="D28">
            <v>-0.5231873803281164</v>
          </cell>
          <cell r="E28">
            <v>-0.5231873803281164</v>
          </cell>
          <cell r="F28">
            <v>-0.5231873803281164</v>
          </cell>
          <cell r="K28">
            <v>-93.462116487661802</v>
          </cell>
          <cell r="L28">
            <v>26.159369016405819</v>
          </cell>
          <cell r="M28">
            <v>-156.72491611134848</v>
          </cell>
          <cell r="N28">
            <v>-5171922.2316744998</v>
          </cell>
          <cell r="O28">
            <v>-86.112704472996768</v>
          </cell>
          <cell r="P28">
            <v>52.318738032811638</v>
          </cell>
          <cell r="Q28">
            <v>-130.56554709494267</v>
          </cell>
          <cell r="R28">
            <v>-4308663.0541331079</v>
          </cell>
          <cell r="S28">
            <v>-78.763292458331762</v>
          </cell>
          <cell r="T28">
            <v>78.478107049217456</v>
          </cell>
          <cell r="U28">
            <v>-104.40617807853685</v>
          </cell>
          <cell r="V28">
            <v>-3445403.876591716</v>
          </cell>
          <cell r="W28">
            <v>-71.413880443666756</v>
          </cell>
        </row>
        <row r="30">
          <cell r="A30" t="str">
            <v>HTL-AD-Boiler_BC</v>
          </cell>
          <cell r="B30">
            <v>-1.4923420111364036</v>
          </cell>
          <cell r="C30">
            <v>-1.4923420111364036</v>
          </cell>
          <cell r="D30">
            <v>-1.4923420111364036</v>
          </cell>
          <cell r="E30">
            <v>-1.4923420111364036</v>
          </cell>
          <cell r="F30">
            <v>-1.4923420111364036</v>
          </cell>
          <cell r="K30">
            <v>-114.16309828185857</v>
          </cell>
          <cell r="L30">
            <v>74.617100556820176</v>
          </cell>
          <cell r="M30">
            <v>-25.13043127479817</v>
          </cell>
          <cell r="N30">
            <v>-829304.2320683396</v>
          </cell>
          <cell r="O30">
            <v>-93.199602756112569</v>
          </cell>
          <cell r="P30">
            <v>149.23420111364035</v>
          </cell>
          <cell r="Q30">
            <v>49.486669282022007</v>
          </cell>
          <cell r="R30">
            <v>1633060.0863067263</v>
          </cell>
          <cell r="S30">
            <v>-72.236107230366585</v>
          </cell>
          <cell r="T30">
            <v>223.85130167046054</v>
          </cell>
          <cell r="U30">
            <v>124.1037698388422</v>
          </cell>
          <cell r="V30">
            <v>4095424.4046817925</v>
          </cell>
          <cell r="W30">
            <v>-51.272611704620601</v>
          </cell>
        </row>
        <row r="32">
          <cell r="A32" t="str">
            <v>HTL-CHG-Boiler_BC</v>
          </cell>
          <cell r="B32">
            <v>-1.5118591786547046</v>
          </cell>
          <cell r="C32">
            <v>-1.5118591786547046</v>
          </cell>
          <cell r="D32">
            <v>-1.5118591786547046</v>
          </cell>
          <cell r="E32">
            <v>-1.5118591786547046</v>
          </cell>
          <cell r="F32">
            <v>-1.5118591786547046</v>
          </cell>
          <cell r="K32">
            <v>-275.67807350759148</v>
          </cell>
          <cell r="L32">
            <v>75.592958932735229</v>
          </cell>
          <cell r="M32">
            <v>-346.1104953367319</v>
          </cell>
          <cell r="N32">
            <v>-11421646.346112153</v>
          </cell>
          <cell r="O32">
            <v>-254.44041291050672</v>
          </cell>
          <cell r="P32">
            <v>151.18591786547046</v>
          </cell>
          <cell r="Q32">
            <v>-270.51753640399664</v>
          </cell>
          <cell r="R32">
            <v>-8927078.7013318893</v>
          </cell>
          <cell r="S32">
            <v>-233.20275231342191</v>
          </cell>
          <cell r="T32">
            <v>226.77887679820569</v>
          </cell>
          <cell r="U32">
            <v>-194.92457747126141</v>
          </cell>
          <cell r="V32">
            <v>-6432511.0565516269</v>
          </cell>
          <cell r="W32">
            <v>-211.96509171633707</v>
          </cell>
        </row>
        <row r="34">
          <cell r="A34" t="str">
            <v>TD-StmGs-CHP</v>
          </cell>
          <cell r="B34">
            <v>-0.19143014535834679</v>
          </cell>
          <cell r="C34">
            <v>-0.19143014535834679</v>
          </cell>
          <cell r="D34">
            <v>-0.19143014535834679</v>
          </cell>
          <cell r="E34">
            <v>-0.19143014535834679</v>
          </cell>
          <cell r="F34">
            <v>-0.19143014535834679</v>
          </cell>
          <cell r="K34">
            <v>-85.136061884253735</v>
          </cell>
          <cell r="L34">
            <v>9.5715072679173403</v>
          </cell>
          <cell r="M34">
            <v>-135.53359946700311</v>
          </cell>
          <cell r="N34">
            <v>-4472608.7824111031</v>
          </cell>
          <cell r="O34">
            <v>-82.446969862608697</v>
          </cell>
          <cell r="P34">
            <v>19.143014535834681</v>
          </cell>
          <cell r="Q34">
            <v>-125.96209219908579</v>
          </cell>
          <cell r="R34">
            <v>-4156749.042569831</v>
          </cell>
          <cell r="S34">
            <v>-79.757877840963658</v>
          </cell>
          <cell r="T34">
            <v>28.714521803752017</v>
          </cell>
          <cell r="U34">
            <v>-116.39058493116845</v>
          </cell>
          <cell r="V34">
            <v>-3840889.3027285589</v>
          </cell>
          <cell r="W34">
            <v>-77.068785819318634</v>
          </cell>
        </row>
        <row r="35">
          <cell r="A35" t="str">
            <v>FD-Torr-Comb_BSF</v>
          </cell>
          <cell r="B35">
            <v>-1.6233260338584823</v>
          </cell>
          <cell r="C35">
            <v>-1.6233260338584823</v>
          </cell>
          <cell r="D35">
            <v>-1.6233260338584823</v>
          </cell>
          <cell r="E35">
            <v>-1.6233260338584823</v>
          </cell>
          <cell r="F35">
            <v>-1.6233260338584823</v>
          </cell>
          <cell r="K35">
            <v>-123.11024693857823</v>
          </cell>
          <cell r="L35">
            <v>81.166301692924108</v>
          </cell>
          <cell r="M35">
            <v>-255.09295270130622</v>
          </cell>
          <cell r="N35">
            <v>-8418067.4391431045</v>
          </cell>
          <cell r="O35">
            <v>-100.30676905370295</v>
          </cell>
          <cell r="P35">
            <v>162.33260338584822</v>
          </cell>
          <cell r="Q35">
            <v>-173.92665100838209</v>
          </cell>
          <cell r="R35">
            <v>-5739579.4832766093</v>
          </cell>
          <cell r="S35">
            <v>-77.503291168827687</v>
          </cell>
          <cell r="T35">
            <v>243.49890507877234</v>
          </cell>
          <cell r="U35">
            <v>-92.760349315457972</v>
          </cell>
          <cell r="V35">
            <v>-3061091.5274101133</v>
          </cell>
          <cell r="W35">
            <v>-54.699813283952402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evin Clack" id="{5F2ACAA9-C647-4B50-B4E5-8C88A0C6E1F2}" userId="Kevin Clack" providerId="None"/>
  <person displayName="Kevin Clack" id="{9675FC4E-CE7C-0A49-A703-4C919ADAACDE}" userId="S::kevinclack@PersonalMicrosoftSoftware.ucla.edu::87be8c11-1939-4199-9ed5-77de5d76966d" providerId="AD"/>
  <person displayName="Kevin Clack" id="{1FDD7D6C-9E21-BE40-ACD2-0EE13D1E2950}" userId="S::kevinclack@personalmicrosoftsoftware.ucla.edu::87be8c11-1939-4199-9ed5-77de5d76966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" dT="2021-12-06T07:23:52.16" personId="{5F2ACAA9-C647-4B50-B4E5-8C88A0C6E1F2}" id="{62E921B2-8E44-440A-AD89-B0BD56A79A9F}">
    <text>Suh and Rousseaux 2002</text>
  </threadedComment>
  <threadedComment ref="S1" dT="2021-05-06T16:43:31.92" personId="{1FDD7D6C-9E21-BE40-ACD2-0EE13D1E2950}" id="{9533CB85-764B-1E4A-A110-D1BB7C24E30A}">
    <text>EIA conversion
https://www.eia.gov/energyexplained/units-and-calculators/energy-conversion-calculators.php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4" dT="2021-08-02T21:46:21.33" personId="{1FDD7D6C-9E21-BE40-ACD2-0EE13D1E2950}" id="{90DA04A1-23CD-A346-9109-AA4C6518C393}">
    <text>https://www.eia.gov/environment/emissions/co2_vol_mass.php</text>
  </threadedComment>
  <threadedComment ref="H4" dT="2022-02-25T20:26:54.94" personId="{5F2ACAA9-C647-4B50-B4E5-8C88A0C6E1F2}" id="{37884E89-9BC2-46A6-81EB-83ECAF16AA85}" parentId="{90DA04A1-23CD-A346-9109-AA4C6518C393}">
    <text>Date visited: 2/25/2022</text>
  </threadedComment>
  <threadedComment ref="J4" dT="2021-12-06T07:24:05.09" personId="{5F2ACAA9-C647-4B50-B4E5-8C88A0C6E1F2}" id="{26B2AD78-CF2B-4469-A271-488DAF0D3912}">
    <text>Zhao et al. 2019</text>
  </threadedComment>
  <threadedComment ref="L5" dT="2021-08-09T21:15:12.86" personId="{1FDD7D6C-9E21-BE40-ACD2-0EE13D1E2950}" id="{B47421AD-7DAB-094B-AFE5-5FCE90E592AC}">
    <text>Calculated from Zhao et la. 2019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K5" dT="2022-05-29T00:43:44.90" personId="{9675FC4E-CE7C-0A49-A703-4C919ADAACDE}" id="{FF6A28C2-D368-864F-A6FA-85B17C14C91A}">
    <text>1.08 accounts for the 8% inflation between FY 2015 and 2019 per US Bureau of Labor Statistics.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ls.gov/opub/ted/2020/consumer-price-index-2019-in-review.htm" TargetMode="External"/><Relationship Id="rId21" Type="http://schemas.openxmlformats.org/officeDocument/2006/relationships/hyperlink" Target="https://www.bls.gov/opub/ted/2020/consumer-price-index-2019-in-review.htm" TargetMode="External"/><Relationship Id="rId42" Type="http://schemas.openxmlformats.org/officeDocument/2006/relationships/hyperlink" Target="https://www.bls.gov/opub/ted/2020/consumer-price-index-2019-in-review.htm" TargetMode="External"/><Relationship Id="rId47" Type="http://schemas.openxmlformats.org/officeDocument/2006/relationships/hyperlink" Target="https://www.eia.gov/electricity/monthly/epm_table_grapher.php?t=epmt_5_03" TargetMode="External"/><Relationship Id="rId63" Type="http://schemas.openxmlformats.org/officeDocument/2006/relationships/hyperlink" Target="https://www.bls.gov/opub/ted/2020/consumer-price-index-2019-in-review.htm" TargetMode="External"/><Relationship Id="rId68" Type="http://schemas.openxmlformats.org/officeDocument/2006/relationships/hyperlink" Target="https://www.bls.gov/opub/ted/2020/consumer-price-index-2019-in-review.htm" TargetMode="External"/><Relationship Id="rId84" Type="http://schemas.openxmlformats.org/officeDocument/2006/relationships/hyperlink" Target="https://www.eia.gov/electricity/monthly/epm_table_grapher.php?t=epmt_5_03" TargetMode="External"/><Relationship Id="rId89" Type="http://schemas.openxmlformats.org/officeDocument/2006/relationships/hyperlink" Target="https://www.bls.gov/opub/ted/2020/consumer-price-index-2019-in-review.htm" TargetMode="External"/><Relationship Id="rId16" Type="http://schemas.openxmlformats.org/officeDocument/2006/relationships/hyperlink" Target="https://www.bls.gov/opub/ted/2020/consumer-price-index-2019-in-review.htm" TargetMode="External"/><Relationship Id="rId11" Type="http://schemas.openxmlformats.org/officeDocument/2006/relationships/hyperlink" Target="https://www.bls.gov/opub/ted/2020/consumer-price-index-2019-in-review.htm" TargetMode="External"/><Relationship Id="rId32" Type="http://schemas.openxmlformats.org/officeDocument/2006/relationships/hyperlink" Target="https://www.eia.gov/electricity/monthly/epm_table_grapher.php?t=epmt_5_03" TargetMode="External"/><Relationship Id="rId37" Type="http://schemas.openxmlformats.org/officeDocument/2006/relationships/hyperlink" Target="https://www.bls.gov/opub/ted/2020/consumer-price-index-2019-in-review.htm" TargetMode="External"/><Relationship Id="rId53" Type="http://schemas.openxmlformats.org/officeDocument/2006/relationships/hyperlink" Target="https://www.eia.gov/electricity/monthly/epm_table_grapher.php?t=epmt_5_03" TargetMode="External"/><Relationship Id="rId58" Type="http://schemas.openxmlformats.org/officeDocument/2006/relationships/hyperlink" Target="https://www.bls.gov/opub/ted/2020/consumer-price-index-2019-in-review.htm" TargetMode="External"/><Relationship Id="rId74" Type="http://schemas.openxmlformats.org/officeDocument/2006/relationships/hyperlink" Target="https://www.bls.gov/opub/ted/2020/consumer-price-index-2019-in-review.htm" TargetMode="External"/><Relationship Id="rId79" Type="http://schemas.openxmlformats.org/officeDocument/2006/relationships/hyperlink" Target="https://www.bls.gov/opub/ted/2020/consumer-price-index-2019-in-review.htm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s://www.eia.gov/environment/emissions/co2_vol_mass.php" TargetMode="External"/><Relationship Id="rId90" Type="http://schemas.openxmlformats.org/officeDocument/2006/relationships/hyperlink" Target="https://www.bls.gov/opub/ted/2020/consumer-price-index-2019-in-review.htm" TargetMode="External"/><Relationship Id="rId95" Type="http://schemas.openxmlformats.org/officeDocument/2006/relationships/hyperlink" Target="https://www.bls.gov/opub/ted/2020/consumer-price-index-2019-in-review.htm" TargetMode="External"/><Relationship Id="rId22" Type="http://schemas.openxmlformats.org/officeDocument/2006/relationships/hyperlink" Target="https://www.bls.gov/opub/ted/2020/consumer-price-index-2019-in-review.htm" TargetMode="External"/><Relationship Id="rId27" Type="http://schemas.openxmlformats.org/officeDocument/2006/relationships/hyperlink" Target="https://www.bls.gov/opub/ted/2020/consumer-price-index-2019-in-review.htm" TargetMode="External"/><Relationship Id="rId43" Type="http://schemas.openxmlformats.org/officeDocument/2006/relationships/hyperlink" Target="https://www.bls.gov/opub/ted/2020/consumer-price-index-2019-in-review.htm" TargetMode="External"/><Relationship Id="rId48" Type="http://schemas.openxmlformats.org/officeDocument/2006/relationships/hyperlink" Target="https://www.bls.gov/opub/ted/2020/consumer-price-index-2019-in-review.htm" TargetMode="External"/><Relationship Id="rId64" Type="http://schemas.openxmlformats.org/officeDocument/2006/relationships/hyperlink" Target="https://www.bls.gov/opub/ted/2020/consumer-price-index-2019-in-review.htm" TargetMode="External"/><Relationship Id="rId69" Type="http://schemas.openxmlformats.org/officeDocument/2006/relationships/hyperlink" Target="https://www.bls.gov/opub/ted/2020/consumer-price-index-2019-in-review.htm" TargetMode="External"/><Relationship Id="rId80" Type="http://schemas.openxmlformats.org/officeDocument/2006/relationships/hyperlink" Target="https://www.bls.gov/opub/ted/2020/consumer-price-index-2019-in-review.htm" TargetMode="External"/><Relationship Id="rId85" Type="http://schemas.openxmlformats.org/officeDocument/2006/relationships/hyperlink" Target="https://www.bls.gov/opub/ted/2020/consumer-price-index-2019-in-review.htm" TargetMode="External"/><Relationship Id="rId12" Type="http://schemas.openxmlformats.org/officeDocument/2006/relationships/hyperlink" Target="https://www.bls.gov/opub/ted/2020/consumer-price-index-2019-in-review.htm" TargetMode="External"/><Relationship Id="rId17" Type="http://schemas.openxmlformats.org/officeDocument/2006/relationships/hyperlink" Target="https://www.bls.gov/opub/ted/2020/consumer-price-index-2019-in-review.htm" TargetMode="External"/><Relationship Id="rId25" Type="http://schemas.openxmlformats.org/officeDocument/2006/relationships/hyperlink" Target="https://www.bls.gov/opub/ted/2020/consumer-price-index-2019-in-review.htm" TargetMode="External"/><Relationship Id="rId33" Type="http://schemas.openxmlformats.org/officeDocument/2006/relationships/hyperlink" Target="https://www.eia.gov/electricity/monthly/epm_table_grapher.php?t=epmt_5_03" TargetMode="External"/><Relationship Id="rId38" Type="http://schemas.openxmlformats.org/officeDocument/2006/relationships/hyperlink" Target="https://www.eia.gov/electricity/monthly/epm_table_grapher.php?t=epmt_5_03" TargetMode="External"/><Relationship Id="rId46" Type="http://schemas.openxmlformats.org/officeDocument/2006/relationships/hyperlink" Target="https://www.bls.gov/opub/ted/2020/consumer-price-index-2019-in-review.htm" TargetMode="External"/><Relationship Id="rId59" Type="http://schemas.openxmlformats.org/officeDocument/2006/relationships/hyperlink" Target="https://www.bls.gov/opub/ted/2020/consumer-price-index-2019-in-review.htm" TargetMode="External"/><Relationship Id="rId67" Type="http://schemas.openxmlformats.org/officeDocument/2006/relationships/hyperlink" Target="https://www.bls.gov/opub/ted/2020/consumer-price-index-2019-in-review.htm" TargetMode="External"/><Relationship Id="rId20" Type="http://schemas.openxmlformats.org/officeDocument/2006/relationships/hyperlink" Target="https://www.bls.gov/opub/ted/2020/consumer-price-index-2019-in-review.htm" TargetMode="External"/><Relationship Id="rId41" Type="http://schemas.openxmlformats.org/officeDocument/2006/relationships/hyperlink" Target="https://www.eia.gov/electricity/monthly/epm_table_grapher.php?t=epmt_5_03" TargetMode="External"/><Relationship Id="rId54" Type="http://schemas.openxmlformats.org/officeDocument/2006/relationships/hyperlink" Target="https://www.bls.gov/opub/ted/2020/consumer-price-index-2019-in-review.htm" TargetMode="External"/><Relationship Id="rId62" Type="http://schemas.openxmlformats.org/officeDocument/2006/relationships/hyperlink" Target="https://www.bls.gov/opub/ted/2020/consumer-price-index-2019-in-review.htm" TargetMode="External"/><Relationship Id="rId70" Type="http://schemas.openxmlformats.org/officeDocument/2006/relationships/hyperlink" Target="https://www.bls.gov/opub/ted/2020/consumer-price-index-2019-in-review.htm" TargetMode="External"/><Relationship Id="rId75" Type="http://schemas.openxmlformats.org/officeDocument/2006/relationships/hyperlink" Target="https://www.bls.gov/opub/ted/2020/consumer-price-index-2019-in-review.htm" TargetMode="External"/><Relationship Id="rId83" Type="http://schemas.openxmlformats.org/officeDocument/2006/relationships/hyperlink" Target="https://www.bls.gov/opub/ted/2020/consumer-price-index-2019-in-review.htm" TargetMode="External"/><Relationship Id="rId88" Type="http://schemas.openxmlformats.org/officeDocument/2006/relationships/hyperlink" Target="https://www.bls.gov/opub/ted/2020/consumer-price-index-2019-in-review.htm" TargetMode="External"/><Relationship Id="rId91" Type="http://schemas.openxmlformats.org/officeDocument/2006/relationships/hyperlink" Target="https://www.bls.gov/opub/ted/2020/consumer-price-index-2019-in-review.htm" TargetMode="External"/><Relationship Id="rId96" Type="http://schemas.openxmlformats.org/officeDocument/2006/relationships/hyperlink" Target="https://www.bls.gov/opub/ted/2020/consumer-price-index-2019-in-review.htm" TargetMode="External"/><Relationship Id="rId1" Type="http://schemas.openxmlformats.org/officeDocument/2006/relationships/hyperlink" Target="https://www.eia.gov/dnav/pet/hist/LeafHandler.ashx?n=pet&amp;s=r0000____3&amp;f=a" TargetMode="External"/><Relationship Id="rId6" Type="http://schemas.openxmlformats.org/officeDocument/2006/relationships/hyperlink" Target="https://www.eia.gov/dnav/pet/hist/LeafHandler.ashx?n=pet&amp;s=r0000____3&amp;f=a" TargetMode="External"/><Relationship Id="rId15" Type="http://schemas.openxmlformats.org/officeDocument/2006/relationships/hyperlink" Target="https://www.bls.gov/opub/ted/2020/consumer-price-index-2019-in-review.htm" TargetMode="External"/><Relationship Id="rId23" Type="http://schemas.openxmlformats.org/officeDocument/2006/relationships/hyperlink" Target="https://www.bls.gov/opub/ted/2020/consumer-price-index-2019-in-review.htm" TargetMode="External"/><Relationship Id="rId28" Type="http://schemas.openxmlformats.org/officeDocument/2006/relationships/hyperlink" Target="https://www.bls.gov/opub/ted/2020/consumer-price-index-2019-in-review.htm" TargetMode="External"/><Relationship Id="rId36" Type="http://schemas.openxmlformats.org/officeDocument/2006/relationships/hyperlink" Target="https://www.bls.gov/opub/ted/2020/consumer-price-index-2019-in-review.htm" TargetMode="External"/><Relationship Id="rId49" Type="http://schemas.openxmlformats.org/officeDocument/2006/relationships/hyperlink" Target="https://www.bls.gov/opub/ted/2020/consumer-price-index-2019-in-review.htm" TargetMode="External"/><Relationship Id="rId57" Type="http://schemas.openxmlformats.org/officeDocument/2006/relationships/hyperlink" Target="https://www.bls.gov/opub/ted/2020/consumer-price-index-2019-in-review.htm" TargetMode="External"/><Relationship Id="rId10" Type="http://schemas.openxmlformats.org/officeDocument/2006/relationships/hyperlink" Target="https://www.bls.gov/opub/ted/2020/consumer-price-index-2019-in-review.htm" TargetMode="External"/><Relationship Id="rId31" Type="http://schemas.openxmlformats.org/officeDocument/2006/relationships/hyperlink" Target="https://www.eia.gov/electricity/monthly/epm_table_grapher.php?t=epmt_5_03" TargetMode="External"/><Relationship Id="rId44" Type="http://schemas.openxmlformats.org/officeDocument/2006/relationships/hyperlink" Target="https://www.eia.gov/electricity/monthly/epm_table_grapher.php?t=epmt_5_03" TargetMode="External"/><Relationship Id="rId52" Type="http://schemas.openxmlformats.org/officeDocument/2006/relationships/hyperlink" Target="https://www.bls.gov/opub/ted/2020/consumer-price-index-2019-in-review.htm" TargetMode="External"/><Relationship Id="rId60" Type="http://schemas.openxmlformats.org/officeDocument/2006/relationships/hyperlink" Target="https://www.bls.gov/opub/ted/2020/consumer-price-index-2019-in-review.htm" TargetMode="External"/><Relationship Id="rId65" Type="http://schemas.openxmlformats.org/officeDocument/2006/relationships/hyperlink" Target="https://www.bls.gov/opub/ted/2020/consumer-price-index-2019-in-review.htm" TargetMode="External"/><Relationship Id="rId73" Type="http://schemas.openxmlformats.org/officeDocument/2006/relationships/hyperlink" Target="https://www.bls.gov/opub/ted/2020/consumer-price-index-2019-in-review.htm" TargetMode="External"/><Relationship Id="rId78" Type="http://schemas.openxmlformats.org/officeDocument/2006/relationships/hyperlink" Target="https://www.bls.gov/opub/ted/2020/consumer-price-index-2019-in-review.htm" TargetMode="External"/><Relationship Id="rId81" Type="http://schemas.openxmlformats.org/officeDocument/2006/relationships/hyperlink" Target="https://www.eia.gov/electricity/monthly/epm_table_grapher.php?t=epmt_5_03" TargetMode="External"/><Relationship Id="rId86" Type="http://schemas.openxmlformats.org/officeDocument/2006/relationships/hyperlink" Target="https://www.bls.gov/opub/ted/2020/consumer-price-index-2019-in-review.htm" TargetMode="External"/><Relationship Id="rId94" Type="http://schemas.openxmlformats.org/officeDocument/2006/relationships/hyperlink" Target="https://www.bls.gov/opub/ted/2020/consumer-price-index-2019-in-review.htm" TargetMode="External"/><Relationship Id="rId99" Type="http://schemas.openxmlformats.org/officeDocument/2006/relationships/hyperlink" Target="https://www.epa.gov/energy/greenhouse-gases-equivalencies-calculator-calculations-and-references" TargetMode="External"/><Relationship Id="rId101" Type="http://schemas.openxmlformats.org/officeDocument/2006/relationships/hyperlink" Target="https://www.eia.gov/tools/faqs/faq.php?id=72&amp;t=2" TargetMode="External"/><Relationship Id="rId4" Type="http://schemas.openxmlformats.org/officeDocument/2006/relationships/hyperlink" Target="https://www.eia.gov/environment/emissions/co2_vol_mass.php" TargetMode="External"/><Relationship Id="rId9" Type="http://schemas.openxmlformats.org/officeDocument/2006/relationships/hyperlink" Target="https://www.bls.gov/opub/ted/2020/consumer-price-index-2019-in-review.htm" TargetMode="External"/><Relationship Id="rId13" Type="http://schemas.openxmlformats.org/officeDocument/2006/relationships/hyperlink" Target="https://www.bls.gov/opub/ted/2020/consumer-price-index-2019-in-review.htm" TargetMode="External"/><Relationship Id="rId18" Type="http://schemas.openxmlformats.org/officeDocument/2006/relationships/hyperlink" Target="https://www.bls.gov/opub/ted/2020/consumer-price-index-2019-in-review.htm" TargetMode="External"/><Relationship Id="rId39" Type="http://schemas.openxmlformats.org/officeDocument/2006/relationships/hyperlink" Target="https://www.bls.gov/opub/ted/2020/consumer-price-index-2019-in-review.htm" TargetMode="External"/><Relationship Id="rId34" Type="http://schemas.openxmlformats.org/officeDocument/2006/relationships/hyperlink" Target="https://www.eia.gov/electricity/monthly/epm_table_grapher.php?t=epmt_5_03" TargetMode="External"/><Relationship Id="rId50" Type="http://schemas.openxmlformats.org/officeDocument/2006/relationships/hyperlink" Target="https://www.eia.gov/electricity/monthly/epm_table_grapher.php?t=epmt_5_03" TargetMode="External"/><Relationship Id="rId55" Type="http://schemas.openxmlformats.org/officeDocument/2006/relationships/hyperlink" Target="https://www.bls.gov/opub/ted/2020/consumer-price-index-2019-in-review.htm" TargetMode="External"/><Relationship Id="rId76" Type="http://schemas.openxmlformats.org/officeDocument/2006/relationships/hyperlink" Target="https://www.bls.gov/opub/ted/2020/consumer-price-index-2019-in-review.htm" TargetMode="External"/><Relationship Id="rId97" Type="http://schemas.openxmlformats.org/officeDocument/2006/relationships/hyperlink" Target="https://www.eia.gov/tools/faqs/faq.php?id=72&amp;t=2" TargetMode="External"/><Relationship Id="rId7" Type="http://schemas.openxmlformats.org/officeDocument/2006/relationships/hyperlink" Target="https://www.eia.gov/petroleum/gasdiesel/" TargetMode="External"/><Relationship Id="rId71" Type="http://schemas.openxmlformats.org/officeDocument/2006/relationships/hyperlink" Target="https://www.bls.gov/opub/ted/2020/consumer-price-index-2019-in-review.htm" TargetMode="External"/><Relationship Id="rId92" Type="http://schemas.openxmlformats.org/officeDocument/2006/relationships/hyperlink" Target="https://www.bls.gov/opub/ted/2020/consumer-price-index-2019-in-review.htm" TargetMode="External"/><Relationship Id="rId2" Type="http://schemas.openxmlformats.org/officeDocument/2006/relationships/hyperlink" Target="https://www.eia.gov/petroleum/gasdiesel/" TargetMode="External"/><Relationship Id="rId29" Type="http://schemas.openxmlformats.org/officeDocument/2006/relationships/hyperlink" Target="https://www.bls.gov/opub/ted/2020/consumer-price-index-2019-in-review.htm" TargetMode="External"/><Relationship Id="rId24" Type="http://schemas.openxmlformats.org/officeDocument/2006/relationships/hyperlink" Target="https://www.bls.gov/opub/ted/2020/consumer-price-index-2019-in-review.htm" TargetMode="External"/><Relationship Id="rId40" Type="http://schemas.openxmlformats.org/officeDocument/2006/relationships/hyperlink" Target="https://www.bls.gov/opub/ted/2020/consumer-price-index-2019-in-review.htm" TargetMode="External"/><Relationship Id="rId45" Type="http://schemas.openxmlformats.org/officeDocument/2006/relationships/hyperlink" Target="https://www.bls.gov/opub/ted/2020/consumer-price-index-2019-in-review.htm" TargetMode="External"/><Relationship Id="rId66" Type="http://schemas.openxmlformats.org/officeDocument/2006/relationships/hyperlink" Target="https://www.bls.gov/opub/ted/2020/consumer-price-index-2019-in-review.htm" TargetMode="External"/><Relationship Id="rId87" Type="http://schemas.openxmlformats.org/officeDocument/2006/relationships/hyperlink" Target="https://www.bls.gov/opub/ted/2020/consumer-price-index-2019-in-review.htm" TargetMode="External"/><Relationship Id="rId61" Type="http://schemas.openxmlformats.org/officeDocument/2006/relationships/hyperlink" Target="https://www.bls.gov/opub/ted/2020/consumer-price-index-2019-in-review.htm" TargetMode="External"/><Relationship Id="rId82" Type="http://schemas.openxmlformats.org/officeDocument/2006/relationships/hyperlink" Target="https://www.bls.gov/opub/ted/2020/consumer-price-index-2019-in-review.htm" TargetMode="External"/><Relationship Id="rId19" Type="http://schemas.openxmlformats.org/officeDocument/2006/relationships/hyperlink" Target="https://www.bls.gov/opub/ted/2020/consumer-price-index-2019-in-review.htm" TargetMode="External"/><Relationship Id="rId14" Type="http://schemas.openxmlformats.org/officeDocument/2006/relationships/hyperlink" Target="https://www.bls.gov/opub/ted/2020/consumer-price-index-2019-in-review.htm" TargetMode="External"/><Relationship Id="rId30" Type="http://schemas.openxmlformats.org/officeDocument/2006/relationships/hyperlink" Target="https://www.bls.gov/opub/ted/2020/consumer-price-index-2019-in-review.htm" TargetMode="External"/><Relationship Id="rId35" Type="http://schemas.openxmlformats.org/officeDocument/2006/relationships/hyperlink" Target="https://www.eia.gov/electricity/monthly/epm_table_grapher.php?t=epmt_5_03" TargetMode="External"/><Relationship Id="rId56" Type="http://schemas.openxmlformats.org/officeDocument/2006/relationships/hyperlink" Target="https://www.eia.gov/electricity/monthly/epm_table_grapher.php?t=epmt_5_03" TargetMode="External"/><Relationship Id="rId77" Type="http://schemas.openxmlformats.org/officeDocument/2006/relationships/hyperlink" Target="https://www.bls.gov/opub/ted/2020/consumer-price-index-2019-in-review.htm" TargetMode="External"/><Relationship Id="rId100" Type="http://schemas.openxmlformats.org/officeDocument/2006/relationships/hyperlink" Target="https://www.epa.gov/energy/greenhouse-gases-equivalencies-calculator-calculations-and-references" TargetMode="External"/><Relationship Id="rId8" Type="http://schemas.openxmlformats.org/officeDocument/2006/relationships/hyperlink" Target="https://tradingeconomics.com/commodity/naphtha" TargetMode="External"/><Relationship Id="rId51" Type="http://schemas.openxmlformats.org/officeDocument/2006/relationships/hyperlink" Target="https://www.bls.gov/opub/ted/2020/consumer-price-index-2019-in-review.htm" TargetMode="External"/><Relationship Id="rId72" Type="http://schemas.openxmlformats.org/officeDocument/2006/relationships/hyperlink" Target="https://www.bls.gov/opub/ted/2020/consumer-price-index-2019-in-review.htm" TargetMode="External"/><Relationship Id="rId93" Type="http://schemas.openxmlformats.org/officeDocument/2006/relationships/hyperlink" Target="https://www.bls.gov/opub/ted/2020/consumer-price-index-2019-in-review.htm" TargetMode="External"/><Relationship Id="rId98" Type="http://schemas.openxmlformats.org/officeDocument/2006/relationships/hyperlink" Target="https://www.eia.gov/tools/faqs/faq.php?id=72&amp;t=2" TargetMode="External"/><Relationship Id="rId3" Type="http://schemas.openxmlformats.org/officeDocument/2006/relationships/hyperlink" Target="https://tradingeconomics.com/commodity/naphth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doi.org/10.1016/j.energy.2019.03.188" TargetMode="External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C226-B5F5-4110-BE52-83EBEB60B87D}">
  <sheetPr codeName="Sheet2">
    <tabColor theme="2" tint="-0.249977111117893"/>
  </sheetPr>
  <dimension ref="A1:H2403"/>
  <sheetViews>
    <sheetView zoomScale="150" zoomScaleNormal="150" zoomScaleSheetLayoutView="100" workbookViewId="0">
      <selection activeCell="C15" sqref="C15"/>
    </sheetView>
  </sheetViews>
  <sheetFormatPr baseColWidth="10" defaultColWidth="8.83203125" defaultRowHeight="13" x14ac:dyDescent="0.15"/>
  <cols>
    <col min="1" max="1" width="1.6640625" style="229" customWidth="1"/>
    <col min="2" max="2" width="10" style="233" customWidth="1"/>
    <col min="3" max="3" width="36.1640625" style="233" bestFit="1" customWidth="1"/>
    <col min="4" max="4" width="10.33203125" style="234" bestFit="1" customWidth="1"/>
    <col min="5" max="5" width="18.33203125" style="234" bestFit="1" customWidth="1"/>
    <col min="6" max="6" width="37.1640625" style="296" customWidth="1"/>
    <col min="7" max="16384" width="8.83203125" style="229"/>
  </cols>
  <sheetData>
    <row r="1" spans="1:6" s="228" customFormat="1" x14ac:dyDescent="0.15">
      <c r="A1" s="225" t="s">
        <v>954</v>
      </c>
      <c r="B1" s="226"/>
      <c r="C1" s="226"/>
      <c r="D1" s="227"/>
      <c r="E1" s="227"/>
      <c r="F1" s="294"/>
    </row>
    <row r="2" spans="1:6" ht="14" x14ac:dyDescent="0.15">
      <c r="B2" s="230" t="s">
        <v>171</v>
      </c>
      <c r="C2" s="230"/>
      <c r="D2" s="231" t="s">
        <v>170</v>
      </c>
      <c r="E2" s="231" t="s">
        <v>169</v>
      </c>
      <c r="F2" s="295" t="s">
        <v>168</v>
      </c>
    </row>
    <row r="3" spans="1:6" x14ac:dyDescent="0.15">
      <c r="A3" s="232" t="s">
        <v>167</v>
      </c>
    </row>
    <row r="4" spans="1:6" ht="17" x14ac:dyDescent="0.25">
      <c r="B4" s="233" t="s">
        <v>955</v>
      </c>
      <c r="D4" s="235">
        <v>1</v>
      </c>
      <c r="E4" s="234" t="s">
        <v>172</v>
      </c>
      <c r="F4" s="296" t="s">
        <v>87</v>
      </c>
    </row>
    <row r="5" spans="1:6" ht="17" x14ac:dyDescent="0.25">
      <c r="B5" s="233" t="s">
        <v>956</v>
      </c>
      <c r="D5" s="236">
        <v>0.8</v>
      </c>
      <c r="E5" s="234" t="s">
        <v>172</v>
      </c>
      <c r="F5" s="296" t="s">
        <v>87</v>
      </c>
    </row>
    <row r="6" spans="1:6" ht="17" x14ac:dyDescent="0.25">
      <c r="B6" s="233" t="s">
        <v>957</v>
      </c>
      <c r="D6" s="287">
        <f>'Energy Balance'!Q10</f>
        <v>5.0000000000000009</v>
      </c>
      <c r="E6" s="259" t="s">
        <v>172</v>
      </c>
      <c r="F6" s="296" t="s">
        <v>173</v>
      </c>
    </row>
    <row r="7" spans="1:6" x14ac:dyDescent="0.15">
      <c r="A7" s="232" t="s">
        <v>174</v>
      </c>
    </row>
    <row r="8" spans="1:6" ht="17" x14ac:dyDescent="0.25">
      <c r="B8" s="233" t="s">
        <v>958</v>
      </c>
      <c r="D8" s="238">
        <v>0</v>
      </c>
      <c r="E8" s="234" t="s">
        <v>175</v>
      </c>
      <c r="F8" s="296" t="s">
        <v>187</v>
      </c>
    </row>
    <row r="9" spans="1:6" ht="17" x14ac:dyDescent="0.25">
      <c r="B9" s="233" t="s">
        <v>959</v>
      </c>
      <c r="D9" s="239">
        <v>0.8</v>
      </c>
      <c r="E9" s="234" t="s">
        <v>111</v>
      </c>
      <c r="F9" s="296" t="s">
        <v>189</v>
      </c>
    </row>
    <row r="10" spans="1:6" ht="17" x14ac:dyDescent="0.25">
      <c r="B10" s="233" t="s">
        <v>960</v>
      </c>
      <c r="D10" s="239">
        <v>0</v>
      </c>
      <c r="E10" s="234" t="s">
        <v>111</v>
      </c>
      <c r="F10" s="296" t="s">
        <v>185</v>
      </c>
    </row>
    <row r="11" spans="1:6" ht="17" x14ac:dyDescent="0.25">
      <c r="B11" s="233" t="s">
        <v>961</v>
      </c>
      <c r="D11" s="288">
        <f>'Energy Balance'!D10</f>
        <v>0</v>
      </c>
      <c r="E11" s="234" t="s">
        <v>175</v>
      </c>
      <c r="F11" s="296" t="s">
        <v>947</v>
      </c>
    </row>
    <row r="12" spans="1:6" ht="17" x14ac:dyDescent="0.25">
      <c r="B12" s="233" t="s">
        <v>962</v>
      </c>
      <c r="C12" s="233" t="s">
        <v>177</v>
      </c>
      <c r="D12" s="235">
        <v>60</v>
      </c>
      <c r="E12" s="234" t="s">
        <v>175</v>
      </c>
      <c r="F12" s="296" t="s">
        <v>204</v>
      </c>
    </row>
    <row r="13" spans="1:6" ht="17" x14ac:dyDescent="0.25">
      <c r="B13" s="233" t="s">
        <v>963</v>
      </c>
      <c r="D13" s="235">
        <v>0</v>
      </c>
      <c r="E13" s="234" t="s">
        <v>175</v>
      </c>
      <c r="F13" s="296" t="s">
        <v>186</v>
      </c>
    </row>
    <row r="14" spans="1:6" ht="17" x14ac:dyDescent="0.25">
      <c r="B14" s="233" t="s">
        <v>964</v>
      </c>
      <c r="D14" s="289">
        <f>'Energy Balance'!S10</f>
        <v>677.07524723199174</v>
      </c>
      <c r="E14" s="234" t="s">
        <v>175</v>
      </c>
      <c r="F14" s="296" t="s">
        <v>948</v>
      </c>
    </row>
    <row r="15" spans="1:6" ht="17" x14ac:dyDescent="0.25">
      <c r="B15" s="233" t="s">
        <v>965</v>
      </c>
      <c r="D15" s="235">
        <v>0</v>
      </c>
      <c r="E15" s="234" t="s">
        <v>178</v>
      </c>
      <c r="F15" s="296" t="s">
        <v>188</v>
      </c>
    </row>
    <row r="16" spans="1:6" ht="17" x14ac:dyDescent="0.25">
      <c r="B16" s="233" t="s">
        <v>966</v>
      </c>
      <c r="D16" s="289">
        <f>'Energy Balance'!Y10</f>
        <v>-876.22873089752466</v>
      </c>
      <c r="E16" s="234" t="s">
        <v>175</v>
      </c>
      <c r="F16" s="296" t="s">
        <v>176</v>
      </c>
    </row>
    <row r="17" spans="1:6" ht="17" x14ac:dyDescent="0.25">
      <c r="A17" s="232" t="s">
        <v>967</v>
      </c>
    </row>
    <row r="18" spans="1:6" ht="17" x14ac:dyDescent="0.25">
      <c r="B18" s="233" t="s">
        <v>968</v>
      </c>
      <c r="D18" s="289">
        <f>GWP!P8</f>
        <v>5000</v>
      </c>
      <c r="E18" s="234" t="s">
        <v>969</v>
      </c>
      <c r="F18" s="296" t="s">
        <v>949</v>
      </c>
    </row>
    <row r="19" spans="1:6" ht="17" x14ac:dyDescent="0.25">
      <c r="B19" s="233" t="s">
        <v>970</v>
      </c>
      <c r="D19" s="242">
        <v>0</v>
      </c>
      <c r="E19" s="234" t="s">
        <v>172</v>
      </c>
      <c r="F19" s="296" t="s">
        <v>190</v>
      </c>
    </row>
    <row r="20" spans="1:6" ht="17" x14ac:dyDescent="0.25">
      <c r="B20" s="233" t="s">
        <v>971</v>
      </c>
      <c r="D20" s="290">
        <f>GWP!R8</f>
        <v>0</v>
      </c>
      <c r="E20" s="234" t="s">
        <v>969</v>
      </c>
      <c r="F20" s="296" t="s">
        <v>193</v>
      </c>
    </row>
    <row r="21" spans="1:6" ht="17" x14ac:dyDescent="0.25">
      <c r="B21" s="233" t="s">
        <v>972</v>
      </c>
      <c r="D21" s="235">
        <v>0</v>
      </c>
      <c r="E21" s="234" t="s">
        <v>172</v>
      </c>
      <c r="F21" s="296" t="s">
        <v>192</v>
      </c>
    </row>
    <row r="22" spans="1:6" ht="17" x14ac:dyDescent="0.25">
      <c r="B22" s="233" t="s">
        <v>973</v>
      </c>
      <c r="D22" s="290">
        <f>GWP!T8</f>
        <v>0</v>
      </c>
      <c r="E22" s="234" t="s">
        <v>969</v>
      </c>
      <c r="F22" s="296" t="s">
        <v>919</v>
      </c>
    </row>
    <row r="23" spans="1:6" ht="17" x14ac:dyDescent="0.25">
      <c r="B23" s="233" t="s">
        <v>974</v>
      </c>
      <c r="D23" s="235">
        <v>0</v>
      </c>
      <c r="E23" s="234" t="s">
        <v>969</v>
      </c>
      <c r="F23" s="296" t="s">
        <v>200</v>
      </c>
    </row>
    <row r="24" spans="1:6" ht="17" x14ac:dyDescent="0.25">
      <c r="B24" s="233" t="s">
        <v>975</v>
      </c>
      <c r="D24" s="235">
        <v>0</v>
      </c>
      <c r="E24" s="234" t="s">
        <v>969</v>
      </c>
      <c r="F24" s="296" t="s">
        <v>190</v>
      </c>
    </row>
    <row r="25" spans="1:6" ht="17" x14ac:dyDescent="0.25">
      <c r="B25" s="233" t="s">
        <v>976</v>
      </c>
      <c r="D25" s="291">
        <f>GWP!AB8</f>
        <v>5332.2262738433246</v>
      </c>
      <c r="E25" s="234" t="s">
        <v>969</v>
      </c>
      <c r="F25" s="296" t="s">
        <v>179</v>
      </c>
    </row>
    <row r="26" spans="1:6" x14ac:dyDescent="0.15">
      <c r="A26" s="232" t="s">
        <v>41</v>
      </c>
    </row>
    <row r="27" spans="1:6" ht="14" x14ac:dyDescent="0.15">
      <c r="B27" s="233" t="s">
        <v>194</v>
      </c>
      <c r="D27" s="245">
        <v>35000</v>
      </c>
      <c r="E27" s="234" t="s">
        <v>835</v>
      </c>
      <c r="F27" s="296" t="s">
        <v>208</v>
      </c>
    </row>
    <row r="28" spans="1:6" ht="14" x14ac:dyDescent="0.15">
      <c r="B28" s="233" t="s">
        <v>796</v>
      </c>
      <c r="D28" s="246">
        <v>2.3E-2</v>
      </c>
      <c r="E28" s="234" t="s">
        <v>111</v>
      </c>
      <c r="F28" s="297" t="s">
        <v>797</v>
      </c>
    </row>
    <row r="29" spans="1:6" x14ac:dyDescent="0.15">
      <c r="B29" s="233" t="s">
        <v>799</v>
      </c>
      <c r="D29" s="242">
        <f>D27*(1+D28)</f>
        <v>35805</v>
      </c>
      <c r="E29" s="234" t="s">
        <v>404</v>
      </c>
      <c r="F29" s="297"/>
    </row>
    <row r="30" spans="1:6" x14ac:dyDescent="0.15">
      <c r="A30" s="232" t="s">
        <v>195</v>
      </c>
    </row>
    <row r="31" spans="1:6" ht="14" x14ac:dyDescent="0.15">
      <c r="B31" s="233" t="s">
        <v>42</v>
      </c>
      <c r="D31" s="234">
        <v>22</v>
      </c>
      <c r="E31" s="234" t="s">
        <v>824</v>
      </c>
      <c r="F31" s="296" t="s">
        <v>208</v>
      </c>
    </row>
    <row r="32" spans="1:6" ht="14" x14ac:dyDescent="0.15">
      <c r="B32" s="233" t="s">
        <v>796</v>
      </c>
      <c r="D32" s="246">
        <v>2.3E-2</v>
      </c>
      <c r="E32" s="234" t="s">
        <v>111</v>
      </c>
      <c r="F32" s="297" t="s">
        <v>797</v>
      </c>
    </row>
    <row r="33" spans="1:6" x14ac:dyDescent="0.15">
      <c r="B33" s="233" t="s">
        <v>798</v>
      </c>
      <c r="D33" s="247">
        <f>D31*(1+D32)</f>
        <v>22.505999999999997</v>
      </c>
      <c r="E33" s="234" t="s">
        <v>816</v>
      </c>
    </row>
    <row r="34" spans="1:6" ht="14" x14ac:dyDescent="0.15">
      <c r="B34" s="233" t="s">
        <v>197</v>
      </c>
      <c r="D34" s="291">
        <f>'Commercial Viability'!F11</f>
        <v>288.09657325363202</v>
      </c>
      <c r="E34" s="234" t="s">
        <v>199</v>
      </c>
      <c r="F34" s="296" t="s">
        <v>950</v>
      </c>
    </row>
    <row r="35" spans="1:6" ht="14" x14ac:dyDescent="0.15">
      <c r="B35" s="233" t="s">
        <v>196</v>
      </c>
      <c r="D35" s="235">
        <v>0</v>
      </c>
      <c r="E35" s="234" t="s">
        <v>199</v>
      </c>
      <c r="F35" s="296" t="s">
        <v>198</v>
      </c>
    </row>
    <row r="36" spans="1:6" ht="14" x14ac:dyDescent="0.15">
      <c r="B36" s="233" t="s">
        <v>195</v>
      </c>
      <c r="D36" s="291">
        <f>D35-D34-D33</f>
        <v>-310.60257325363199</v>
      </c>
      <c r="E36" s="234" t="s">
        <v>199</v>
      </c>
      <c r="F36" s="296" t="s">
        <v>951</v>
      </c>
    </row>
    <row r="37" spans="1:6" x14ac:dyDescent="0.15">
      <c r="A37" s="232" t="s">
        <v>201</v>
      </c>
    </row>
    <row r="38" spans="1:6" ht="28" x14ac:dyDescent="0.15">
      <c r="B38" s="233" t="s">
        <v>6</v>
      </c>
      <c r="D38" s="235">
        <v>9</v>
      </c>
      <c r="F38" s="296" t="s">
        <v>202</v>
      </c>
    </row>
    <row r="40" spans="1:6" s="228" customFormat="1" x14ac:dyDescent="0.15">
      <c r="A40" s="225" t="s">
        <v>977</v>
      </c>
      <c r="B40" s="226"/>
      <c r="C40" s="226"/>
      <c r="D40" s="227"/>
      <c r="E40" s="227"/>
      <c r="F40" s="294"/>
    </row>
    <row r="41" spans="1:6" ht="14" x14ac:dyDescent="0.15">
      <c r="B41" s="230" t="s">
        <v>171</v>
      </c>
      <c r="C41" s="230"/>
      <c r="D41" s="231" t="s">
        <v>170</v>
      </c>
      <c r="E41" s="231" t="s">
        <v>169</v>
      </c>
      <c r="F41" s="295" t="s">
        <v>168</v>
      </c>
    </row>
    <row r="42" spans="1:6" x14ac:dyDescent="0.15">
      <c r="A42" s="232" t="s">
        <v>167</v>
      </c>
    </row>
    <row r="43" spans="1:6" ht="17" x14ac:dyDescent="0.25">
      <c r="B43" s="233" t="s">
        <v>955</v>
      </c>
      <c r="D43" s="235">
        <v>1</v>
      </c>
      <c r="E43" s="234" t="s">
        <v>172</v>
      </c>
      <c r="F43" s="296" t="s">
        <v>87</v>
      </c>
    </row>
    <row r="44" spans="1:6" ht="17" x14ac:dyDescent="0.25">
      <c r="B44" s="233" t="s">
        <v>956</v>
      </c>
      <c r="D44" s="236">
        <v>0.8</v>
      </c>
      <c r="E44" s="234" t="s">
        <v>172</v>
      </c>
      <c r="F44" s="296" t="s">
        <v>87</v>
      </c>
    </row>
    <row r="45" spans="1:6" ht="17" x14ac:dyDescent="0.25">
      <c r="B45" s="233" t="s">
        <v>957</v>
      </c>
      <c r="D45" s="287">
        <f>'Energy Balance'!Q11</f>
        <v>5.0000000000000009</v>
      </c>
      <c r="E45" s="234" t="s">
        <v>172</v>
      </c>
      <c r="F45" s="296" t="s">
        <v>173</v>
      </c>
    </row>
    <row r="46" spans="1:6" x14ac:dyDescent="0.15">
      <c r="A46" s="232" t="s">
        <v>174</v>
      </c>
    </row>
    <row r="47" spans="1:6" ht="17" x14ac:dyDescent="0.25">
      <c r="B47" s="233" t="s">
        <v>958</v>
      </c>
      <c r="D47" s="238">
        <v>0</v>
      </c>
      <c r="E47" s="234" t="s">
        <v>175</v>
      </c>
      <c r="F47" s="296" t="s">
        <v>187</v>
      </c>
    </row>
    <row r="48" spans="1:6" ht="17" x14ac:dyDescent="0.25">
      <c r="B48" s="233" t="s">
        <v>959</v>
      </c>
      <c r="D48" s="239">
        <v>0.8</v>
      </c>
      <c r="E48" s="234" t="s">
        <v>111</v>
      </c>
      <c r="F48" s="296" t="s">
        <v>189</v>
      </c>
    </row>
    <row r="49" spans="1:6" ht="17" x14ac:dyDescent="0.25">
      <c r="B49" s="233" t="s">
        <v>960</v>
      </c>
      <c r="D49" s="239">
        <v>0.8</v>
      </c>
      <c r="E49" s="234" t="s">
        <v>111</v>
      </c>
      <c r="F49" s="296" t="s">
        <v>189</v>
      </c>
    </row>
    <row r="50" spans="1:6" ht="17" x14ac:dyDescent="0.25">
      <c r="B50" s="233" t="s">
        <v>961</v>
      </c>
      <c r="D50" s="288">
        <f>'Energy Balance'!D11</f>
        <v>1223.3955555555556</v>
      </c>
      <c r="E50" s="234" t="s">
        <v>175</v>
      </c>
      <c r="F50" s="296" t="s">
        <v>947</v>
      </c>
    </row>
    <row r="51" spans="1:6" ht="17" x14ac:dyDescent="0.25">
      <c r="B51" s="233" t="s">
        <v>962</v>
      </c>
      <c r="C51" s="233" t="s">
        <v>177</v>
      </c>
      <c r="D51" s="235">
        <v>60</v>
      </c>
      <c r="E51" s="234" t="s">
        <v>175</v>
      </c>
      <c r="F51" s="296" t="s">
        <v>204</v>
      </c>
    </row>
    <row r="52" spans="1:6" ht="17" x14ac:dyDescent="0.25">
      <c r="B52" s="233" t="s">
        <v>963</v>
      </c>
      <c r="D52" s="235">
        <v>0</v>
      </c>
      <c r="E52" s="234" t="s">
        <v>175</v>
      </c>
      <c r="F52" s="296" t="s">
        <v>186</v>
      </c>
    </row>
    <row r="53" spans="1:6" ht="17" x14ac:dyDescent="0.25">
      <c r="B53" s="233" t="s">
        <v>964</v>
      </c>
      <c r="D53" s="289">
        <f>'Energy Balance'!S11</f>
        <v>677.07524723199174</v>
      </c>
      <c r="E53" s="234" t="s">
        <v>175</v>
      </c>
      <c r="F53" s="296" t="s">
        <v>948</v>
      </c>
    </row>
    <row r="54" spans="1:6" ht="17" x14ac:dyDescent="0.25">
      <c r="B54" s="233" t="s">
        <v>965</v>
      </c>
      <c r="D54" s="235">
        <v>0</v>
      </c>
      <c r="E54" s="234" t="s">
        <v>178</v>
      </c>
      <c r="F54" s="296" t="s">
        <v>188</v>
      </c>
    </row>
    <row r="55" spans="1:6" ht="17" x14ac:dyDescent="0.25">
      <c r="B55" s="233" t="s">
        <v>966</v>
      </c>
      <c r="D55" s="289">
        <f>'Energy Balance'!Y11</f>
        <v>423.39322146513121</v>
      </c>
      <c r="E55" s="234" t="s">
        <v>175</v>
      </c>
      <c r="F55" s="296" t="s">
        <v>176</v>
      </c>
    </row>
    <row r="56" spans="1:6" ht="17" x14ac:dyDescent="0.25">
      <c r="A56" s="232" t="s">
        <v>967</v>
      </c>
    </row>
    <row r="57" spans="1:6" ht="17" x14ac:dyDescent="0.25">
      <c r="B57" s="233" t="s">
        <v>968</v>
      </c>
      <c r="D57" s="289">
        <f>GWP!P9</f>
        <v>999.99999999999977</v>
      </c>
      <c r="E57" s="234" t="s">
        <v>969</v>
      </c>
      <c r="F57" s="296" t="s">
        <v>949</v>
      </c>
    </row>
    <row r="58" spans="1:6" ht="17" x14ac:dyDescent="0.25">
      <c r="B58" s="233" t="s">
        <v>970</v>
      </c>
      <c r="D58" s="242">
        <v>0</v>
      </c>
      <c r="E58" s="234" t="s">
        <v>172</v>
      </c>
      <c r="F58" s="296" t="s">
        <v>190</v>
      </c>
    </row>
    <row r="59" spans="1:6" ht="17" x14ac:dyDescent="0.25">
      <c r="B59" s="233" t="s">
        <v>971</v>
      </c>
      <c r="D59" s="290">
        <f>GWP!R9</f>
        <v>0</v>
      </c>
      <c r="E59" s="234" t="s">
        <v>969</v>
      </c>
      <c r="F59" s="296" t="s">
        <v>193</v>
      </c>
    </row>
    <row r="60" spans="1:6" ht="17" x14ac:dyDescent="0.25">
      <c r="B60" s="233" t="s">
        <v>972</v>
      </c>
      <c r="D60" s="235">
        <v>0</v>
      </c>
      <c r="E60" s="234" t="s">
        <v>172</v>
      </c>
      <c r="F60" s="296" t="s">
        <v>192</v>
      </c>
    </row>
    <row r="61" spans="1:6" ht="17" x14ac:dyDescent="0.25">
      <c r="B61" s="233" t="s">
        <v>973</v>
      </c>
      <c r="D61" s="290">
        <f>GWP!T9</f>
        <v>0</v>
      </c>
      <c r="E61" s="234" t="s">
        <v>969</v>
      </c>
      <c r="F61" s="296" t="s">
        <v>919</v>
      </c>
    </row>
    <row r="62" spans="1:6" ht="17" x14ac:dyDescent="0.25">
      <c r="B62" s="233" t="s">
        <v>974</v>
      </c>
      <c r="D62" s="235">
        <v>0</v>
      </c>
      <c r="E62" s="234" t="s">
        <v>969</v>
      </c>
      <c r="F62" s="296" t="s">
        <v>200</v>
      </c>
    </row>
    <row r="63" spans="1:6" ht="17" x14ac:dyDescent="0.25">
      <c r="B63" s="233" t="s">
        <v>975</v>
      </c>
      <c r="D63" s="235">
        <v>0</v>
      </c>
      <c r="E63" s="234" t="s">
        <v>969</v>
      </c>
      <c r="F63" s="296" t="s">
        <v>190</v>
      </c>
    </row>
    <row r="64" spans="1:6" ht="17" x14ac:dyDescent="0.25">
      <c r="B64" s="233" t="s">
        <v>976</v>
      </c>
      <c r="D64" s="291">
        <f>GWP!AB9</f>
        <v>825.86057788314622</v>
      </c>
      <c r="E64" s="234" t="s">
        <v>969</v>
      </c>
      <c r="F64" s="296" t="s">
        <v>179</v>
      </c>
    </row>
    <row r="65" spans="1:6" x14ac:dyDescent="0.15">
      <c r="A65" s="232" t="s">
        <v>41</v>
      </c>
    </row>
    <row r="66" spans="1:6" ht="14" x14ac:dyDescent="0.15">
      <c r="B66" s="233" t="s">
        <v>194</v>
      </c>
      <c r="D66" s="245">
        <v>35000</v>
      </c>
      <c r="E66" s="234" t="s">
        <v>835</v>
      </c>
      <c r="F66" s="296" t="s">
        <v>208</v>
      </c>
    </row>
    <row r="67" spans="1:6" ht="14" x14ac:dyDescent="0.15">
      <c r="B67" s="233" t="s">
        <v>796</v>
      </c>
      <c r="D67" s="246">
        <v>2.3E-2</v>
      </c>
      <c r="E67" s="234" t="s">
        <v>111</v>
      </c>
      <c r="F67" s="297" t="s">
        <v>797</v>
      </c>
    </row>
    <row r="68" spans="1:6" x14ac:dyDescent="0.15">
      <c r="B68" s="233" t="s">
        <v>799</v>
      </c>
      <c r="D68" s="242">
        <f>D66*(1+D67)</f>
        <v>35805</v>
      </c>
      <c r="E68" s="234" t="s">
        <v>404</v>
      </c>
      <c r="F68" s="297"/>
    </row>
    <row r="69" spans="1:6" x14ac:dyDescent="0.15">
      <c r="A69" s="232" t="s">
        <v>195</v>
      </c>
    </row>
    <row r="70" spans="1:6" ht="14" x14ac:dyDescent="0.15">
      <c r="B70" s="233" t="s">
        <v>42</v>
      </c>
      <c r="D70" s="234">
        <v>22</v>
      </c>
      <c r="E70" s="234" t="s">
        <v>824</v>
      </c>
      <c r="F70" s="296" t="s">
        <v>208</v>
      </c>
    </row>
    <row r="71" spans="1:6" ht="14" x14ac:dyDescent="0.15">
      <c r="B71" s="233" t="s">
        <v>796</v>
      </c>
      <c r="D71" s="246">
        <v>2.3E-2</v>
      </c>
      <c r="E71" s="234" t="s">
        <v>111</v>
      </c>
      <c r="F71" s="297" t="s">
        <v>797</v>
      </c>
    </row>
    <row r="72" spans="1:6" x14ac:dyDescent="0.15">
      <c r="B72" s="233" t="s">
        <v>798</v>
      </c>
      <c r="D72" s="247">
        <f>D70*(1+D71)</f>
        <v>22.505999999999997</v>
      </c>
      <c r="E72" s="234" t="s">
        <v>816</v>
      </c>
    </row>
    <row r="73" spans="1:6" ht="14" x14ac:dyDescent="0.15">
      <c r="B73" s="233" t="s">
        <v>197</v>
      </c>
      <c r="D73" s="291">
        <f>'Commercial Viability'!F12</f>
        <v>288.09657325363202</v>
      </c>
      <c r="E73" s="234" t="s">
        <v>199</v>
      </c>
      <c r="F73" s="296" t="s">
        <v>950</v>
      </c>
    </row>
    <row r="74" spans="1:6" ht="14" x14ac:dyDescent="0.15">
      <c r="B74" s="233" t="s">
        <v>196</v>
      </c>
      <c r="D74" s="235">
        <v>0</v>
      </c>
      <c r="E74" s="234" t="s">
        <v>199</v>
      </c>
      <c r="F74" s="296" t="s">
        <v>198</v>
      </c>
    </row>
    <row r="75" spans="1:6" ht="14" x14ac:dyDescent="0.15">
      <c r="B75" s="233" t="s">
        <v>195</v>
      </c>
      <c r="D75" s="291">
        <f>D74-D73-D72</f>
        <v>-310.60257325363199</v>
      </c>
      <c r="E75" s="234" t="s">
        <v>199</v>
      </c>
      <c r="F75" s="296" t="s">
        <v>951</v>
      </c>
    </row>
    <row r="77" spans="1:6" x14ac:dyDescent="0.15">
      <c r="A77" s="232" t="s">
        <v>201</v>
      </c>
    </row>
    <row r="78" spans="1:6" ht="28" x14ac:dyDescent="0.15">
      <c r="B78" s="233" t="s">
        <v>6</v>
      </c>
      <c r="D78" s="235">
        <v>9</v>
      </c>
      <c r="F78" s="296" t="s">
        <v>202</v>
      </c>
    </row>
    <row r="80" spans="1:6" s="228" customFormat="1" x14ac:dyDescent="0.15">
      <c r="A80" s="285" t="s">
        <v>1010</v>
      </c>
      <c r="B80" s="226"/>
      <c r="C80" s="226"/>
      <c r="D80" s="227"/>
      <c r="E80" s="227"/>
      <c r="F80" s="294"/>
    </row>
    <row r="81" spans="1:6" ht="14" x14ac:dyDescent="0.15">
      <c r="B81" s="230" t="s">
        <v>171</v>
      </c>
      <c r="C81" s="230"/>
      <c r="D81" s="231" t="s">
        <v>170</v>
      </c>
      <c r="E81" s="231" t="s">
        <v>169</v>
      </c>
      <c r="F81" s="295" t="s">
        <v>168</v>
      </c>
    </row>
    <row r="82" spans="1:6" x14ac:dyDescent="0.15">
      <c r="A82" s="232" t="s">
        <v>167</v>
      </c>
    </row>
    <row r="83" spans="1:6" ht="17" x14ac:dyDescent="0.25">
      <c r="B83" s="233" t="s">
        <v>955</v>
      </c>
      <c r="D83" s="235">
        <v>1</v>
      </c>
      <c r="E83" s="234" t="s">
        <v>172</v>
      </c>
      <c r="F83" s="296" t="s">
        <v>87</v>
      </c>
    </row>
    <row r="84" spans="1:6" ht="17" x14ac:dyDescent="0.25">
      <c r="B84" s="233" t="s">
        <v>956</v>
      </c>
      <c r="D84" s="248">
        <v>0.5</v>
      </c>
      <c r="E84" s="234" t="s">
        <v>172</v>
      </c>
      <c r="F84" s="296" t="s">
        <v>87</v>
      </c>
    </row>
    <row r="85" spans="1:6" ht="17" x14ac:dyDescent="0.25">
      <c r="B85" s="233" t="s">
        <v>957</v>
      </c>
      <c r="D85" s="287">
        <f>'Energy Balance'!Q12</f>
        <v>2</v>
      </c>
      <c r="E85" s="234" t="s">
        <v>172</v>
      </c>
      <c r="F85" s="296" t="s">
        <v>173</v>
      </c>
    </row>
    <row r="86" spans="1:6" x14ac:dyDescent="0.15">
      <c r="A86" s="232" t="s">
        <v>174</v>
      </c>
    </row>
    <row r="87" spans="1:6" ht="17" x14ac:dyDescent="0.25">
      <c r="B87" s="233" t="s">
        <v>958</v>
      </c>
      <c r="D87" s="238">
        <v>0</v>
      </c>
      <c r="E87" s="234" t="s">
        <v>175</v>
      </c>
      <c r="F87" s="296" t="s">
        <v>187</v>
      </c>
    </row>
    <row r="88" spans="1:6" ht="17" x14ac:dyDescent="0.25">
      <c r="B88" s="233" t="s">
        <v>959</v>
      </c>
      <c r="D88" s="239">
        <v>0.8</v>
      </c>
      <c r="E88" s="234" t="s">
        <v>111</v>
      </c>
      <c r="F88" s="296" t="s">
        <v>189</v>
      </c>
    </row>
    <row r="89" spans="1:6" ht="17" x14ac:dyDescent="0.25">
      <c r="B89" s="233" t="s">
        <v>960</v>
      </c>
      <c r="D89" s="248">
        <v>0</v>
      </c>
      <c r="E89" s="234" t="s">
        <v>111</v>
      </c>
      <c r="F89" s="296" t="s">
        <v>189</v>
      </c>
    </row>
    <row r="90" spans="1:6" ht="17" x14ac:dyDescent="0.25">
      <c r="B90" s="233" t="s">
        <v>961</v>
      </c>
      <c r="D90" s="288">
        <f>'Energy Balance'!D12</f>
        <v>0</v>
      </c>
      <c r="E90" s="234" t="s">
        <v>175</v>
      </c>
      <c r="F90" s="296" t="s">
        <v>947</v>
      </c>
    </row>
    <row r="91" spans="1:6" ht="17" x14ac:dyDescent="0.25">
      <c r="B91" s="233" t="s">
        <v>962</v>
      </c>
      <c r="C91" s="233" t="s">
        <v>177</v>
      </c>
      <c r="D91" s="235">
        <v>60</v>
      </c>
      <c r="E91" s="234" t="s">
        <v>175</v>
      </c>
      <c r="F91" s="296" t="s">
        <v>204</v>
      </c>
    </row>
    <row r="92" spans="1:6" ht="17" x14ac:dyDescent="0.25">
      <c r="B92" s="233" t="s">
        <v>963</v>
      </c>
      <c r="D92" s="235">
        <v>0</v>
      </c>
      <c r="E92" s="234" t="s">
        <v>175</v>
      </c>
      <c r="F92" s="296" t="s">
        <v>186</v>
      </c>
    </row>
    <row r="93" spans="1:6" ht="17" x14ac:dyDescent="0.25">
      <c r="B93" s="233" t="s">
        <v>964</v>
      </c>
      <c r="D93" s="289">
        <f>'Energy Balance'!S12</f>
        <v>270.83009889279663</v>
      </c>
      <c r="E93" s="234" t="s">
        <v>175</v>
      </c>
      <c r="F93" s="296" t="s">
        <v>948</v>
      </c>
    </row>
    <row r="94" spans="1:6" ht="17" x14ac:dyDescent="0.25">
      <c r="B94" s="233" t="s">
        <v>965</v>
      </c>
      <c r="D94" s="235">
        <v>2500</v>
      </c>
      <c r="E94" s="234" t="s">
        <v>175</v>
      </c>
      <c r="F94" s="296" t="s">
        <v>204</v>
      </c>
    </row>
    <row r="95" spans="1:6" ht="17" x14ac:dyDescent="0.25">
      <c r="B95" s="233" t="s">
        <v>965</v>
      </c>
      <c r="D95" s="235">
        <f>D94*3412/1000000</f>
        <v>8.5299999999999994</v>
      </c>
      <c r="E95" s="234" t="s">
        <v>178</v>
      </c>
      <c r="F95" s="296" t="s">
        <v>205</v>
      </c>
    </row>
    <row r="96" spans="1:6" ht="17" x14ac:dyDescent="0.25">
      <c r="B96" s="233" t="s">
        <v>966</v>
      </c>
      <c r="D96" s="289">
        <f>'Energy Balance'!Y12</f>
        <v>-3035.7933764199024</v>
      </c>
      <c r="E96" s="234" t="s">
        <v>175</v>
      </c>
      <c r="F96" s="296" t="s">
        <v>176</v>
      </c>
    </row>
    <row r="97" spans="1:6" ht="17" x14ac:dyDescent="0.25">
      <c r="A97" s="232" t="s">
        <v>967</v>
      </c>
    </row>
    <row r="98" spans="1:6" ht="17" x14ac:dyDescent="0.25">
      <c r="B98" s="233" t="s">
        <v>968</v>
      </c>
      <c r="D98" s="289">
        <f>GWP!P10</f>
        <v>5000</v>
      </c>
      <c r="E98" s="234" t="s">
        <v>969</v>
      </c>
      <c r="F98" s="296" t="s">
        <v>949</v>
      </c>
    </row>
    <row r="99" spans="1:6" ht="17" x14ac:dyDescent="0.25">
      <c r="B99" s="233" t="s">
        <v>970</v>
      </c>
      <c r="D99" s="242">
        <v>0</v>
      </c>
      <c r="E99" s="234" t="s">
        <v>172</v>
      </c>
      <c r="F99" s="296" t="s">
        <v>190</v>
      </c>
    </row>
    <row r="100" spans="1:6" ht="17" x14ac:dyDescent="0.25">
      <c r="B100" s="233" t="s">
        <v>971</v>
      </c>
      <c r="D100" s="290">
        <f>GWP!R10</f>
        <v>0</v>
      </c>
      <c r="E100" s="234" t="s">
        <v>969</v>
      </c>
      <c r="F100" s="296" t="s">
        <v>193</v>
      </c>
    </row>
    <row r="101" spans="1:6" ht="17" x14ac:dyDescent="0.25">
      <c r="B101" s="233" t="s">
        <v>972</v>
      </c>
      <c r="D101" s="235">
        <v>0</v>
      </c>
      <c r="E101" s="234" t="s">
        <v>172</v>
      </c>
      <c r="F101" s="296" t="s">
        <v>192</v>
      </c>
    </row>
    <row r="102" spans="1:6" ht="17" x14ac:dyDescent="0.25">
      <c r="B102" s="233" t="s">
        <v>973</v>
      </c>
      <c r="D102" s="290">
        <f>GWP!T10</f>
        <v>0</v>
      </c>
      <c r="E102" s="234" t="s">
        <v>969</v>
      </c>
      <c r="F102" s="296" t="s">
        <v>919</v>
      </c>
    </row>
    <row r="103" spans="1:6" ht="17" x14ac:dyDescent="0.25">
      <c r="B103" s="233" t="s">
        <v>974</v>
      </c>
      <c r="D103" s="235">
        <v>0</v>
      </c>
      <c r="E103" s="234" t="s">
        <v>969</v>
      </c>
      <c r="F103" s="296" t="s">
        <v>200</v>
      </c>
    </row>
    <row r="104" spans="1:6" ht="17" x14ac:dyDescent="0.25">
      <c r="B104" s="233" t="s">
        <v>975</v>
      </c>
      <c r="D104" s="235">
        <v>0</v>
      </c>
      <c r="E104" s="234" t="s">
        <v>969</v>
      </c>
      <c r="F104" s="296" t="s">
        <v>190</v>
      </c>
    </row>
    <row r="105" spans="1:6" ht="17" x14ac:dyDescent="0.25">
      <c r="B105" s="233" t="s">
        <v>976</v>
      </c>
      <c r="D105" s="291">
        <f>GWP!AB10</f>
        <v>6232.7909764973301</v>
      </c>
      <c r="E105" s="234" t="s">
        <v>969</v>
      </c>
      <c r="F105" s="296" t="s">
        <v>179</v>
      </c>
    </row>
    <row r="106" spans="1:6" x14ac:dyDescent="0.15">
      <c r="A106" s="232" t="s">
        <v>41</v>
      </c>
    </row>
    <row r="107" spans="1:6" ht="14" x14ac:dyDescent="0.15">
      <c r="B107" s="233" t="s">
        <v>194</v>
      </c>
      <c r="D107" s="245">
        <v>35000</v>
      </c>
      <c r="E107" s="234" t="s">
        <v>835</v>
      </c>
      <c r="F107" s="296" t="s">
        <v>208</v>
      </c>
    </row>
    <row r="108" spans="1:6" ht="14" x14ac:dyDescent="0.15">
      <c r="B108" s="233" t="s">
        <v>206</v>
      </c>
      <c r="D108" s="245">
        <v>220000</v>
      </c>
      <c r="E108" s="234" t="s">
        <v>835</v>
      </c>
      <c r="F108" s="296" t="s">
        <v>208</v>
      </c>
    </row>
    <row r="109" spans="1:6" ht="14" x14ac:dyDescent="0.15">
      <c r="B109" s="233" t="s">
        <v>207</v>
      </c>
      <c r="D109" s="245">
        <f>SUM(D107:D108)</f>
        <v>255000</v>
      </c>
      <c r="E109" s="234" t="s">
        <v>835</v>
      </c>
      <c r="F109" s="296" t="s">
        <v>66</v>
      </c>
    </row>
    <row r="110" spans="1:6" ht="14" x14ac:dyDescent="0.15">
      <c r="B110" s="233" t="s">
        <v>796</v>
      </c>
      <c r="D110" s="246">
        <v>2.3E-2</v>
      </c>
      <c r="E110" s="234" t="s">
        <v>111</v>
      </c>
      <c r="F110" s="297" t="s">
        <v>797</v>
      </c>
    </row>
    <row r="111" spans="1:6" x14ac:dyDescent="0.15">
      <c r="B111" s="233" t="s">
        <v>799</v>
      </c>
      <c r="D111" s="242">
        <f>D109*(1+D110)</f>
        <v>260864.99999999997</v>
      </c>
      <c r="E111" s="234" t="s">
        <v>404</v>
      </c>
      <c r="F111" s="297"/>
    </row>
    <row r="112" spans="1:6" x14ac:dyDescent="0.15">
      <c r="A112" s="232" t="s">
        <v>195</v>
      </c>
    </row>
    <row r="113" spans="1:6" x14ac:dyDescent="0.15">
      <c r="B113" s="233" t="s">
        <v>42</v>
      </c>
    </row>
    <row r="114" spans="1:6" ht="14" x14ac:dyDescent="0.15">
      <c r="C114" s="233" t="s">
        <v>177</v>
      </c>
      <c r="D114" s="234">
        <v>22</v>
      </c>
      <c r="E114" s="234" t="s">
        <v>824</v>
      </c>
      <c r="F114" s="296" t="s">
        <v>208</v>
      </c>
    </row>
    <row r="115" spans="1:6" ht="14" x14ac:dyDescent="0.15">
      <c r="C115" s="233" t="s">
        <v>209</v>
      </c>
      <c r="D115" s="234">
        <v>147</v>
      </c>
      <c r="E115" s="234" t="s">
        <v>824</v>
      </c>
      <c r="F115" s="296" t="s">
        <v>208</v>
      </c>
    </row>
    <row r="116" spans="1:6" x14ac:dyDescent="0.15">
      <c r="C116" s="233" t="s">
        <v>210</v>
      </c>
      <c r="D116" s="234">
        <f>SUM(D114:D115)</f>
        <v>169</v>
      </c>
      <c r="E116" s="234" t="s">
        <v>824</v>
      </c>
    </row>
    <row r="117" spans="1:6" ht="14" x14ac:dyDescent="0.15">
      <c r="B117" s="233" t="s">
        <v>796</v>
      </c>
      <c r="D117" s="246">
        <v>2.3E-2</v>
      </c>
      <c r="E117" s="234" t="s">
        <v>111</v>
      </c>
      <c r="F117" s="297" t="s">
        <v>797</v>
      </c>
    </row>
    <row r="118" spans="1:6" x14ac:dyDescent="0.15">
      <c r="B118" s="233" t="s">
        <v>798</v>
      </c>
      <c r="D118" s="247">
        <f>D116*(1+D117)</f>
        <v>172.88699999999997</v>
      </c>
      <c r="E118" s="234" t="s">
        <v>816</v>
      </c>
    </row>
    <row r="119" spans="1:6" ht="14" x14ac:dyDescent="0.15">
      <c r="B119" s="233" t="s">
        <v>197</v>
      </c>
      <c r="D119" s="291">
        <f>'Commercial Viability'!F13</f>
        <v>115.23862930145278</v>
      </c>
      <c r="E119" s="234" t="s">
        <v>199</v>
      </c>
      <c r="F119" s="296" t="s">
        <v>950</v>
      </c>
    </row>
    <row r="120" spans="1:6" ht="14" x14ac:dyDescent="0.15">
      <c r="B120" s="233" t="s">
        <v>196</v>
      </c>
      <c r="D120" s="235">
        <v>0</v>
      </c>
      <c r="E120" s="234" t="s">
        <v>199</v>
      </c>
      <c r="F120" s="296" t="s">
        <v>198</v>
      </c>
    </row>
    <row r="121" spans="1:6" ht="14" x14ac:dyDescent="0.15">
      <c r="B121" s="233" t="s">
        <v>195</v>
      </c>
      <c r="D121" s="291">
        <f>D120-D119-D118</f>
        <v>-288.12562930145276</v>
      </c>
      <c r="E121" s="234" t="s">
        <v>199</v>
      </c>
      <c r="F121" s="296" t="s">
        <v>951</v>
      </c>
    </row>
    <row r="122" spans="1:6" x14ac:dyDescent="0.15">
      <c r="A122" s="232" t="s">
        <v>201</v>
      </c>
    </row>
    <row r="123" spans="1:6" ht="28" x14ac:dyDescent="0.15">
      <c r="B123" s="233" t="s">
        <v>6</v>
      </c>
      <c r="D123" s="235">
        <v>9</v>
      </c>
      <c r="F123" s="296" t="s">
        <v>202</v>
      </c>
    </row>
    <row r="125" spans="1:6" x14ac:dyDescent="0.15">
      <c r="A125" s="285" t="s">
        <v>1011</v>
      </c>
      <c r="B125" s="226"/>
      <c r="C125" s="286"/>
      <c r="D125" s="227"/>
      <c r="E125" s="227"/>
      <c r="F125" s="294"/>
    </row>
    <row r="126" spans="1:6" ht="14" x14ac:dyDescent="0.15">
      <c r="B126" s="230" t="s">
        <v>171</v>
      </c>
      <c r="D126" s="231" t="s">
        <v>170</v>
      </c>
      <c r="E126" s="231" t="s">
        <v>169</v>
      </c>
      <c r="F126" s="295" t="s">
        <v>168</v>
      </c>
    </row>
    <row r="127" spans="1:6" x14ac:dyDescent="0.15">
      <c r="A127" s="232" t="s">
        <v>167</v>
      </c>
    </row>
    <row r="128" spans="1:6" ht="17" x14ac:dyDescent="0.25">
      <c r="B128" s="233" t="s">
        <v>955</v>
      </c>
      <c r="D128" s="235">
        <v>1</v>
      </c>
      <c r="E128" s="234" t="s">
        <v>172</v>
      </c>
      <c r="F128" s="296" t="s">
        <v>87</v>
      </c>
    </row>
    <row r="129" spans="1:6" ht="17" x14ac:dyDescent="0.25">
      <c r="B129" s="233" t="s">
        <v>956</v>
      </c>
      <c r="D129" s="248">
        <v>0.5</v>
      </c>
      <c r="E129" s="234" t="s">
        <v>172</v>
      </c>
      <c r="F129" s="296" t="s">
        <v>87</v>
      </c>
    </row>
    <row r="130" spans="1:6" ht="17" x14ac:dyDescent="0.25">
      <c r="B130" s="233" t="s">
        <v>957</v>
      </c>
      <c r="D130" s="287">
        <f>'Energy Balance'!Q13</f>
        <v>2</v>
      </c>
      <c r="E130" s="234" t="s">
        <v>172</v>
      </c>
      <c r="F130" s="296" t="s">
        <v>173</v>
      </c>
    </row>
    <row r="131" spans="1:6" x14ac:dyDescent="0.15">
      <c r="A131" s="232" t="s">
        <v>174</v>
      </c>
    </row>
    <row r="132" spans="1:6" ht="17" x14ac:dyDescent="0.25">
      <c r="B132" s="233" t="s">
        <v>958</v>
      </c>
      <c r="D132" s="238">
        <v>0</v>
      </c>
      <c r="E132" s="234" t="s">
        <v>175</v>
      </c>
      <c r="F132" s="296" t="s">
        <v>187</v>
      </c>
    </row>
    <row r="133" spans="1:6" ht="17" x14ac:dyDescent="0.25">
      <c r="B133" s="233" t="s">
        <v>959</v>
      </c>
      <c r="D133" s="239">
        <v>0.8</v>
      </c>
      <c r="E133" s="234" t="s">
        <v>111</v>
      </c>
      <c r="F133" s="296" t="s">
        <v>189</v>
      </c>
    </row>
    <row r="134" spans="1:6" ht="17" x14ac:dyDescent="0.25">
      <c r="B134" s="233" t="s">
        <v>960</v>
      </c>
      <c r="D134" s="248">
        <v>0.8</v>
      </c>
      <c r="E134" s="234" t="s">
        <v>111</v>
      </c>
      <c r="F134" s="296" t="s">
        <v>189</v>
      </c>
    </row>
    <row r="135" spans="1:6" ht="17" x14ac:dyDescent="0.25">
      <c r="B135" s="233" t="s">
        <v>961</v>
      </c>
      <c r="D135" s="288">
        <f>'Energy Balance'!D13</f>
        <v>1223.3955555555556</v>
      </c>
      <c r="E135" s="234" t="s">
        <v>175</v>
      </c>
      <c r="F135" s="296" t="s">
        <v>947</v>
      </c>
    </row>
    <row r="136" spans="1:6" ht="17" x14ac:dyDescent="0.25">
      <c r="B136" s="233" t="s">
        <v>962</v>
      </c>
      <c r="C136" s="233" t="s">
        <v>177</v>
      </c>
      <c r="D136" s="235">
        <v>60</v>
      </c>
      <c r="E136" s="234" t="s">
        <v>175</v>
      </c>
      <c r="F136" s="296" t="s">
        <v>204</v>
      </c>
    </row>
    <row r="137" spans="1:6" ht="17" x14ac:dyDescent="0.25">
      <c r="B137" s="233" t="s">
        <v>963</v>
      </c>
      <c r="D137" s="235">
        <v>0</v>
      </c>
      <c r="E137" s="234" t="s">
        <v>175</v>
      </c>
      <c r="F137" s="296" t="s">
        <v>186</v>
      </c>
    </row>
    <row r="138" spans="1:6" ht="17" x14ac:dyDescent="0.25">
      <c r="B138" s="233" t="s">
        <v>964</v>
      </c>
      <c r="D138" s="289">
        <f>'Energy Balance'!S13</f>
        <v>270.83009889279663</v>
      </c>
      <c r="E138" s="234" t="s">
        <v>175</v>
      </c>
      <c r="F138" s="296" t="s">
        <v>948</v>
      </c>
    </row>
    <row r="139" spans="1:6" ht="17" x14ac:dyDescent="0.25">
      <c r="B139" s="233" t="s">
        <v>965</v>
      </c>
      <c r="C139" s="233" t="s">
        <v>211</v>
      </c>
      <c r="D139" s="235">
        <v>2500</v>
      </c>
      <c r="E139" s="234" t="s">
        <v>175</v>
      </c>
      <c r="F139" s="296" t="s">
        <v>204</v>
      </c>
    </row>
    <row r="140" spans="1:6" ht="17" x14ac:dyDescent="0.25">
      <c r="B140" s="233" t="s">
        <v>965</v>
      </c>
      <c r="C140" s="233" t="s">
        <v>211</v>
      </c>
      <c r="D140" s="235">
        <f>D139*3412/1000000</f>
        <v>8.5299999999999994</v>
      </c>
      <c r="E140" s="234" t="s">
        <v>178</v>
      </c>
      <c r="F140" s="296" t="s">
        <v>205</v>
      </c>
    </row>
    <row r="141" spans="1:6" ht="17" x14ac:dyDescent="0.25">
      <c r="B141" s="233" t="s">
        <v>966</v>
      </c>
      <c r="D141" s="289">
        <f>'Energy Balance'!Y13</f>
        <v>-1736.1714240572464</v>
      </c>
      <c r="E141" s="234" t="s">
        <v>175</v>
      </c>
      <c r="F141" s="296" t="s">
        <v>176</v>
      </c>
    </row>
    <row r="142" spans="1:6" ht="17" x14ac:dyDescent="0.25">
      <c r="A142" s="232" t="s">
        <v>967</v>
      </c>
    </row>
    <row r="143" spans="1:6" ht="17" x14ac:dyDescent="0.25">
      <c r="B143" s="233" t="s">
        <v>968</v>
      </c>
      <c r="D143" s="289">
        <f>GWP!P11</f>
        <v>999.99999999999977</v>
      </c>
      <c r="E143" s="234" t="s">
        <v>969</v>
      </c>
      <c r="F143" s="296" t="s">
        <v>949</v>
      </c>
    </row>
    <row r="144" spans="1:6" ht="17" x14ac:dyDescent="0.25">
      <c r="B144" s="233" t="s">
        <v>970</v>
      </c>
      <c r="D144" s="242">
        <v>0</v>
      </c>
      <c r="E144" s="234" t="s">
        <v>172</v>
      </c>
      <c r="F144" s="296" t="s">
        <v>190</v>
      </c>
    </row>
    <row r="145" spans="1:6" ht="17" x14ac:dyDescent="0.25">
      <c r="B145" s="233" t="s">
        <v>971</v>
      </c>
      <c r="D145" s="290">
        <f>GWP!R11</f>
        <v>0</v>
      </c>
      <c r="E145" s="234" t="s">
        <v>969</v>
      </c>
      <c r="F145" s="296" t="s">
        <v>193</v>
      </c>
    </row>
    <row r="146" spans="1:6" ht="17" x14ac:dyDescent="0.25">
      <c r="B146" s="233" t="s">
        <v>972</v>
      </c>
      <c r="D146" s="235">
        <v>0</v>
      </c>
      <c r="E146" s="234" t="s">
        <v>172</v>
      </c>
      <c r="F146" s="296" t="s">
        <v>192</v>
      </c>
    </row>
    <row r="147" spans="1:6" ht="17" x14ac:dyDescent="0.25">
      <c r="B147" s="233" t="s">
        <v>973</v>
      </c>
      <c r="D147" s="290">
        <f>GWP!T11</f>
        <v>0</v>
      </c>
      <c r="E147" s="234" t="s">
        <v>969</v>
      </c>
      <c r="F147" s="296" t="s">
        <v>919</v>
      </c>
    </row>
    <row r="148" spans="1:6" ht="17" x14ac:dyDescent="0.25">
      <c r="B148" s="233" t="s">
        <v>974</v>
      </c>
      <c r="D148" s="235">
        <v>0</v>
      </c>
      <c r="E148" s="234" t="s">
        <v>969</v>
      </c>
      <c r="F148" s="296" t="s">
        <v>952</v>
      </c>
    </row>
    <row r="149" spans="1:6" ht="17" x14ac:dyDescent="0.25">
      <c r="B149" s="233" t="s">
        <v>975</v>
      </c>
      <c r="D149" s="235">
        <v>0</v>
      </c>
      <c r="E149" s="234" t="s">
        <v>969</v>
      </c>
      <c r="F149" s="296" t="s">
        <v>190</v>
      </c>
    </row>
    <row r="150" spans="1:6" ht="17" x14ac:dyDescent="0.25">
      <c r="B150" s="233" t="s">
        <v>976</v>
      </c>
      <c r="D150" s="291">
        <f>GWP!AB11</f>
        <v>1726.4252805371516</v>
      </c>
      <c r="E150" s="234" t="s">
        <v>969</v>
      </c>
      <c r="F150" s="296" t="s">
        <v>179</v>
      </c>
    </row>
    <row r="151" spans="1:6" x14ac:dyDescent="0.15">
      <c r="A151" s="232" t="s">
        <v>41</v>
      </c>
    </row>
    <row r="152" spans="1:6" ht="14" x14ac:dyDescent="0.15">
      <c r="B152" s="233" t="s">
        <v>194</v>
      </c>
      <c r="D152" s="245">
        <v>35000</v>
      </c>
      <c r="E152" s="234" t="s">
        <v>835</v>
      </c>
      <c r="F152" s="296" t="s">
        <v>208</v>
      </c>
    </row>
    <row r="153" spans="1:6" ht="14" x14ac:dyDescent="0.15">
      <c r="B153" s="233" t="s">
        <v>206</v>
      </c>
      <c r="D153" s="245">
        <v>220000</v>
      </c>
      <c r="E153" s="234" t="s">
        <v>835</v>
      </c>
      <c r="F153" s="296" t="s">
        <v>208</v>
      </c>
    </row>
    <row r="154" spans="1:6" ht="14" x14ac:dyDescent="0.15">
      <c r="B154" s="233" t="s">
        <v>207</v>
      </c>
      <c r="D154" s="245">
        <f>SUM(D152:D153)</f>
        <v>255000</v>
      </c>
      <c r="E154" s="234" t="s">
        <v>835</v>
      </c>
      <c r="F154" s="296" t="s">
        <v>208</v>
      </c>
    </row>
    <row r="155" spans="1:6" ht="14" x14ac:dyDescent="0.15">
      <c r="B155" s="233" t="s">
        <v>796</v>
      </c>
      <c r="D155" s="246">
        <v>2.3E-2</v>
      </c>
      <c r="E155" s="234" t="s">
        <v>111</v>
      </c>
      <c r="F155" s="297" t="s">
        <v>797</v>
      </c>
    </row>
    <row r="156" spans="1:6" x14ac:dyDescent="0.15">
      <c r="B156" s="233" t="s">
        <v>799</v>
      </c>
      <c r="D156" s="242">
        <f>D154*(1+D155)</f>
        <v>260864.99999999997</v>
      </c>
      <c r="E156" s="234" t="s">
        <v>404</v>
      </c>
      <c r="F156" s="297"/>
    </row>
    <row r="157" spans="1:6" x14ac:dyDescent="0.15">
      <c r="A157" s="232" t="s">
        <v>195</v>
      </c>
    </row>
    <row r="158" spans="1:6" x14ac:dyDescent="0.15">
      <c r="B158" s="233" t="s">
        <v>42</v>
      </c>
    </row>
    <row r="159" spans="1:6" ht="14" x14ac:dyDescent="0.15">
      <c r="C159" s="233" t="s">
        <v>177</v>
      </c>
      <c r="D159" s="234">
        <v>22</v>
      </c>
      <c r="E159" s="234" t="s">
        <v>824</v>
      </c>
      <c r="F159" s="296" t="s">
        <v>208</v>
      </c>
    </row>
    <row r="160" spans="1:6" ht="14" x14ac:dyDescent="0.15">
      <c r="C160" s="233" t="s">
        <v>209</v>
      </c>
      <c r="D160" s="234">
        <v>147</v>
      </c>
      <c r="E160" s="234" t="s">
        <v>824</v>
      </c>
      <c r="F160" s="296" t="s">
        <v>208</v>
      </c>
    </row>
    <row r="161" spans="1:6" ht="14" x14ac:dyDescent="0.15">
      <c r="C161" s="233" t="s">
        <v>210</v>
      </c>
      <c r="D161" s="234">
        <f>SUM(D159:D160)</f>
        <v>169</v>
      </c>
      <c r="E161" s="234" t="s">
        <v>824</v>
      </c>
      <c r="F161" s="296" t="s">
        <v>208</v>
      </c>
    </row>
    <row r="162" spans="1:6" ht="14" x14ac:dyDescent="0.15">
      <c r="B162" s="233" t="s">
        <v>796</v>
      </c>
      <c r="D162" s="246">
        <v>2.3E-2</v>
      </c>
      <c r="E162" s="234" t="s">
        <v>111</v>
      </c>
      <c r="F162" s="297" t="s">
        <v>797</v>
      </c>
    </row>
    <row r="163" spans="1:6" x14ac:dyDescent="0.15">
      <c r="B163" s="233" t="s">
        <v>798</v>
      </c>
      <c r="D163" s="247">
        <f>D161*(1+D162)</f>
        <v>172.88699999999997</v>
      </c>
      <c r="E163" s="234" t="s">
        <v>816</v>
      </c>
    </row>
    <row r="164" spans="1:6" ht="14" x14ac:dyDescent="0.15">
      <c r="B164" s="233" t="s">
        <v>197</v>
      </c>
      <c r="D164" s="291">
        <f>'Commercial Viability'!F14</f>
        <v>115.23862930145278</v>
      </c>
      <c r="E164" s="234" t="s">
        <v>199</v>
      </c>
      <c r="F164" s="296" t="s">
        <v>950</v>
      </c>
    </row>
    <row r="165" spans="1:6" ht="14" x14ac:dyDescent="0.15">
      <c r="B165" s="233" t="s">
        <v>196</v>
      </c>
      <c r="D165" s="235">
        <v>0</v>
      </c>
      <c r="E165" s="234" t="s">
        <v>199</v>
      </c>
      <c r="F165" s="296" t="s">
        <v>198</v>
      </c>
    </row>
    <row r="166" spans="1:6" ht="14" x14ac:dyDescent="0.15">
      <c r="B166" s="233" t="s">
        <v>195</v>
      </c>
      <c r="D166" s="291">
        <f>D165-D164-D163</f>
        <v>-288.12562930145276</v>
      </c>
      <c r="E166" s="234" t="s">
        <v>199</v>
      </c>
      <c r="F166" s="296" t="s">
        <v>951</v>
      </c>
    </row>
    <row r="167" spans="1:6" x14ac:dyDescent="0.15">
      <c r="A167" s="232" t="s">
        <v>201</v>
      </c>
    </row>
    <row r="168" spans="1:6" ht="28" x14ac:dyDescent="0.15">
      <c r="B168" s="233" t="s">
        <v>6</v>
      </c>
      <c r="D168" s="235">
        <v>9</v>
      </c>
      <c r="F168" s="296" t="s">
        <v>202</v>
      </c>
    </row>
    <row r="170" spans="1:6" s="228" customFormat="1" x14ac:dyDescent="0.15">
      <c r="A170" s="285" t="s">
        <v>1009</v>
      </c>
      <c r="B170" s="226"/>
      <c r="C170" s="286"/>
      <c r="D170" s="227"/>
      <c r="E170" s="227"/>
      <c r="F170" s="294"/>
    </row>
    <row r="171" spans="1:6" ht="14" x14ac:dyDescent="0.15">
      <c r="B171" s="230" t="s">
        <v>171</v>
      </c>
      <c r="D171" s="231" t="s">
        <v>170</v>
      </c>
      <c r="E171" s="231" t="s">
        <v>169</v>
      </c>
      <c r="F171" s="295" t="s">
        <v>168</v>
      </c>
    </row>
    <row r="172" spans="1:6" x14ac:dyDescent="0.15">
      <c r="A172" s="232" t="s">
        <v>167</v>
      </c>
    </row>
    <row r="173" spans="1:6" ht="17" x14ac:dyDescent="0.25">
      <c r="B173" s="233" t="s">
        <v>955</v>
      </c>
      <c r="D173" s="235">
        <v>1</v>
      </c>
      <c r="E173" s="234" t="s">
        <v>172</v>
      </c>
      <c r="F173" s="296" t="s">
        <v>87</v>
      </c>
    </row>
    <row r="174" spans="1:6" ht="17" x14ac:dyDescent="0.25">
      <c r="B174" s="233" t="s">
        <v>956</v>
      </c>
      <c r="D174" s="248">
        <v>0.8</v>
      </c>
      <c r="E174" s="234" t="s">
        <v>172</v>
      </c>
      <c r="F174" s="296" t="s">
        <v>87</v>
      </c>
    </row>
    <row r="175" spans="1:6" ht="17" x14ac:dyDescent="0.25">
      <c r="B175" s="233" t="s">
        <v>957</v>
      </c>
      <c r="D175" s="287">
        <f>'Energy Balance'!Q14</f>
        <v>5.0000000000000009</v>
      </c>
      <c r="E175" s="234" t="s">
        <v>172</v>
      </c>
      <c r="F175" s="296" t="s">
        <v>173</v>
      </c>
    </row>
    <row r="176" spans="1:6" x14ac:dyDescent="0.15">
      <c r="A176" s="232" t="s">
        <v>174</v>
      </c>
    </row>
    <row r="177" spans="1:6" ht="17" x14ac:dyDescent="0.25">
      <c r="B177" s="233" t="s">
        <v>958</v>
      </c>
      <c r="D177" s="238">
        <v>0</v>
      </c>
      <c r="E177" s="234" t="s">
        <v>175</v>
      </c>
      <c r="F177" s="296" t="s">
        <v>187</v>
      </c>
    </row>
    <row r="178" spans="1:6" ht="17" x14ac:dyDescent="0.25">
      <c r="B178" s="233" t="s">
        <v>959</v>
      </c>
      <c r="D178" s="239">
        <v>0</v>
      </c>
      <c r="E178" s="234" t="s">
        <v>111</v>
      </c>
      <c r="F178" s="296" t="s">
        <v>212</v>
      </c>
    </row>
    <row r="179" spans="1:6" ht="17" x14ac:dyDescent="0.25">
      <c r="B179" s="233" t="s">
        <v>960</v>
      </c>
      <c r="D179" s="248">
        <v>0</v>
      </c>
      <c r="E179" s="234" t="s">
        <v>111</v>
      </c>
      <c r="F179" s="296" t="s">
        <v>212</v>
      </c>
    </row>
    <row r="180" spans="1:6" ht="17" x14ac:dyDescent="0.25">
      <c r="B180" s="233" t="s">
        <v>961</v>
      </c>
      <c r="D180" s="288">
        <f>'Energy Balance'!D14</f>
        <v>0</v>
      </c>
      <c r="E180" s="234" t="s">
        <v>175</v>
      </c>
      <c r="F180" s="296" t="s">
        <v>947</v>
      </c>
    </row>
    <row r="181" spans="1:6" ht="17" x14ac:dyDescent="0.25">
      <c r="B181" s="233" t="s">
        <v>962</v>
      </c>
      <c r="C181" s="233" t="s">
        <v>177</v>
      </c>
      <c r="D181" s="235">
        <v>60</v>
      </c>
      <c r="E181" s="234" t="s">
        <v>175</v>
      </c>
      <c r="F181" s="296" t="s">
        <v>204</v>
      </c>
    </row>
    <row r="182" spans="1:6" ht="17" x14ac:dyDescent="0.25">
      <c r="B182" s="233" t="s">
        <v>963</v>
      </c>
      <c r="D182" s="235">
        <v>0</v>
      </c>
      <c r="E182" s="234" t="s">
        <v>175</v>
      </c>
      <c r="F182" s="296" t="s">
        <v>186</v>
      </c>
    </row>
    <row r="183" spans="1:6" ht="17" x14ac:dyDescent="0.25">
      <c r="B183" s="233" t="s">
        <v>964</v>
      </c>
      <c r="D183" s="289">
        <f>'Energy Balance'!S14</f>
        <v>677.07524723199174</v>
      </c>
      <c r="E183" s="234" t="s">
        <v>175</v>
      </c>
      <c r="F183" s="296" t="s">
        <v>948</v>
      </c>
    </row>
    <row r="184" spans="1:6" ht="17" x14ac:dyDescent="0.25">
      <c r="B184" s="233" t="s">
        <v>965</v>
      </c>
      <c r="C184" s="233" t="s">
        <v>211</v>
      </c>
      <c r="D184" s="235">
        <v>0</v>
      </c>
      <c r="E184" s="234" t="s">
        <v>175</v>
      </c>
      <c r="F184" s="296" t="s">
        <v>188</v>
      </c>
    </row>
    <row r="185" spans="1:6" ht="17" x14ac:dyDescent="0.25">
      <c r="B185" s="233" t="s">
        <v>965</v>
      </c>
      <c r="C185" s="233" t="s">
        <v>211</v>
      </c>
      <c r="D185" s="235">
        <f>D184*3412/1000000</f>
        <v>0</v>
      </c>
      <c r="E185" s="234" t="s">
        <v>178</v>
      </c>
      <c r="F185" s="296" t="s">
        <v>205</v>
      </c>
    </row>
    <row r="186" spans="1:6" ht="17" x14ac:dyDescent="0.25">
      <c r="B186" s="233" t="s">
        <v>966</v>
      </c>
      <c r="D186" s="289">
        <f>'Energy Balance'!Y14</f>
        <v>-876.22873089752466</v>
      </c>
      <c r="E186" s="234" t="s">
        <v>175</v>
      </c>
      <c r="F186" s="296" t="s">
        <v>176</v>
      </c>
    </row>
    <row r="187" spans="1:6" ht="17" x14ac:dyDescent="0.25">
      <c r="A187" s="232" t="s">
        <v>967</v>
      </c>
    </row>
    <row r="188" spans="1:6" ht="17" x14ac:dyDescent="0.25">
      <c r="B188" s="233" t="s">
        <v>968</v>
      </c>
      <c r="D188" s="289">
        <f>GWP!P12</f>
        <v>0</v>
      </c>
      <c r="E188" s="234" t="s">
        <v>969</v>
      </c>
      <c r="F188" s="296" t="s">
        <v>949</v>
      </c>
    </row>
    <row r="189" spans="1:6" ht="17" x14ac:dyDescent="0.25">
      <c r="B189" s="233" t="s">
        <v>970</v>
      </c>
      <c r="D189" s="242">
        <v>1</v>
      </c>
      <c r="E189" s="234" t="s">
        <v>172</v>
      </c>
      <c r="F189" s="296" t="s">
        <v>87</v>
      </c>
    </row>
    <row r="190" spans="1:6" ht="17" x14ac:dyDescent="0.25">
      <c r="B190" s="233" t="s">
        <v>971</v>
      </c>
      <c r="D190" s="291">
        <f>GWP!R12</f>
        <v>224.77714285714285</v>
      </c>
      <c r="E190" s="234" t="s">
        <v>969</v>
      </c>
      <c r="F190" s="296" t="s">
        <v>193</v>
      </c>
    </row>
    <row r="191" spans="1:6" ht="17" x14ac:dyDescent="0.25">
      <c r="B191" s="233" t="s">
        <v>972</v>
      </c>
      <c r="D191" s="235">
        <v>0</v>
      </c>
      <c r="E191" s="234" t="s">
        <v>172</v>
      </c>
      <c r="F191" s="296" t="s">
        <v>192</v>
      </c>
    </row>
    <row r="192" spans="1:6" ht="17" x14ac:dyDescent="0.25">
      <c r="B192" s="233" t="s">
        <v>973</v>
      </c>
      <c r="D192" s="290">
        <f>GWP!T12</f>
        <v>0</v>
      </c>
      <c r="E192" s="234" t="s">
        <v>969</v>
      </c>
      <c r="F192" s="296" t="s">
        <v>919</v>
      </c>
    </row>
    <row r="193" spans="1:6" ht="17" x14ac:dyDescent="0.25">
      <c r="B193" s="233" t="s">
        <v>974</v>
      </c>
      <c r="D193" s="235">
        <v>0</v>
      </c>
      <c r="E193" s="234" t="s">
        <v>969</v>
      </c>
      <c r="F193" s="296" t="s">
        <v>200</v>
      </c>
    </row>
    <row r="194" spans="1:6" ht="17" x14ac:dyDescent="0.25">
      <c r="B194" s="233" t="s">
        <v>975</v>
      </c>
      <c r="D194" s="235">
        <v>130</v>
      </c>
      <c r="E194" s="234" t="s">
        <v>969</v>
      </c>
      <c r="F194" s="298" t="s">
        <v>189</v>
      </c>
    </row>
    <row r="195" spans="1:6" ht="17" x14ac:dyDescent="0.25">
      <c r="B195" s="233" t="s">
        <v>976</v>
      </c>
      <c r="D195" s="291">
        <f>GWP!AB12</f>
        <v>427.00341670046714</v>
      </c>
      <c r="E195" s="234" t="s">
        <v>969</v>
      </c>
      <c r="F195" s="296" t="s">
        <v>179</v>
      </c>
    </row>
    <row r="196" spans="1:6" x14ac:dyDescent="0.15">
      <c r="A196" s="232" t="s">
        <v>41</v>
      </c>
    </row>
    <row r="197" spans="1:6" ht="14" x14ac:dyDescent="0.15">
      <c r="B197" s="233" t="s">
        <v>194</v>
      </c>
      <c r="D197" s="245">
        <v>35000</v>
      </c>
      <c r="E197" s="234" t="s">
        <v>835</v>
      </c>
      <c r="F197" s="296" t="s">
        <v>208</v>
      </c>
    </row>
    <row r="198" spans="1:6" ht="14" x14ac:dyDescent="0.15">
      <c r="B198" s="233" t="s">
        <v>796</v>
      </c>
      <c r="D198" s="246">
        <v>2.3E-2</v>
      </c>
      <c r="E198" s="234" t="s">
        <v>111</v>
      </c>
      <c r="F198" s="297" t="s">
        <v>797</v>
      </c>
    </row>
    <row r="199" spans="1:6" x14ac:dyDescent="0.15">
      <c r="B199" s="233" t="s">
        <v>799</v>
      </c>
      <c r="D199" s="242">
        <f>D197*(1+D198)</f>
        <v>35805</v>
      </c>
      <c r="E199" s="234" t="s">
        <v>404</v>
      </c>
      <c r="F199" s="297"/>
    </row>
    <row r="200" spans="1:6" x14ac:dyDescent="0.15">
      <c r="A200" s="232" t="s">
        <v>195</v>
      </c>
    </row>
    <row r="201" spans="1:6" x14ac:dyDescent="0.15">
      <c r="B201" s="233" t="s">
        <v>42</v>
      </c>
    </row>
    <row r="202" spans="1:6" ht="14" x14ac:dyDescent="0.15">
      <c r="C202" s="233" t="s">
        <v>177</v>
      </c>
      <c r="D202" s="234">
        <v>22</v>
      </c>
      <c r="E202" s="234" t="s">
        <v>824</v>
      </c>
      <c r="F202" s="296" t="s">
        <v>208</v>
      </c>
    </row>
    <row r="203" spans="1:6" ht="14" x14ac:dyDescent="0.15">
      <c r="B203" s="233" t="s">
        <v>796</v>
      </c>
      <c r="D203" s="246">
        <v>2.3E-2</v>
      </c>
      <c r="E203" s="234" t="s">
        <v>111</v>
      </c>
      <c r="F203" s="297" t="s">
        <v>797</v>
      </c>
    </row>
    <row r="204" spans="1:6" x14ac:dyDescent="0.15">
      <c r="B204" s="233" t="s">
        <v>798</v>
      </c>
      <c r="D204" s="247">
        <f>D202*(1+D203)</f>
        <v>22.505999999999997</v>
      </c>
      <c r="E204" s="234" t="s">
        <v>816</v>
      </c>
    </row>
    <row r="205" spans="1:6" ht="14" x14ac:dyDescent="0.15">
      <c r="B205" s="233" t="s">
        <v>197</v>
      </c>
      <c r="D205" s="291">
        <f>'Commercial Viability'!F15</f>
        <v>288.09657325363202</v>
      </c>
      <c r="E205" s="234" t="s">
        <v>199</v>
      </c>
      <c r="F205" s="296" t="s">
        <v>950</v>
      </c>
    </row>
    <row r="206" spans="1:6" ht="14" x14ac:dyDescent="0.15">
      <c r="B206" s="233" t="s">
        <v>196</v>
      </c>
      <c r="D206" s="235">
        <v>0</v>
      </c>
      <c r="E206" s="234" t="s">
        <v>199</v>
      </c>
      <c r="F206" s="296" t="s">
        <v>198</v>
      </c>
    </row>
    <row r="207" spans="1:6" ht="14" x14ac:dyDescent="0.15">
      <c r="B207" s="233" t="s">
        <v>195</v>
      </c>
      <c r="D207" s="291">
        <f>D206-D205-D204</f>
        <v>-310.60257325363199</v>
      </c>
      <c r="E207" s="234" t="s">
        <v>199</v>
      </c>
      <c r="F207" s="296" t="s">
        <v>951</v>
      </c>
    </row>
    <row r="208" spans="1:6" x14ac:dyDescent="0.15">
      <c r="A208" s="232" t="s">
        <v>201</v>
      </c>
    </row>
    <row r="209" spans="1:6" ht="28" x14ac:dyDescent="0.15">
      <c r="B209" s="233" t="s">
        <v>6</v>
      </c>
      <c r="D209" s="235">
        <v>9</v>
      </c>
      <c r="F209" s="296" t="s">
        <v>202</v>
      </c>
    </row>
    <row r="211" spans="1:6" s="228" customFormat="1" x14ac:dyDescent="0.15">
      <c r="A211" s="285" t="s">
        <v>1012</v>
      </c>
      <c r="B211" s="226"/>
      <c r="C211" s="286"/>
      <c r="D211" s="227"/>
      <c r="E211" s="227"/>
      <c r="F211" s="294"/>
    </row>
    <row r="212" spans="1:6" ht="14" x14ac:dyDescent="0.15">
      <c r="B212" s="230" t="s">
        <v>171</v>
      </c>
      <c r="D212" s="231" t="s">
        <v>170</v>
      </c>
      <c r="E212" s="231" t="s">
        <v>169</v>
      </c>
      <c r="F212" s="295" t="s">
        <v>168</v>
      </c>
    </row>
    <row r="213" spans="1:6" x14ac:dyDescent="0.15">
      <c r="A213" s="232" t="s">
        <v>167</v>
      </c>
    </row>
    <row r="214" spans="1:6" ht="17" x14ac:dyDescent="0.25">
      <c r="B214" s="233" t="s">
        <v>955</v>
      </c>
      <c r="D214" s="235">
        <v>1</v>
      </c>
      <c r="E214" s="234" t="s">
        <v>172</v>
      </c>
      <c r="F214" s="296" t="s">
        <v>87</v>
      </c>
    </row>
    <row r="215" spans="1:6" ht="17" x14ac:dyDescent="0.25">
      <c r="B215" s="233" t="s">
        <v>956</v>
      </c>
      <c r="D215" s="248">
        <v>0.5</v>
      </c>
      <c r="E215" s="234" t="s">
        <v>172</v>
      </c>
      <c r="F215" s="296" t="s">
        <v>87</v>
      </c>
    </row>
    <row r="216" spans="1:6" ht="17" x14ac:dyDescent="0.25">
      <c r="B216" s="233" t="s">
        <v>957</v>
      </c>
      <c r="D216" s="287">
        <f>'Energy Balance'!Q15</f>
        <v>2</v>
      </c>
      <c r="E216" s="234" t="s">
        <v>172</v>
      </c>
      <c r="F216" s="296" t="s">
        <v>173</v>
      </c>
    </row>
    <row r="217" spans="1:6" x14ac:dyDescent="0.15">
      <c r="A217" s="232" t="s">
        <v>174</v>
      </c>
    </row>
    <row r="218" spans="1:6" ht="17" x14ac:dyDescent="0.25">
      <c r="B218" s="233" t="s">
        <v>958</v>
      </c>
      <c r="D218" s="238">
        <v>0</v>
      </c>
      <c r="E218" s="234" t="s">
        <v>175</v>
      </c>
      <c r="F218" s="296" t="s">
        <v>187</v>
      </c>
    </row>
    <row r="219" spans="1:6" ht="17" x14ac:dyDescent="0.25">
      <c r="B219" s="233" t="s">
        <v>959</v>
      </c>
      <c r="D219" s="239">
        <v>0</v>
      </c>
      <c r="E219" s="234" t="s">
        <v>111</v>
      </c>
      <c r="F219" s="296" t="s">
        <v>212</v>
      </c>
    </row>
    <row r="220" spans="1:6" ht="17" x14ac:dyDescent="0.25">
      <c r="B220" s="233" t="s">
        <v>960</v>
      </c>
      <c r="D220" s="248">
        <v>0</v>
      </c>
      <c r="E220" s="234" t="s">
        <v>111</v>
      </c>
      <c r="F220" s="296" t="s">
        <v>212</v>
      </c>
    </row>
    <row r="221" spans="1:6" ht="17" x14ac:dyDescent="0.25">
      <c r="B221" s="233" t="s">
        <v>961</v>
      </c>
      <c r="D221" s="288">
        <f>'Energy Balance'!D15</f>
        <v>0</v>
      </c>
      <c r="E221" s="234" t="s">
        <v>175</v>
      </c>
      <c r="F221" s="296" t="s">
        <v>947</v>
      </c>
    </row>
    <row r="222" spans="1:6" ht="17" x14ac:dyDescent="0.25">
      <c r="B222" s="233" t="s">
        <v>962</v>
      </c>
      <c r="C222" s="233" t="s">
        <v>177</v>
      </c>
      <c r="D222" s="235">
        <v>60</v>
      </c>
      <c r="E222" s="234" t="s">
        <v>175</v>
      </c>
      <c r="F222" s="296" t="s">
        <v>204</v>
      </c>
    </row>
    <row r="223" spans="1:6" ht="17" x14ac:dyDescent="0.25">
      <c r="B223" s="233" t="s">
        <v>963</v>
      </c>
      <c r="D223" s="235">
        <v>0</v>
      </c>
      <c r="E223" s="234" t="s">
        <v>175</v>
      </c>
      <c r="F223" s="296" t="s">
        <v>186</v>
      </c>
    </row>
    <row r="224" spans="1:6" ht="17" x14ac:dyDescent="0.25">
      <c r="B224" s="233" t="s">
        <v>964</v>
      </c>
      <c r="D224" s="289">
        <f>'Energy Balance'!S15</f>
        <v>270.83009889279663</v>
      </c>
      <c r="E224" s="234" t="s">
        <v>175</v>
      </c>
      <c r="F224" s="296" t="s">
        <v>948</v>
      </c>
    </row>
    <row r="225" spans="1:6" ht="17" x14ac:dyDescent="0.25">
      <c r="B225" s="233" t="s">
        <v>965</v>
      </c>
      <c r="D225" s="235">
        <v>2500</v>
      </c>
      <c r="E225" s="234" t="s">
        <v>175</v>
      </c>
      <c r="F225" s="296" t="s">
        <v>204</v>
      </c>
    </row>
    <row r="226" spans="1:6" ht="17" x14ac:dyDescent="0.25">
      <c r="B226" s="233" t="s">
        <v>965</v>
      </c>
      <c r="D226" s="235">
        <f>D225*3412/1000000</f>
        <v>8.5299999999999994</v>
      </c>
      <c r="E226" s="234" t="s">
        <v>178</v>
      </c>
      <c r="F226" s="296" t="s">
        <v>205</v>
      </c>
    </row>
    <row r="227" spans="1:6" ht="17" x14ac:dyDescent="0.25">
      <c r="B227" s="233" t="s">
        <v>966</v>
      </c>
      <c r="D227" s="289">
        <f>'Energy Balance'!Y15</f>
        <v>-3035.7933764199024</v>
      </c>
      <c r="E227" s="234" t="s">
        <v>175</v>
      </c>
      <c r="F227" s="296" t="s">
        <v>176</v>
      </c>
    </row>
    <row r="228" spans="1:6" ht="17" x14ac:dyDescent="0.25">
      <c r="A228" s="232" t="s">
        <v>967</v>
      </c>
    </row>
    <row r="229" spans="1:6" ht="17" x14ac:dyDescent="0.25">
      <c r="B229" s="233" t="s">
        <v>968</v>
      </c>
      <c r="D229" s="289">
        <f>GWP!P13</f>
        <v>0</v>
      </c>
      <c r="E229" s="234" t="s">
        <v>969</v>
      </c>
      <c r="F229" s="296" t="s">
        <v>949</v>
      </c>
    </row>
    <row r="230" spans="1:6" ht="17" x14ac:dyDescent="0.25">
      <c r="B230" s="233" t="s">
        <v>970</v>
      </c>
      <c r="D230" s="242">
        <v>1</v>
      </c>
      <c r="E230" s="234" t="s">
        <v>172</v>
      </c>
      <c r="F230" s="296" t="s">
        <v>87</v>
      </c>
    </row>
    <row r="231" spans="1:6" ht="17" x14ac:dyDescent="0.25">
      <c r="B231" s="233" t="s">
        <v>971</v>
      </c>
      <c r="D231" s="291">
        <f>GWP!R13</f>
        <v>224.77714285714285</v>
      </c>
      <c r="E231" s="234" t="s">
        <v>969</v>
      </c>
      <c r="F231" s="296" t="s">
        <v>193</v>
      </c>
    </row>
    <row r="232" spans="1:6" ht="17" x14ac:dyDescent="0.25">
      <c r="B232" s="233" t="s">
        <v>972</v>
      </c>
      <c r="D232" s="235">
        <v>0</v>
      </c>
      <c r="E232" s="234" t="s">
        <v>172</v>
      </c>
      <c r="F232" s="296" t="s">
        <v>192</v>
      </c>
    </row>
    <row r="233" spans="1:6" ht="17" x14ac:dyDescent="0.25">
      <c r="B233" s="233" t="s">
        <v>973</v>
      </c>
      <c r="D233" s="290">
        <f>GWP!T13</f>
        <v>0</v>
      </c>
      <c r="E233" s="234" t="s">
        <v>969</v>
      </c>
      <c r="F233" s="296" t="s">
        <v>919</v>
      </c>
    </row>
    <row r="234" spans="1:6" ht="17" x14ac:dyDescent="0.25">
      <c r="B234" s="233" t="s">
        <v>974</v>
      </c>
      <c r="D234" s="235">
        <v>0</v>
      </c>
      <c r="E234" s="234" t="s">
        <v>969</v>
      </c>
      <c r="F234" s="296" t="s">
        <v>200</v>
      </c>
    </row>
    <row r="235" spans="1:6" ht="17" x14ac:dyDescent="0.25">
      <c r="B235" s="233" t="s">
        <v>975</v>
      </c>
      <c r="D235" s="235">
        <v>130</v>
      </c>
      <c r="E235" s="234" t="s">
        <v>969</v>
      </c>
      <c r="F235" s="298" t="s">
        <v>189</v>
      </c>
    </row>
    <row r="236" spans="1:6" ht="17" x14ac:dyDescent="0.25">
      <c r="B236" s="233" t="s">
        <v>976</v>
      </c>
      <c r="D236" s="291">
        <f>GWP!AB13</f>
        <v>1327.5681193544724</v>
      </c>
      <c r="E236" s="234" t="s">
        <v>969</v>
      </c>
      <c r="F236" s="296" t="s">
        <v>179</v>
      </c>
    </row>
    <row r="238" spans="1:6" x14ac:dyDescent="0.15">
      <c r="A238" s="232" t="s">
        <v>41</v>
      </c>
    </row>
    <row r="239" spans="1:6" ht="14" x14ac:dyDescent="0.15">
      <c r="B239" s="233" t="s">
        <v>194</v>
      </c>
      <c r="D239" s="245">
        <v>35000</v>
      </c>
      <c r="E239" s="234" t="s">
        <v>835</v>
      </c>
      <c r="F239" s="296" t="s">
        <v>208</v>
      </c>
    </row>
    <row r="240" spans="1:6" ht="14" x14ac:dyDescent="0.15">
      <c r="B240" s="233" t="s">
        <v>206</v>
      </c>
      <c r="D240" s="245">
        <v>220000</v>
      </c>
      <c r="E240" s="234" t="s">
        <v>835</v>
      </c>
      <c r="F240" s="296" t="s">
        <v>208</v>
      </c>
    </row>
    <row r="241" spans="1:6" x14ac:dyDescent="0.15">
      <c r="B241" s="233" t="s">
        <v>207</v>
      </c>
      <c r="D241" s="245">
        <f>SUM(D239:D240)</f>
        <v>255000</v>
      </c>
      <c r="E241" s="234" t="s">
        <v>835</v>
      </c>
    </row>
    <row r="242" spans="1:6" ht="14" x14ac:dyDescent="0.15">
      <c r="B242" s="233" t="s">
        <v>796</v>
      </c>
      <c r="D242" s="246">
        <v>2.3E-2</v>
      </c>
      <c r="E242" s="234" t="s">
        <v>111</v>
      </c>
      <c r="F242" s="297" t="s">
        <v>797</v>
      </c>
    </row>
    <row r="243" spans="1:6" x14ac:dyDescent="0.15">
      <c r="B243" s="233" t="s">
        <v>799</v>
      </c>
      <c r="D243" s="242">
        <f>D241*(1+D242)</f>
        <v>260864.99999999997</v>
      </c>
      <c r="E243" s="234" t="s">
        <v>404</v>
      </c>
      <c r="F243" s="297"/>
    </row>
    <row r="244" spans="1:6" x14ac:dyDescent="0.15">
      <c r="A244" s="232" t="s">
        <v>195</v>
      </c>
    </row>
    <row r="245" spans="1:6" x14ac:dyDescent="0.15">
      <c r="B245" s="233" t="s">
        <v>42</v>
      </c>
    </row>
    <row r="246" spans="1:6" ht="14" x14ac:dyDescent="0.15">
      <c r="C246" s="233" t="s">
        <v>177</v>
      </c>
      <c r="D246" s="234">
        <v>22</v>
      </c>
      <c r="E246" s="234" t="s">
        <v>824</v>
      </c>
      <c r="F246" s="296" t="s">
        <v>208</v>
      </c>
    </row>
    <row r="247" spans="1:6" ht="14" x14ac:dyDescent="0.15">
      <c r="C247" s="233" t="s">
        <v>209</v>
      </c>
      <c r="D247" s="234">
        <v>147</v>
      </c>
      <c r="E247" s="234" t="s">
        <v>824</v>
      </c>
      <c r="F247" s="296" t="s">
        <v>208</v>
      </c>
    </row>
    <row r="248" spans="1:6" x14ac:dyDescent="0.15">
      <c r="C248" s="233" t="s">
        <v>210</v>
      </c>
      <c r="D248" s="234">
        <f>SUM(D246:D247)</f>
        <v>169</v>
      </c>
      <c r="E248" s="234" t="s">
        <v>824</v>
      </c>
    </row>
    <row r="249" spans="1:6" ht="14" x14ac:dyDescent="0.15">
      <c r="B249" s="233" t="s">
        <v>796</v>
      </c>
      <c r="D249" s="246">
        <v>2.3E-2</v>
      </c>
      <c r="E249" s="234" t="s">
        <v>111</v>
      </c>
      <c r="F249" s="297" t="s">
        <v>797</v>
      </c>
    </row>
    <row r="250" spans="1:6" x14ac:dyDescent="0.15">
      <c r="B250" s="233" t="s">
        <v>798</v>
      </c>
      <c r="D250" s="247">
        <f>D248*(1+D249)</f>
        <v>172.88699999999997</v>
      </c>
      <c r="E250" s="234" t="s">
        <v>816</v>
      </c>
    </row>
    <row r="251" spans="1:6" ht="14" x14ac:dyDescent="0.15">
      <c r="B251" s="233" t="s">
        <v>197</v>
      </c>
      <c r="D251" s="291">
        <f>'Commercial Viability'!F16</f>
        <v>115.23862930145278</v>
      </c>
      <c r="E251" s="234" t="s">
        <v>199</v>
      </c>
      <c r="F251" s="296" t="s">
        <v>950</v>
      </c>
    </row>
    <row r="252" spans="1:6" ht="14" x14ac:dyDescent="0.15">
      <c r="B252" s="233" t="s">
        <v>196</v>
      </c>
      <c r="D252" s="235">
        <v>0</v>
      </c>
      <c r="E252" s="234" t="s">
        <v>199</v>
      </c>
      <c r="F252" s="296" t="s">
        <v>198</v>
      </c>
    </row>
    <row r="253" spans="1:6" ht="14" x14ac:dyDescent="0.15">
      <c r="B253" s="233" t="s">
        <v>195</v>
      </c>
      <c r="D253" s="291">
        <f>D252-D251-D250</f>
        <v>-288.12562930145276</v>
      </c>
      <c r="E253" s="234" t="s">
        <v>199</v>
      </c>
      <c r="F253" s="296" t="s">
        <v>951</v>
      </c>
    </row>
    <row r="254" spans="1:6" x14ac:dyDescent="0.15">
      <c r="A254" s="232" t="s">
        <v>201</v>
      </c>
    </row>
    <row r="255" spans="1:6" ht="28" x14ac:dyDescent="0.15">
      <c r="B255" s="233" t="s">
        <v>6</v>
      </c>
      <c r="D255" s="235">
        <v>9</v>
      </c>
      <c r="F255" s="296" t="s">
        <v>202</v>
      </c>
    </row>
    <row r="257" spans="1:6" s="228" customFormat="1" x14ac:dyDescent="0.15">
      <c r="A257" s="285" t="s">
        <v>1013</v>
      </c>
      <c r="B257" s="226"/>
      <c r="C257" s="226"/>
      <c r="D257" s="227"/>
      <c r="E257" s="227"/>
      <c r="F257" s="294"/>
    </row>
    <row r="258" spans="1:6" ht="14" x14ac:dyDescent="0.15">
      <c r="B258" s="230" t="s">
        <v>171</v>
      </c>
      <c r="C258" s="230"/>
      <c r="D258" s="231" t="s">
        <v>170</v>
      </c>
      <c r="E258" s="231" t="s">
        <v>169</v>
      </c>
      <c r="F258" s="295" t="s">
        <v>168</v>
      </c>
    </row>
    <row r="259" spans="1:6" x14ac:dyDescent="0.15">
      <c r="A259" s="232" t="s">
        <v>167</v>
      </c>
    </row>
    <row r="260" spans="1:6" ht="17" x14ac:dyDescent="0.25">
      <c r="B260" s="233" t="s">
        <v>955</v>
      </c>
      <c r="D260" s="235">
        <v>0.1</v>
      </c>
      <c r="E260" s="234" t="s">
        <v>172</v>
      </c>
      <c r="F260" s="296" t="s">
        <v>87</v>
      </c>
    </row>
    <row r="261" spans="1:6" ht="17" x14ac:dyDescent="0.25">
      <c r="B261" s="233" t="s">
        <v>956</v>
      </c>
      <c r="D261" s="248">
        <v>0.05</v>
      </c>
      <c r="E261" s="234" t="s">
        <v>172</v>
      </c>
      <c r="F261" s="296" t="s">
        <v>87</v>
      </c>
    </row>
    <row r="262" spans="1:6" ht="17" x14ac:dyDescent="0.25">
      <c r="B262" s="233" t="s">
        <v>957</v>
      </c>
      <c r="D262" s="287">
        <f>'Energy Balance'!Q16</f>
        <v>0.10526315789473684</v>
      </c>
      <c r="E262" s="234" t="s">
        <v>172</v>
      </c>
      <c r="F262" s="296" t="s">
        <v>173</v>
      </c>
    </row>
    <row r="263" spans="1:6" x14ac:dyDescent="0.15">
      <c r="A263" s="232" t="s">
        <v>174</v>
      </c>
    </row>
    <row r="264" spans="1:6" ht="17" x14ac:dyDescent="0.25">
      <c r="B264" s="233" t="s">
        <v>958</v>
      </c>
      <c r="D264" s="238">
        <v>2072</v>
      </c>
      <c r="E264" s="234" t="s">
        <v>175</v>
      </c>
      <c r="F264" s="296" t="s">
        <v>204</v>
      </c>
    </row>
    <row r="265" spans="1:6" ht="30" x14ac:dyDescent="0.25">
      <c r="B265" s="233" t="s">
        <v>959</v>
      </c>
      <c r="D265" s="239">
        <v>0</v>
      </c>
      <c r="E265" s="234" t="s">
        <v>111</v>
      </c>
      <c r="F265" s="296" t="s">
        <v>213</v>
      </c>
    </row>
    <row r="266" spans="1:6" ht="17" x14ac:dyDescent="0.25">
      <c r="B266" s="233" t="s">
        <v>960</v>
      </c>
      <c r="D266" s="248">
        <v>0</v>
      </c>
      <c r="E266" s="234" t="s">
        <v>111</v>
      </c>
      <c r="F266" s="296" t="s">
        <v>189</v>
      </c>
    </row>
    <row r="267" spans="1:6" ht="17" x14ac:dyDescent="0.25">
      <c r="B267" s="233" t="s">
        <v>961</v>
      </c>
      <c r="D267" s="288">
        <f>'Energy Balance'!D16</f>
        <v>0</v>
      </c>
      <c r="E267" s="234" t="s">
        <v>175</v>
      </c>
      <c r="F267" s="296" t="s">
        <v>947</v>
      </c>
    </row>
    <row r="268" spans="1:6" ht="17" x14ac:dyDescent="0.25">
      <c r="B268" s="233" t="s">
        <v>962</v>
      </c>
      <c r="C268" s="233" t="s">
        <v>177</v>
      </c>
      <c r="D268" s="235">
        <v>60</v>
      </c>
      <c r="E268" s="234" t="s">
        <v>175</v>
      </c>
      <c r="F268" s="296" t="s">
        <v>204</v>
      </c>
    </row>
    <row r="269" spans="1:6" ht="17" x14ac:dyDescent="0.25">
      <c r="B269" s="233" t="s">
        <v>963</v>
      </c>
      <c r="D269" s="235">
        <v>0</v>
      </c>
      <c r="E269" s="234" t="s">
        <v>175</v>
      </c>
      <c r="F269" s="296" t="s">
        <v>186</v>
      </c>
    </row>
    <row r="270" spans="1:6" ht="17" x14ac:dyDescent="0.25">
      <c r="B270" s="233" t="s">
        <v>964</v>
      </c>
      <c r="D270" s="289">
        <f>'Energy Balance'!S16</f>
        <v>14.254215731199825</v>
      </c>
      <c r="E270" s="234" t="s">
        <v>175</v>
      </c>
      <c r="F270" s="296" t="s">
        <v>948</v>
      </c>
    </row>
    <row r="271" spans="1:6" ht="17" x14ac:dyDescent="0.25">
      <c r="B271" s="233" t="s">
        <v>965</v>
      </c>
    </row>
    <row r="272" spans="1:6" ht="14" x14ac:dyDescent="0.15">
      <c r="C272" s="233" t="s">
        <v>209</v>
      </c>
      <c r="D272" s="235">
        <v>2529</v>
      </c>
      <c r="E272" s="234" t="s">
        <v>175</v>
      </c>
      <c r="F272" s="296" t="s">
        <v>214</v>
      </c>
    </row>
    <row r="273" spans="1:6" ht="14" x14ac:dyDescent="0.15">
      <c r="C273" s="233" t="s">
        <v>237</v>
      </c>
      <c r="D273" s="235">
        <v>408</v>
      </c>
      <c r="E273" s="234" t="s">
        <v>175</v>
      </c>
      <c r="F273" s="296" t="s">
        <v>214</v>
      </c>
    </row>
    <row r="274" spans="1:6" ht="14" x14ac:dyDescent="0.15">
      <c r="C274" s="233" t="s">
        <v>232</v>
      </c>
      <c r="D274" s="247">
        <f>(D272-D273)*3412/1000000</f>
        <v>7.2368519999999998</v>
      </c>
      <c r="E274" s="234" t="s">
        <v>178</v>
      </c>
      <c r="F274" s="296" t="s">
        <v>205</v>
      </c>
    </row>
    <row r="275" spans="1:6" ht="17" x14ac:dyDescent="0.25">
      <c r="B275" s="233" t="s">
        <v>966</v>
      </c>
      <c r="D275" s="289">
        <f>'Energy Balance'!Y16</f>
        <v>-125.50760394481404</v>
      </c>
      <c r="E275" s="234" t="s">
        <v>175</v>
      </c>
      <c r="F275" s="296" t="s">
        <v>176</v>
      </c>
    </row>
    <row r="276" spans="1:6" ht="17" x14ac:dyDescent="0.25">
      <c r="A276" s="232" t="s">
        <v>967</v>
      </c>
    </row>
    <row r="277" spans="1:6" ht="17" x14ac:dyDescent="0.25">
      <c r="B277" s="233" t="s">
        <v>968</v>
      </c>
      <c r="D277" s="289">
        <f>GWP!P14</f>
        <v>0</v>
      </c>
      <c r="E277" s="234" t="s">
        <v>969</v>
      </c>
      <c r="F277" s="296" t="s">
        <v>949</v>
      </c>
    </row>
    <row r="278" spans="1:6" ht="17" x14ac:dyDescent="0.25">
      <c r="B278" s="233" t="s">
        <v>970</v>
      </c>
      <c r="D278" s="242">
        <v>0</v>
      </c>
      <c r="E278" s="234" t="s">
        <v>172</v>
      </c>
      <c r="F278" s="296" t="s">
        <v>190</v>
      </c>
    </row>
    <row r="279" spans="1:6" ht="17" x14ac:dyDescent="0.25">
      <c r="B279" s="233" t="s">
        <v>971</v>
      </c>
      <c r="D279" s="291">
        <f>GWP!R14</f>
        <v>0</v>
      </c>
      <c r="E279" s="234" t="s">
        <v>969</v>
      </c>
      <c r="F279" s="296" t="s">
        <v>193</v>
      </c>
    </row>
    <row r="280" spans="1:6" ht="17" x14ac:dyDescent="0.25">
      <c r="B280" s="233" t="s">
        <v>972</v>
      </c>
      <c r="D280" s="235">
        <v>1</v>
      </c>
      <c r="E280" s="234" t="s">
        <v>172</v>
      </c>
      <c r="F280" s="296" t="s">
        <v>87</v>
      </c>
    </row>
    <row r="281" spans="1:6" ht="17" x14ac:dyDescent="0.25">
      <c r="B281" s="233" t="s">
        <v>973</v>
      </c>
      <c r="D281" s="291">
        <f>GWP!T14</f>
        <v>7267.7942857142843</v>
      </c>
      <c r="E281" s="234" t="s">
        <v>969</v>
      </c>
      <c r="F281" s="296" t="s">
        <v>919</v>
      </c>
    </row>
    <row r="282" spans="1:6" ht="17" x14ac:dyDescent="0.25">
      <c r="B282" s="233" t="s">
        <v>974</v>
      </c>
      <c r="D282" s="235">
        <v>0</v>
      </c>
      <c r="E282" s="234" t="s">
        <v>969</v>
      </c>
      <c r="F282" s="296" t="s">
        <v>200</v>
      </c>
    </row>
    <row r="283" spans="1:6" ht="17" x14ac:dyDescent="0.25">
      <c r="B283" s="233" t="s">
        <v>975</v>
      </c>
      <c r="D283" s="235">
        <v>0</v>
      </c>
      <c r="E283" s="234" t="s">
        <v>969</v>
      </c>
      <c r="F283" s="296" t="s">
        <v>190</v>
      </c>
    </row>
    <row r="284" spans="1:6" ht="17" x14ac:dyDescent="0.25">
      <c r="B284" s="233" t="s">
        <v>976</v>
      </c>
      <c r="D284" s="291">
        <f>GWP!AB14</f>
        <v>7362.0091573362488</v>
      </c>
      <c r="E284" s="234" t="s">
        <v>969</v>
      </c>
      <c r="F284" s="296" t="s">
        <v>179</v>
      </c>
    </row>
    <row r="285" spans="1:6" x14ac:dyDescent="0.15">
      <c r="A285" s="232" t="s">
        <v>41</v>
      </c>
    </row>
    <row r="286" spans="1:6" ht="14" x14ac:dyDescent="0.15">
      <c r="B286" s="233" t="s">
        <v>194</v>
      </c>
      <c r="D286" s="245">
        <v>35000</v>
      </c>
      <c r="E286" s="234" t="s">
        <v>835</v>
      </c>
      <c r="F286" s="296" t="s">
        <v>208</v>
      </c>
    </row>
    <row r="287" spans="1:6" ht="14" x14ac:dyDescent="0.15">
      <c r="B287" s="233" t="s">
        <v>206</v>
      </c>
      <c r="D287" s="245">
        <v>220000</v>
      </c>
      <c r="E287" s="234" t="s">
        <v>835</v>
      </c>
      <c r="F287" s="296" t="s">
        <v>208</v>
      </c>
    </row>
    <row r="288" spans="1:6" ht="14" x14ac:dyDescent="0.15">
      <c r="B288" s="233" t="s">
        <v>215</v>
      </c>
      <c r="D288" s="245">
        <v>295000</v>
      </c>
      <c r="E288" s="234" t="s">
        <v>835</v>
      </c>
      <c r="F288" s="296" t="s">
        <v>208</v>
      </c>
    </row>
    <row r="289" spans="1:6" x14ac:dyDescent="0.15">
      <c r="B289" s="233" t="s">
        <v>207</v>
      </c>
      <c r="D289" s="245">
        <f>SUM(D286:D288)</f>
        <v>550000</v>
      </c>
      <c r="E289" s="234" t="s">
        <v>835</v>
      </c>
    </row>
    <row r="290" spans="1:6" ht="14" x14ac:dyDescent="0.15">
      <c r="B290" s="233" t="s">
        <v>796</v>
      </c>
      <c r="D290" s="246">
        <v>2.3E-2</v>
      </c>
      <c r="E290" s="234" t="s">
        <v>111</v>
      </c>
      <c r="F290" s="297" t="s">
        <v>797</v>
      </c>
    </row>
    <row r="291" spans="1:6" x14ac:dyDescent="0.15">
      <c r="B291" s="233" t="s">
        <v>799</v>
      </c>
      <c r="D291" s="242">
        <f>D289*(1+D290)</f>
        <v>562650</v>
      </c>
      <c r="E291" s="234" t="s">
        <v>404</v>
      </c>
      <c r="F291" s="297"/>
    </row>
    <row r="292" spans="1:6" x14ac:dyDescent="0.15">
      <c r="A292" s="232" t="s">
        <v>195</v>
      </c>
    </row>
    <row r="293" spans="1:6" x14ac:dyDescent="0.15">
      <c r="B293" s="233" t="s">
        <v>42</v>
      </c>
    </row>
    <row r="294" spans="1:6" ht="14" x14ac:dyDescent="0.15">
      <c r="C294" s="233" t="s">
        <v>177</v>
      </c>
      <c r="D294" s="234">
        <v>22</v>
      </c>
      <c r="E294" s="234" t="s">
        <v>824</v>
      </c>
      <c r="F294" s="296" t="s">
        <v>208</v>
      </c>
    </row>
    <row r="295" spans="1:6" ht="14" x14ac:dyDescent="0.15">
      <c r="C295" s="233" t="s">
        <v>209</v>
      </c>
      <c r="D295" s="234">
        <v>147</v>
      </c>
      <c r="E295" s="234" t="s">
        <v>824</v>
      </c>
      <c r="F295" s="296" t="s">
        <v>208</v>
      </c>
    </row>
    <row r="296" spans="1:6" ht="14" x14ac:dyDescent="0.15">
      <c r="C296" s="233" t="s">
        <v>216</v>
      </c>
      <c r="D296" s="234">
        <v>223</v>
      </c>
      <c r="E296" s="234" t="s">
        <v>824</v>
      </c>
      <c r="F296" s="296" t="s">
        <v>208</v>
      </c>
    </row>
    <row r="297" spans="1:6" x14ac:dyDescent="0.15">
      <c r="C297" s="233" t="s">
        <v>210</v>
      </c>
      <c r="D297" s="234">
        <f>SUM(D294:D296)</f>
        <v>392</v>
      </c>
      <c r="E297" s="234" t="s">
        <v>824</v>
      </c>
    </row>
    <row r="298" spans="1:6" ht="14" x14ac:dyDescent="0.15">
      <c r="B298" s="233" t="s">
        <v>796</v>
      </c>
      <c r="D298" s="246">
        <v>2.3E-2</v>
      </c>
      <c r="E298" s="234" t="s">
        <v>111</v>
      </c>
      <c r="F298" s="297" t="s">
        <v>797</v>
      </c>
    </row>
    <row r="299" spans="1:6" x14ac:dyDescent="0.15">
      <c r="B299" s="233" t="s">
        <v>798</v>
      </c>
      <c r="D299" s="247">
        <f>D297*(1+D298)</f>
        <v>401.01599999999996</v>
      </c>
      <c r="E299" s="234" t="s">
        <v>816</v>
      </c>
    </row>
    <row r="300" spans="1:6" ht="14" x14ac:dyDescent="0.15">
      <c r="B300" s="233" t="s">
        <v>197</v>
      </c>
      <c r="D300" s="291">
        <f>'Commercial Viability'!F17</f>
        <v>6.0651910158659348</v>
      </c>
      <c r="E300" s="234" t="s">
        <v>199</v>
      </c>
      <c r="F300" s="296" t="s">
        <v>950</v>
      </c>
    </row>
    <row r="301" spans="1:6" x14ac:dyDescent="0.15">
      <c r="B301" s="233" t="s">
        <v>196</v>
      </c>
    </row>
    <row r="302" spans="1:6" ht="14" x14ac:dyDescent="0.15">
      <c r="C302" s="233" t="s">
        <v>801</v>
      </c>
      <c r="D302" s="234">
        <v>6.8099999999999994E-2</v>
      </c>
      <c r="E302" s="234" t="s">
        <v>217</v>
      </c>
      <c r="F302" s="299" t="s">
        <v>374</v>
      </c>
    </row>
    <row r="303" spans="1:6" x14ac:dyDescent="0.15">
      <c r="C303" s="233" t="s">
        <v>245</v>
      </c>
      <c r="D303" s="249">
        <f>D302*D264</f>
        <v>141.10319999999999</v>
      </c>
      <c r="E303" s="234" t="s">
        <v>199</v>
      </c>
    </row>
    <row r="304" spans="1:6" ht="14" x14ac:dyDescent="0.15">
      <c r="B304" s="233" t="s">
        <v>195</v>
      </c>
      <c r="D304" s="291">
        <f>'Commercial Viability'!H17</f>
        <v>-265.97799101586588</v>
      </c>
      <c r="E304" s="234" t="s">
        <v>199</v>
      </c>
      <c r="F304" s="296" t="s">
        <v>951</v>
      </c>
    </row>
    <row r="305" spans="1:6" x14ac:dyDescent="0.15">
      <c r="A305" s="232" t="s">
        <v>201</v>
      </c>
    </row>
    <row r="306" spans="1:6" ht="28" x14ac:dyDescent="0.15">
      <c r="B306" s="233" t="s">
        <v>6</v>
      </c>
      <c r="D306" s="235">
        <v>9</v>
      </c>
      <c r="F306" s="296" t="s">
        <v>202</v>
      </c>
    </row>
    <row r="308" spans="1:6" s="228" customFormat="1" x14ac:dyDescent="0.15">
      <c r="A308" s="225" t="s">
        <v>978</v>
      </c>
      <c r="B308" s="226"/>
      <c r="C308" s="226"/>
      <c r="D308" s="227"/>
      <c r="E308" s="227"/>
      <c r="F308" s="294"/>
    </row>
    <row r="309" spans="1:6" ht="14" x14ac:dyDescent="0.15">
      <c r="B309" s="230" t="s">
        <v>171</v>
      </c>
      <c r="C309" s="230"/>
      <c r="D309" s="231" t="s">
        <v>170</v>
      </c>
      <c r="E309" s="231" t="s">
        <v>169</v>
      </c>
      <c r="F309" s="295" t="s">
        <v>168</v>
      </c>
    </row>
    <row r="310" spans="1:6" x14ac:dyDescent="0.15">
      <c r="A310" s="232" t="s">
        <v>167</v>
      </c>
    </row>
    <row r="311" spans="1:6" ht="17" x14ac:dyDescent="0.25">
      <c r="A311" s="232"/>
      <c r="B311" s="233" t="s">
        <v>979</v>
      </c>
      <c r="D311" s="234">
        <v>0.8</v>
      </c>
      <c r="E311" s="234" t="s">
        <v>172</v>
      </c>
      <c r="F311" s="296" t="s">
        <v>220</v>
      </c>
    </row>
    <row r="312" spans="1:6" ht="14" x14ac:dyDescent="0.15">
      <c r="A312" s="232"/>
      <c r="B312" s="233" t="s">
        <v>221</v>
      </c>
      <c r="D312" s="234">
        <v>0.6</v>
      </c>
      <c r="E312" s="234" t="s">
        <v>172</v>
      </c>
      <c r="F312" s="296" t="s">
        <v>220</v>
      </c>
    </row>
    <row r="313" spans="1:6" ht="17" x14ac:dyDescent="0.25">
      <c r="B313" s="233" t="s">
        <v>955</v>
      </c>
      <c r="D313" s="235">
        <f>(1-D311)+D311*D312</f>
        <v>0.67999999999999994</v>
      </c>
      <c r="E313" s="234" t="s">
        <v>172</v>
      </c>
      <c r="F313" s="296" t="s">
        <v>222</v>
      </c>
    </row>
    <row r="314" spans="1:6" ht="17" x14ac:dyDescent="0.25">
      <c r="B314" s="233" t="s">
        <v>956</v>
      </c>
      <c r="D314" s="236">
        <v>0.8</v>
      </c>
      <c r="E314" s="234" t="s">
        <v>172</v>
      </c>
      <c r="F314" s="296" t="s">
        <v>1014</v>
      </c>
    </row>
    <row r="315" spans="1:6" ht="17" x14ac:dyDescent="0.25">
      <c r="B315" s="233" t="s">
        <v>957</v>
      </c>
      <c r="D315" s="287">
        <f>'Energy Balance'!Q17</f>
        <v>3.4000000000000004</v>
      </c>
      <c r="E315" s="234" t="s">
        <v>172</v>
      </c>
      <c r="F315" s="296" t="s">
        <v>173</v>
      </c>
    </row>
    <row r="316" spans="1:6" x14ac:dyDescent="0.15">
      <c r="A316" s="232" t="s">
        <v>174</v>
      </c>
    </row>
    <row r="317" spans="1:6" ht="17" x14ac:dyDescent="0.25">
      <c r="B317" s="233" t="s">
        <v>958</v>
      </c>
    </row>
    <row r="318" spans="1:6" ht="14" x14ac:dyDescent="0.15">
      <c r="A318" s="250"/>
      <c r="C318" s="250" t="s">
        <v>223</v>
      </c>
      <c r="D318" s="234">
        <v>1284</v>
      </c>
      <c r="E318" s="234" t="s">
        <v>175</v>
      </c>
      <c r="F318" s="296" t="s">
        <v>208</v>
      </c>
    </row>
    <row r="319" spans="1:6" ht="14" x14ac:dyDescent="0.15">
      <c r="A319" s="250"/>
      <c r="C319" s="250" t="s">
        <v>253</v>
      </c>
      <c r="D319" s="236">
        <v>0.35</v>
      </c>
      <c r="E319" s="234" t="s">
        <v>111</v>
      </c>
      <c r="F319" s="296" t="s">
        <v>1016</v>
      </c>
    </row>
    <row r="320" spans="1:6" ht="14" x14ac:dyDescent="0.15">
      <c r="A320" s="250"/>
      <c r="C320" s="250" t="s">
        <v>231</v>
      </c>
      <c r="D320" s="238">
        <f>D318*D319</f>
        <v>449.4</v>
      </c>
      <c r="E320" s="234" t="s">
        <v>175</v>
      </c>
      <c r="F320" s="296" t="s">
        <v>66</v>
      </c>
    </row>
    <row r="321" spans="1:6" ht="17" x14ac:dyDescent="0.25">
      <c r="B321" s="233" t="s">
        <v>959</v>
      </c>
      <c r="D321" s="239">
        <f>D311*D312</f>
        <v>0.48</v>
      </c>
      <c r="E321" s="234" t="s">
        <v>111</v>
      </c>
      <c r="F321" s="296" t="s">
        <v>222</v>
      </c>
    </row>
    <row r="322" spans="1:6" ht="17" x14ac:dyDescent="0.25">
      <c r="B322" s="233" t="s">
        <v>960</v>
      </c>
      <c r="D322" s="239">
        <v>0</v>
      </c>
      <c r="E322" s="234" t="s">
        <v>111</v>
      </c>
      <c r="F322" s="296" t="s">
        <v>185</v>
      </c>
    </row>
    <row r="323" spans="1:6" ht="17" x14ac:dyDescent="0.25">
      <c r="B323" s="233" t="s">
        <v>961</v>
      </c>
      <c r="D323" s="288">
        <f>'Energy Balance'!D17</f>
        <v>0</v>
      </c>
      <c r="E323" s="234" t="s">
        <v>175</v>
      </c>
      <c r="F323" s="296" t="s">
        <v>947</v>
      </c>
    </row>
    <row r="324" spans="1:6" ht="17" x14ac:dyDescent="0.25">
      <c r="B324" s="233" t="s">
        <v>962</v>
      </c>
    </row>
    <row r="325" spans="1:6" ht="14" x14ac:dyDescent="0.15">
      <c r="C325" s="233" t="s">
        <v>226</v>
      </c>
      <c r="D325" s="234">
        <v>14</v>
      </c>
      <c r="E325" s="234" t="s">
        <v>175</v>
      </c>
      <c r="F325" s="296" t="s">
        <v>204</v>
      </c>
    </row>
    <row r="326" spans="1:6" ht="14" x14ac:dyDescent="0.15">
      <c r="C326" s="233" t="s">
        <v>227</v>
      </c>
      <c r="D326" s="234">
        <v>60</v>
      </c>
      <c r="E326" s="234" t="s">
        <v>175</v>
      </c>
      <c r="F326" s="296" t="s">
        <v>204</v>
      </c>
    </row>
    <row r="327" spans="1:6" ht="14" x14ac:dyDescent="0.15">
      <c r="C327" s="233" t="s">
        <v>228</v>
      </c>
      <c r="D327" s="235">
        <f>SUM(D325:D326)</f>
        <v>74</v>
      </c>
      <c r="E327" s="234" t="s">
        <v>175</v>
      </c>
      <c r="F327" s="296" t="s">
        <v>66</v>
      </c>
    </row>
    <row r="328" spans="1:6" ht="17" x14ac:dyDescent="0.25">
      <c r="B328" s="233" t="s">
        <v>963</v>
      </c>
      <c r="D328" s="235">
        <v>0</v>
      </c>
      <c r="E328" s="234" t="s">
        <v>175</v>
      </c>
      <c r="F328" s="296" t="s">
        <v>186</v>
      </c>
    </row>
    <row r="329" spans="1:6" ht="17" x14ac:dyDescent="0.25">
      <c r="B329" s="233" t="s">
        <v>964</v>
      </c>
      <c r="D329" s="289">
        <f>'Energy Balance'!S17</f>
        <v>460.41116811775441</v>
      </c>
      <c r="E329" s="234" t="s">
        <v>175</v>
      </c>
      <c r="F329" s="296" t="s">
        <v>948</v>
      </c>
    </row>
    <row r="330" spans="1:6" ht="17" x14ac:dyDescent="0.25">
      <c r="B330" s="233" t="s">
        <v>965</v>
      </c>
    </row>
    <row r="331" spans="1:6" ht="14" x14ac:dyDescent="0.15">
      <c r="A331" s="250"/>
      <c r="C331" s="250" t="s">
        <v>229</v>
      </c>
      <c r="D331" s="234">
        <v>728</v>
      </c>
      <c r="E331" s="234" t="s">
        <v>175</v>
      </c>
      <c r="F331" s="296" t="s">
        <v>204</v>
      </c>
    </row>
    <row r="332" spans="1:6" ht="14" x14ac:dyDescent="0.15">
      <c r="A332" s="250"/>
      <c r="C332" s="250" t="s">
        <v>230</v>
      </c>
      <c r="D332" s="251">
        <f>D331*3412/1000000</f>
        <v>2.4839359999999999</v>
      </c>
      <c r="E332" s="234" t="s">
        <v>178</v>
      </c>
      <c r="F332" s="296" t="s">
        <v>225</v>
      </c>
    </row>
    <row r="333" spans="1:6" ht="14" x14ac:dyDescent="0.15">
      <c r="A333" s="250"/>
      <c r="C333" s="250" t="s">
        <v>252</v>
      </c>
      <c r="D333" s="236">
        <v>0.38</v>
      </c>
      <c r="E333" s="234" t="s">
        <v>111</v>
      </c>
      <c r="F333" s="298" t="s">
        <v>1016</v>
      </c>
    </row>
    <row r="334" spans="1:6" ht="14" x14ac:dyDescent="0.15">
      <c r="A334" s="250"/>
      <c r="C334" s="250" t="s">
        <v>254</v>
      </c>
      <c r="D334" s="234">
        <f>D318*D333</f>
        <v>487.92</v>
      </c>
      <c r="E334" s="234" t="s">
        <v>175</v>
      </c>
      <c r="F334" s="296" t="s">
        <v>66</v>
      </c>
    </row>
    <row r="335" spans="1:6" ht="14" x14ac:dyDescent="0.15">
      <c r="A335" s="250"/>
      <c r="C335" s="250" t="s">
        <v>224</v>
      </c>
      <c r="D335" s="251">
        <f>D334*3412/1000000</f>
        <v>1.6647830400000001</v>
      </c>
      <c r="E335" s="234" t="s">
        <v>178</v>
      </c>
      <c r="F335" s="296" t="s">
        <v>225</v>
      </c>
    </row>
    <row r="336" spans="1:6" ht="14" x14ac:dyDescent="0.15">
      <c r="A336" s="250"/>
      <c r="C336" s="250" t="s">
        <v>232</v>
      </c>
      <c r="D336" s="247">
        <f>D332-D335</f>
        <v>0.81915295999999982</v>
      </c>
      <c r="E336" s="234" t="s">
        <v>178</v>
      </c>
      <c r="F336" s="296" t="s">
        <v>66</v>
      </c>
    </row>
    <row r="337" spans="1:6" ht="17" x14ac:dyDescent="0.25">
      <c r="B337" s="233" t="s">
        <v>966</v>
      </c>
      <c r="D337" s="289">
        <f>'Energy Balance'!Y17</f>
        <v>-407.9056179180966</v>
      </c>
      <c r="E337" s="234" t="s">
        <v>175</v>
      </c>
      <c r="F337" s="296" t="s">
        <v>176</v>
      </c>
    </row>
    <row r="338" spans="1:6" ht="17" x14ac:dyDescent="0.25">
      <c r="A338" s="232" t="s">
        <v>967</v>
      </c>
    </row>
    <row r="339" spans="1:6" ht="17" x14ac:dyDescent="0.25">
      <c r="B339" s="233" t="s">
        <v>968</v>
      </c>
      <c r="D339" s="289">
        <f>GWP!P15</f>
        <v>2039.9999999999995</v>
      </c>
      <c r="E339" s="234" t="s">
        <v>969</v>
      </c>
      <c r="F339" s="296" t="s">
        <v>949</v>
      </c>
    </row>
    <row r="340" spans="1:6" ht="17" x14ac:dyDescent="0.25">
      <c r="B340" s="233" t="s">
        <v>970</v>
      </c>
      <c r="D340" s="242">
        <v>0</v>
      </c>
      <c r="E340" s="234" t="s">
        <v>172</v>
      </c>
      <c r="F340" s="296" t="s">
        <v>190</v>
      </c>
    </row>
    <row r="341" spans="1:6" ht="17" x14ac:dyDescent="0.25">
      <c r="B341" s="233" t="s">
        <v>971</v>
      </c>
      <c r="D341" s="291">
        <f>GWP!R15</f>
        <v>0</v>
      </c>
      <c r="E341" s="234" t="s">
        <v>969</v>
      </c>
      <c r="F341" s="296" t="s">
        <v>193</v>
      </c>
    </row>
    <row r="342" spans="1:6" ht="17" x14ac:dyDescent="0.25">
      <c r="B342" s="233" t="s">
        <v>972</v>
      </c>
      <c r="D342" s="235">
        <v>0</v>
      </c>
      <c r="E342" s="234" t="s">
        <v>172</v>
      </c>
      <c r="F342" s="296" t="s">
        <v>192</v>
      </c>
    </row>
    <row r="343" spans="1:6" ht="17" x14ac:dyDescent="0.25">
      <c r="B343" s="233" t="s">
        <v>973</v>
      </c>
      <c r="D343" s="290">
        <f>GWP!T15</f>
        <v>0</v>
      </c>
      <c r="E343" s="234" t="s">
        <v>969</v>
      </c>
      <c r="F343" s="296" t="s">
        <v>919</v>
      </c>
    </row>
    <row r="344" spans="1:6" ht="17" x14ac:dyDescent="0.25">
      <c r="B344" s="233" t="s">
        <v>974</v>
      </c>
      <c r="D344" s="235">
        <v>0</v>
      </c>
      <c r="E344" s="234" t="s">
        <v>969</v>
      </c>
      <c r="F344" s="296" t="s">
        <v>200</v>
      </c>
    </row>
    <row r="345" spans="1:6" ht="17" x14ac:dyDescent="0.25">
      <c r="B345" s="233" t="s">
        <v>975</v>
      </c>
      <c r="D345" s="235">
        <v>0</v>
      </c>
      <c r="E345" s="234" t="s">
        <v>969</v>
      </c>
      <c r="F345" s="296" t="s">
        <v>190</v>
      </c>
    </row>
    <row r="346" spans="1:6" ht="17" x14ac:dyDescent="0.25">
      <c r="B346" s="233" t="s">
        <v>976</v>
      </c>
      <c r="D346" s="291">
        <f>GWP!AB15</f>
        <v>2197.8426320814601</v>
      </c>
      <c r="E346" s="234" t="s">
        <v>969</v>
      </c>
      <c r="F346" s="296" t="s">
        <v>179</v>
      </c>
    </row>
    <row r="347" spans="1:6" x14ac:dyDescent="0.15">
      <c r="A347" s="232" t="s">
        <v>41</v>
      </c>
    </row>
    <row r="348" spans="1:6" ht="14" x14ac:dyDescent="0.15">
      <c r="A348" s="232"/>
      <c r="B348" s="233" t="s">
        <v>233</v>
      </c>
      <c r="D348" s="234">
        <v>60000</v>
      </c>
      <c r="E348" s="234" t="s">
        <v>835</v>
      </c>
      <c r="F348" s="296" t="s">
        <v>208</v>
      </c>
    </row>
    <row r="349" spans="1:6" ht="14" x14ac:dyDescent="0.15">
      <c r="A349" s="232"/>
      <c r="B349" s="233" t="s">
        <v>234</v>
      </c>
      <c r="D349" s="234">
        <v>370000</v>
      </c>
      <c r="E349" s="234" t="s">
        <v>835</v>
      </c>
      <c r="F349" s="296" t="s">
        <v>208</v>
      </c>
    </row>
    <row r="350" spans="1:6" ht="14" x14ac:dyDescent="0.15">
      <c r="B350" s="233" t="s">
        <v>194</v>
      </c>
      <c r="D350" s="245">
        <v>25000</v>
      </c>
      <c r="E350" s="234" t="s">
        <v>835</v>
      </c>
      <c r="F350" s="296" t="s">
        <v>208</v>
      </c>
    </row>
    <row r="351" spans="1:6" ht="14" x14ac:dyDescent="0.15">
      <c r="B351" s="233" t="s">
        <v>207</v>
      </c>
      <c r="D351" s="234">
        <f>SUM(D348:D350)</f>
        <v>455000</v>
      </c>
      <c r="E351" s="234" t="s">
        <v>835</v>
      </c>
      <c r="F351" s="296" t="s">
        <v>66</v>
      </c>
    </row>
    <row r="352" spans="1:6" ht="14" x14ac:dyDescent="0.15">
      <c r="B352" s="233" t="s">
        <v>796</v>
      </c>
      <c r="D352" s="246">
        <v>2.3E-2</v>
      </c>
      <c r="E352" s="234" t="s">
        <v>111</v>
      </c>
      <c r="F352" s="297" t="s">
        <v>797</v>
      </c>
    </row>
    <row r="353" spans="1:6" x14ac:dyDescent="0.15">
      <c r="B353" s="233" t="s">
        <v>799</v>
      </c>
      <c r="D353" s="242">
        <f>D351*(1+D352)</f>
        <v>465464.99999999994</v>
      </c>
      <c r="E353" s="234" t="s">
        <v>404</v>
      </c>
      <c r="F353" s="297"/>
    </row>
    <row r="354" spans="1:6" x14ac:dyDescent="0.15">
      <c r="A354" s="232" t="s">
        <v>195</v>
      </c>
    </row>
    <row r="355" spans="1:6" x14ac:dyDescent="0.15">
      <c r="B355" s="233" t="s">
        <v>42</v>
      </c>
    </row>
    <row r="356" spans="1:6" ht="14" x14ac:dyDescent="0.15">
      <c r="C356" s="233" t="s">
        <v>226</v>
      </c>
      <c r="D356" s="234">
        <v>15</v>
      </c>
      <c r="E356" s="234" t="s">
        <v>824</v>
      </c>
      <c r="F356" s="296" t="s">
        <v>208</v>
      </c>
    </row>
    <row r="357" spans="1:6" ht="14" x14ac:dyDescent="0.15">
      <c r="C357" s="233" t="s">
        <v>234</v>
      </c>
      <c r="D357" s="234">
        <v>29</v>
      </c>
      <c r="E357" s="234" t="s">
        <v>824</v>
      </c>
      <c r="F357" s="296" t="s">
        <v>208</v>
      </c>
    </row>
    <row r="358" spans="1:6" ht="14" x14ac:dyDescent="0.15">
      <c r="C358" s="233" t="s">
        <v>227</v>
      </c>
      <c r="D358" s="234">
        <v>21</v>
      </c>
      <c r="E358" s="234" t="s">
        <v>824</v>
      </c>
      <c r="F358" s="296" t="s">
        <v>208</v>
      </c>
    </row>
    <row r="359" spans="1:6" x14ac:dyDescent="0.15">
      <c r="C359" s="233" t="s">
        <v>210</v>
      </c>
      <c r="D359" s="234">
        <f>SUM(D356:D358)</f>
        <v>65</v>
      </c>
      <c r="E359" s="234" t="s">
        <v>824</v>
      </c>
    </row>
    <row r="360" spans="1:6" ht="14" x14ac:dyDescent="0.15">
      <c r="B360" s="233" t="s">
        <v>796</v>
      </c>
      <c r="D360" s="246">
        <v>2.3E-2</v>
      </c>
      <c r="E360" s="234" t="s">
        <v>111</v>
      </c>
      <c r="F360" s="297" t="s">
        <v>797</v>
      </c>
    </row>
    <row r="361" spans="1:6" x14ac:dyDescent="0.15">
      <c r="B361" s="233" t="s">
        <v>798</v>
      </c>
      <c r="D361" s="247">
        <f>D359*(1+D360)</f>
        <v>66.49499999999999</v>
      </c>
      <c r="E361" s="234" t="s">
        <v>816</v>
      </c>
    </row>
    <row r="362" spans="1:6" ht="14" x14ac:dyDescent="0.15">
      <c r="B362" s="233" t="s">
        <v>197</v>
      </c>
      <c r="D362" s="291">
        <f>'Commercial Viability'!F18</f>
        <v>195.90566981246974</v>
      </c>
      <c r="E362" s="234" t="s">
        <v>199</v>
      </c>
      <c r="F362" s="296" t="s">
        <v>950</v>
      </c>
    </row>
    <row r="363" spans="1:6" x14ac:dyDescent="0.15">
      <c r="B363" s="233" t="s">
        <v>196</v>
      </c>
    </row>
    <row r="364" spans="1:6" ht="14" x14ac:dyDescent="0.15">
      <c r="C364" s="233" t="s">
        <v>801</v>
      </c>
      <c r="D364" s="234">
        <v>6.8099999999999994E-2</v>
      </c>
      <c r="E364" s="234" t="s">
        <v>217</v>
      </c>
      <c r="F364" s="299" t="s">
        <v>374</v>
      </c>
    </row>
    <row r="365" spans="1:6" x14ac:dyDescent="0.15">
      <c r="C365" s="233" t="s">
        <v>245</v>
      </c>
      <c r="D365" s="249">
        <f>D364*D320</f>
        <v>30.604139999999997</v>
      </c>
      <c r="E365" s="234" t="s">
        <v>199</v>
      </c>
    </row>
    <row r="366" spans="1:6" ht="14" x14ac:dyDescent="0.15">
      <c r="B366" s="233" t="s">
        <v>195</v>
      </c>
      <c r="D366" s="291">
        <f>'Commercial Viability'!H18</f>
        <v>-231.79652981246971</v>
      </c>
      <c r="E366" s="234" t="s">
        <v>199</v>
      </c>
      <c r="F366" s="296" t="s">
        <v>951</v>
      </c>
    </row>
    <row r="367" spans="1:6" x14ac:dyDescent="0.15">
      <c r="A367" s="232" t="s">
        <v>201</v>
      </c>
    </row>
    <row r="368" spans="1:6" ht="28" x14ac:dyDescent="0.15">
      <c r="B368" s="233" t="s">
        <v>6</v>
      </c>
      <c r="D368" s="235">
        <v>9</v>
      </c>
      <c r="F368" s="296" t="s">
        <v>202</v>
      </c>
    </row>
    <row r="370" spans="1:6" s="228" customFormat="1" x14ac:dyDescent="0.15">
      <c r="A370" s="225" t="s">
        <v>980</v>
      </c>
      <c r="B370" s="226"/>
      <c r="C370" s="226"/>
      <c r="D370" s="227"/>
      <c r="E370" s="227"/>
      <c r="F370" s="294"/>
    </row>
    <row r="371" spans="1:6" ht="14" x14ac:dyDescent="0.15">
      <c r="B371" s="230" t="s">
        <v>171</v>
      </c>
      <c r="C371" s="230"/>
      <c r="D371" s="231" t="s">
        <v>170</v>
      </c>
      <c r="E371" s="231" t="s">
        <v>169</v>
      </c>
      <c r="F371" s="295" t="s">
        <v>168</v>
      </c>
    </row>
    <row r="372" spans="1:6" x14ac:dyDescent="0.15">
      <c r="A372" s="232" t="s">
        <v>167</v>
      </c>
    </row>
    <row r="373" spans="1:6" ht="17" x14ac:dyDescent="0.25">
      <c r="A373" s="232"/>
      <c r="B373" s="233" t="s">
        <v>979</v>
      </c>
      <c r="D373" s="234">
        <v>0.8</v>
      </c>
      <c r="E373" s="234" t="s">
        <v>172</v>
      </c>
      <c r="F373" s="296" t="s">
        <v>220</v>
      </c>
    </row>
    <row r="374" spans="1:6" ht="14" x14ac:dyDescent="0.15">
      <c r="A374" s="232"/>
      <c r="B374" s="233" t="s">
        <v>221</v>
      </c>
      <c r="D374" s="234">
        <v>0.6</v>
      </c>
      <c r="E374" s="234" t="s">
        <v>172</v>
      </c>
      <c r="F374" s="296" t="s">
        <v>220</v>
      </c>
    </row>
    <row r="375" spans="1:6" ht="17" x14ac:dyDescent="0.25">
      <c r="B375" s="233" t="s">
        <v>955</v>
      </c>
      <c r="D375" s="235">
        <f>(1-D373)+D373*D374</f>
        <v>0.67999999999999994</v>
      </c>
      <c r="E375" s="234" t="s">
        <v>172</v>
      </c>
      <c r="F375" s="296" t="s">
        <v>222</v>
      </c>
    </row>
    <row r="376" spans="1:6" ht="17" x14ac:dyDescent="0.25">
      <c r="B376" s="233" t="s">
        <v>956</v>
      </c>
      <c r="D376" s="236">
        <v>0.8</v>
      </c>
      <c r="E376" s="234" t="s">
        <v>172</v>
      </c>
      <c r="F376" s="296" t="s">
        <v>87</v>
      </c>
    </row>
    <row r="377" spans="1:6" ht="17" x14ac:dyDescent="0.25">
      <c r="B377" s="233" t="s">
        <v>957</v>
      </c>
      <c r="D377" s="237">
        <f>'Energy Balance'!Q18</f>
        <v>3.4000000000000004</v>
      </c>
      <c r="E377" s="234" t="s">
        <v>172</v>
      </c>
      <c r="F377" s="296" t="s">
        <v>173</v>
      </c>
    </row>
    <row r="378" spans="1:6" x14ac:dyDescent="0.15">
      <c r="A378" s="232" t="s">
        <v>174</v>
      </c>
    </row>
    <row r="379" spans="1:6" ht="17" x14ac:dyDescent="0.25">
      <c r="B379" s="233" t="s">
        <v>958</v>
      </c>
    </row>
    <row r="380" spans="1:6" ht="14" x14ac:dyDescent="0.15">
      <c r="A380" s="250"/>
      <c r="C380" s="250" t="s">
        <v>223</v>
      </c>
      <c r="D380" s="234">
        <v>1284</v>
      </c>
      <c r="E380" s="234" t="s">
        <v>175</v>
      </c>
      <c r="F380" s="296" t="s">
        <v>208</v>
      </c>
    </row>
    <row r="381" spans="1:6" ht="14" x14ac:dyDescent="0.15">
      <c r="A381" s="250"/>
      <c r="C381" s="250" t="s">
        <v>253</v>
      </c>
      <c r="D381" s="236">
        <v>0.35</v>
      </c>
      <c r="E381" s="234" t="s">
        <v>111</v>
      </c>
      <c r="F381" s="298" t="s">
        <v>1016</v>
      </c>
    </row>
    <row r="382" spans="1:6" ht="14" x14ac:dyDescent="0.15">
      <c r="A382" s="250"/>
      <c r="C382" s="250" t="s">
        <v>231</v>
      </c>
      <c r="D382" s="238">
        <f>D380*D381</f>
        <v>449.4</v>
      </c>
      <c r="E382" s="234" t="s">
        <v>175</v>
      </c>
      <c r="F382" s="296" t="s">
        <v>66</v>
      </c>
    </row>
    <row r="383" spans="1:6" ht="17" x14ac:dyDescent="0.25">
      <c r="B383" s="233" t="s">
        <v>959</v>
      </c>
      <c r="D383" s="239">
        <f>D373*D374</f>
        <v>0.48</v>
      </c>
      <c r="E383" s="234" t="s">
        <v>111</v>
      </c>
      <c r="F383" s="296" t="s">
        <v>222</v>
      </c>
    </row>
    <row r="384" spans="1:6" ht="17" x14ac:dyDescent="0.25">
      <c r="B384" s="233" t="s">
        <v>960</v>
      </c>
      <c r="D384" s="239">
        <v>0.8</v>
      </c>
      <c r="E384" s="234" t="s">
        <v>111</v>
      </c>
      <c r="F384" s="296" t="s">
        <v>189</v>
      </c>
    </row>
    <row r="385" spans="1:6" ht="17" x14ac:dyDescent="0.25">
      <c r="B385" s="233" t="s">
        <v>961</v>
      </c>
      <c r="D385" s="240">
        <f>'Energy Balance'!D18</f>
        <v>499.14538666666664</v>
      </c>
      <c r="E385" s="234" t="s">
        <v>175</v>
      </c>
      <c r="F385" s="296" t="s">
        <v>947</v>
      </c>
    </row>
    <row r="386" spans="1:6" ht="17" x14ac:dyDescent="0.25">
      <c r="B386" s="233" t="s">
        <v>962</v>
      </c>
    </row>
    <row r="387" spans="1:6" ht="14" x14ac:dyDescent="0.15">
      <c r="C387" s="233" t="s">
        <v>226</v>
      </c>
      <c r="D387" s="234">
        <v>14</v>
      </c>
      <c r="E387" s="234" t="s">
        <v>175</v>
      </c>
      <c r="F387" s="296" t="s">
        <v>204</v>
      </c>
    </row>
    <row r="388" spans="1:6" ht="14" x14ac:dyDescent="0.15">
      <c r="C388" s="233" t="s">
        <v>227</v>
      </c>
      <c r="D388" s="234">
        <v>60</v>
      </c>
      <c r="E388" s="234" t="s">
        <v>175</v>
      </c>
      <c r="F388" s="296" t="s">
        <v>204</v>
      </c>
    </row>
    <row r="389" spans="1:6" ht="14" x14ac:dyDescent="0.15">
      <c r="C389" s="233" t="s">
        <v>228</v>
      </c>
      <c r="D389" s="235">
        <f>SUM(D387:D388)</f>
        <v>74</v>
      </c>
      <c r="E389" s="234" t="s">
        <v>175</v>
      </c>
      <c r="F389" s="296" t="s">
        <v>66</v>
      </c>
    </row>
    <row r="390" spans="1:6" ht="17" x14ac:dyDescent="0.25">
      <c r="B390" s="233" t="s">
        <v>963</v>
      </c>
      <c r="D390" s="235">
        <v>0</v>
      </c>
      <c r="E390" s="234" t="s">
        <v>175</v>
      </c>
      <c r="F390" s="296" t="s">
        <v>186</v>
      </c>
    </row>
    <row r="391" spans="1:6" ht="17" x14ac:dyDescent="0.25">
      <c r="B391" s="233" t="s">
        <v>964</v>
      </c>
      <c r="D391" s="241">
        <f>'Energy Balance'!S18</f>
        <v>460.41116811775441</v>
      </c>
      <c r="E391" s="234" t="s">
        <v>175</v>
      </c>
      <c r="F391" s="296" t="s">
        <v>948</v>
      </c>
    </row>
    <row r="392" spans="1:6" ht="17" x14ac:dyDescent="0.25">
      <c r="B392" s="233" t="s">
        <v>965</v>
      </c>
    </row>
    <row r="393" spans="1:6" ht="14" x14ac:dyDescent="0.15">
      <c r="A393" s="250"/>
      <c r="C393" s="250" t="s">
        <v>229</v>
      </c>
      <c r="D393" s="234">
        <v>728</v>
      </c>
      <c r="E393" s="234" t="s">
        <v>175</v>
      </c>
      <c r="F393" s="296" t="s">
        <v>204</v>
      </c>
    </row>
    <row r="394" spans="1:6" ht="14" x14ac:dyDescent="0.15">
      <c r="A394" s="250"/>
      <c r="C394" s="250" t="s">
        <v>230</v>
      </c>
      <c r="D394" s="251">
        <f>D393*3412/1000000</f>
        <v>2.4839359999999999</v>
      </c>
      <c r="E394" s="234" t="s">
        <v>178</v>
      </c>
      <c r="F394" s="296" t="s">
        <v>225</v>
      </c>
    </row>
    <row r="395" spans="1:6" ht="14" x14ac:dyDescent="0.15">
      <c r="A395" s="250"/>
      <c r="C395" s="250" t="s">
        <v>252</v>
      </c>
      <c r="D395" s="236">
        <v>0.38</v>
      </c>
      <c r="E395" s="234" t="s">
        <v>111</v>
      </c>
      <c r="F395" s="298" t="s">
        <v>1016</v>
      </c>
    </row>
    <row r="396" spans="1:6" ht="14" x14ac:dyDescent="0.15">
      <c r="A396" s="250"/>
      <c r="C396" s="250" t="s">
        <v>254</v>
      </c>
      <c r="D396" s="234">
        <f>D380*D395</f>
        <v>487.92</v>
      </c>
      <c r="E396" s="234" t="s">
        <v>175</v>
      </c>
      <c r="F396" s="296" t="s">
        <v>66</v>
      </c>
    </row>
    <row r="397" spans="1:6" ht="14" x14ac:dyDescent="0.15">
      <c r="A397" s="250"/>
      <c r="C397" s="250" t="s">
        <v>224</v>
      </c>
      <c r="D397" s="251">
        <f>D396*3412/1000000</f>
        <v>1.6647830400000001</v>
      </c>
      <c r="E397" s="234" t="s">
        <v>178</v>
      </c>
      <c r="F397" s="296" t="s">
        <v>225</v>
      </c>
    </row>
    <row r="398" spans="1:6" ht="14" x14ac:dyDescent="0.15">
      <c r="A398" s="250"/>
      <c r="C398" s="250" t="s">
        <v>232</v>
      </c>
      <c r="D398" s="247">
        <f>D394-D397</f>
        <v>0.81915295999999982</v>
      </c>
      <c r="E398" s="234" t="s">
        <v>178</v>
      </c>
      <c r="F398" s="296" t="s">
        <v>66</v>
      </c>
    </row>
    <row r="399" spans="1:6" ht="17" x14ac:dyDescent="0.25">
      <c r="B399" s="233" t="s">
        <v>966</v>
      </c>
      <c r="D399" s="241">
        <f>'Energy Balance'!Y18</f>
        <v>122.34013864586709</v>
      </c>
      <c r="E399" s="234" t="s">
        <v>175</v>
      </c>
      <c r="F399" s="296" t="s">
        <v>176</v>
      </c>
    </row>
    <row r="400" spans="1:6" ht="17" x14ac:dyDescent="0.25">
      <c r="A400" s="232" t="s">
        <v>967</v>
      </c>
    </row>
    <row r="401" spans="1:6" ht="17" x14ac:dyDescent="0.25">
      <c r="B401" s="233" t="s">
        <v>968</v>
      </c>
      <c r="D401" s="241">
        <f>GWP!P16</f>
        <v>407.99999999999983</v>
      </c>
      <c r="E401" s="234" t="s">
        <v>969</v>
      </c>
      <c r="F401" s="296" t="s">
        <v>949</v>
      </c>
    </row>
    <row r="402" spans="1:6" ht="17" x14ac:dyDescent="0.25">
      <c r="B402" s="233" t="s">
        <v>970</v>
      </c>
      <c r="D402" s="242">
        <v>0</v>
      </c>
      <c r="E402" s="234" t="s">
        <v>172</v>
      </c>
      <c r="F402" s="296" t="s">
        <v>190</v>
      </c>
    </row>
    <row r="403" spans="1:6" ht="17" x14ac:dyDescent="0.25">
      <c r="B403" s="233" t="s">
        <v>971</v>
      </c>
      <c r="D403" s="244">
        <f>GWP!R16</f>
        <v>0</v>
      </c>
      <c r="E403" s="234" t="s">
        <v>969</v>
      </c>
      <c r="F403" s="296" t="s">
        <v>193</v>
      </c>
    </row>
    <row r="404" spans="1:6" ht="17" x14ac:dyDescent="0.25">
      <c r="B404" s="233" t="s">
        <v>972</v>
      </c>
      <c r="D404" s="235">
        <v>0</v>
      </c>
      <c r="E404" s="234" t="s">
        <v>172</v>
      </c>
      <c r="F404" s="296" t="s">
        <v>192</v>
      </c>
    </row>
    <row r="405" spans="1:6" ht="17" x14ac:dyDescent="0.25">
      <c r="B405" s="233" t="s">
        <v>973</v>
      </c>
      <c r="D405" s="243">
        <f>GWP!T16</f>
        <v>0</v>
      </c>
      <c r="E405" s="234" t="s">
        <v>969</v>
      </c>
      <c r="F405" s="296" t="s">
        <v>919</v>
      </c>
    </row>
    <row r="406" spans="1:6" ht="17" x14ac:dyDescent="0.25">
      <c r="B406" s="233" t="s">
        <v>974</v>
      </c>
      <c r="D406" s="235">
        <v>0</v>
      </c>
      <c r="E406" s="234" t="s">
        <v>969</v>
      </c>
      <c r="F406" s="296" t="s">
        <v>200</v>
      </c>
    </row>
    <row r="407" spans="1:6" ht="17" x14ac:dyDescent="0.25">
      <c r="B407" s="233" t="s">
        <v>975</v>
      </c>
      <c r="D407" s="235">
        <v>0</v>
      </c>
      <c r="E407" s="234" t="s">
        <v>969</v>
      </c>
      <c r="F407" s="296" t="s">
        <v>190</v>
      </c>
    </row>
    <row r="408" spans="1:6" ht="17" x14ac:dyDescent="0.25">
      <c r="B408" s="233" t="s">
        <v>976</v>
      </c>
      <c r="D408" s="244">
        <f>GWP!AB16</f>
        <v>359.24542812970782</v>
      </c>
      <c r="E408" s="234" t="s">
        <v>969</v>
      </c>
      <c r="F408" s="296" t="s">
        <v>179</v>
      </c>
    </row>
    <row r="409" spans="1:6" x14ac:dyDescent="0.15">
      <c r="A409" s="232" t="s">
        <v>41</v>
      </c>
    </row>
    <row r="410" spans="1:6" ht="14" x14ac:dyDescent="0.15">
      <c r="A410" s="232"/>
      <c r="B410" s="233" t="s">
        <v>233</v>
      </c>
      <c r="D410" s="234">
        <v>60000</v>
      </c>
      <c r="E410" s="234" t="s">
        <v>835</v>
      </c>
      <c r="F410" s="296" t="s">
        <v>208</v>
      </c>
    </row>
    <row r="411" spans="1:6" ht="14" x14ac:dyDescent="0.15">
      <c r="A411" s="232"/>
      <c r="B411" s="233" t="s">
        <v>234</v>
      </c>
      <c r="D411" s="234">
        <v>370000</v>
      </c>
      <c r="E411" s="234" t="s">
        <v>835</v>
      </c>
      <c r="F411" s="296" t="s">
        <v>208</v>
      </c>
    </row>
    <row r="412" spans="1:6" ht="14" x14ac:dyDescent="0.15">
      <c r="B412" s="233" t="s">
        <v>194</v>
      </c>
      <c r="D412" s="245">
        <v>25000</v>
      </c>
      <c r="E412" s="234" t="s">
        <v>835</v>
      </c>
      <c r="F412" s="296" t="s">
        <v>208</v>
      </c>
    </row>
    <row r="413" spans="1:6" ht="14" x14ac:dyDescent="0.15">
      <c r="B413" s="233" t="s">
        <v>207</v>
      </c>
      <c r="D413" s="234">
        <f>SUM(D410:D412)</f>
        <v>455000</v>
      </c>
      <c r="E413" s="234" t="s">
        <v>835</v>
      </c>
      <c r="F413" s="296" t="s">
        <v>66</v>
      </c>
    </row>
    <row r="414" spans="1:6" ht="14" x14ac:dyDescent="0.15">
      <c r="B414" s="233" t="s">
        <v>796</v>
      </c>
      <c r="D414" s="246">
        <v>2.3E-2</v>
      </c>
      <c r="E414" s="234" t="s">
        <v>111</v>
      </c>
      <c r="F414" s="297" t="s">
        <v>797</v>
      </c>
    </row>
    <row r="415" spans="1:6" x14ac:dyDescent="0.15">
      <c r="B415" s="233" t="s">
        <v>799</v>
      </c>
      <c r="D415" s="242">
        <f>D413*(1+D414)</f>
        <v>465464.99999999994</v>
      </c>
      <c r="E415" s="234" t="s">
        <v>404</v>
      </c>
      <c r="F415" s="297"/>
    </row>
    <row r="416" spans="1:6" x14ac:dyDescent="0.15">
      <c r="A416" s="232" t="s">
        <v>195</v>
      </c>
    </row>
    <row r="417" spans="1:6" x14ac:dyDescent="0.15">
      <c r="B417" s="233" t="s">
        <v>42</v>
      </c>
    </row>
    <row r="418" spans="1:6" ht="14" x14ac:dyDescent="0.15">
      <c r="C418" s="233" t="s">
        <v>226</v>
      </c>
      <c r="D418" s="234">
        <v>15</v>
      </c>
      <c r="E418" s="234" t="s">
        <v>824</v>
      </c>
      <c r="F418" s="296" t="s">
        <v>208</v>
      </c>
    </row>
    <row r="419" spans="1:6" ht="14" x14ac:dyDescent="0.15">
      <c r="C419" s="233" t="s">
        <v>234</v>
      </c>
      <c r="D419" s="234">
        <v>29</v>
      </c>
      <c r="E419" s="234" t="s">
        <v>824</v>
      </c>
      <c r="F419" s="296" t="s">
        <v>208</v>
      </c>
    </row>
    <row r="420" spans="1:6" ht="14" x14ac:dyDescent="0.15">
      <c r="C420" s="233" t="s">
        <v>227</v>
      </c>
      <c r="D420" s="234">
        <v>21</v>
      </c>
      <c r="E420" s="234" t="s">
        <v>824</v>
      </c>
      <c r="F420" s="296" t="s">
        <v>208</v>
      </c>
    </row>
    <row r="421" spans="1:6" x14ac:dyDescent="0.15">
      <c r="C421" s="233" t="s">
        <v>210</v>
      </c>
      <c r="D421" s="234">
        <f>SUM(D418:D420)</f>
        <v>65</v>
      </c>
      <c r="E421" s="234" t="s">
        <v>824</v>
      </c>
    </row>
    <row r="422" spans="1:6" ht="14" x14ac:dyDescent="0.15">
      <c r="B422" s="233" t="s">
        <v>796</v>
      </c>
      <c r="D422" s="246">
        <v>2.3E-2</v>
      </c>
      <c r="E422" s="234" t="s">
        <v>111</v>
      </c>
      <c r="F422" s="297" t="s">
        <v>797</v>
      </c>
    </row>
    <row r="423" spans="1:6" x14ac:dyDescent="0.15">
      <c r="B423" s="233" t="s">
        <v>798</v>
      </c>
      <c r="D423" s="247">
        <f>D421*(1+D422)</f>
        <v>66.49499999999999</v>
      </c>
      <c r="E423" s="234" t="s">
        <v>816</v>
      </c>
    </row>
    <row r="424" spans="1:6" ht="14" x14ac:dyDescent="0.15">
      <c r="B424" s="233" t="s">
        <v>197</v>
      </c>
      <c r="D424" s="244">
        <f>'Commercial Viability'!F19</f>
        <v>195.90566981246974</v>
      </c>
      <c r="E424" s="234" t="s">
        <v>199</v>
      </c>
      <c r="F424" s="296" t="s">
        <v>950</v>
      </c>
    </row>
    <row r="425" spans="1:6" x14ac:dyDescent="0.15">
      <c r="B425" s="233" t="s">
        <v>196</v>
      </c>
    </row>
    <row r="426" spans="1:6" ht="14" x14ac:dyDescent="0.15">
      <c r="C426" s="233" t="s">
        <v>801</v>
      </c>
      <c r="D426" s="234">
        <v>6.8099999999999994E-2</v>
      </c>
      <c r="E426" s="234" t="s">
        <v>217</v>
      </c>
      <c r="F426" s="299" t="s">
        <v>374</v>
      </c>
    </row>
    <row r="427" spans="1:6" x14ac:dyDescent="0.15">
      <c r="C427" s="233" t="s">
        <v>245</v>
      </c>
      <c r="D427" s="249">
        <f>D426*D382</f>
        <v>30.604139999999997</v>
      </c>
      <c r="E427" s="234" t="s">
        <v>199</v>
      </c>
    </row>
    <row r="428" spans="1:6" ht="14" x14ac:dyDescent="0.15">
      <c r="B428" s="233" t="s">
        <v>195</v>
      </c>
      <c r="D428" s="244">
        <f>'Commercial Viability'!H19</f>
        <v>-231.79652981246971</v>
      </c>
      <c r="E428" s="234" t="s">
        <v>199</v>
      </c>
      <c r="F428" s="296" t="s">
        <v>951</v>
      </c>
    </row>
    <row r="429" spans="1:6" x14ac:dyDescent="0.15">
      <c r="A429" s="232" t="s">
        <v>201</v>
      </c>
    </row>
    <row r="430" spans="1:6" ht="28" x14ac:dyDescent="0.15">
      <c r="B430" s="233" t="s">
        <v>6</v>
      </c>
      <c r="D430" s="235">
        <v>9</v>
      </c>
      <c r="F430" s="296" t="s">
        <v>202</v>
      </c>
    </row>
    <row r="432" spans="1:6" s="228" customFormat="1" x14ac:dyDescent="0.15">
      <c r="A432" s="225" t="s">
        <v>981</v>
      </c>
      <c r="B432" s="226"/>
      <c r="C432" s="226"/>
      <c r="D432" s="227"/>
      <c r="E432" s="227"/>
      <c r="F432" s="294"/>
    </row>
    <row r="433" spans="1:6" ht="14" x14ac:dyDescent="0.15">
      <c r="B433" s="230" t="s">
        <v>171</v>
      </c>
      <c r="C433" s="230"/>
      <c r="D433" s="231" t="s">
        <v>170</v>
      </c>
      <c r="E433" s="231" t="s">
        <v>169</v>
      </c>
      <c r="F433" s="295" t="s">
        <v>168</v>
      </c>
    </row>
    <row r="434" spans="1:6" x14ac:dyDescent="0.15">
      <c r="A434" s="232" t="s">
        <v>167</v>
      </c>
    </row>
    <row r="435" spans="1:6" ht="17" x14ac:dyDescent="0.25">
      <c r="A435" s="232"/>
      <c r="B435" s="233" t="s">
        <v>979</v>
      </c>
      <c r="D435" s="234">
        <v>0.8</v>
      </c>
      <c r="E435" s="234" t="s">
        <v>172</v>
      </c>
      <c r="F435" s="296" t="s">
        <v>220</v>
      </c>
    </row>
    <row r="436" spans="1:6" ht="14" x14ac:dyDescent="0.15">
      <c r="A436" s="232"/>
      <c r="B436" s="233" t="s">
        <v>221</v>
      </c>
      <c r="D436" s="234">
        <v>0.6</v>
      </c>
      <c r="E436" s="234" t="s">
        <v>172</v>
      </c>
      <c r="F436" s="296" t="s">
        <v>220</v>
      </c>
    </row>
    <row r="437" spans="1:6" ht="17" x14ac:dyDescent="0.25">
      <c r="B437" s="233" t="s">
        <v>955</v>
      </c>
      <c r="D437" s="235">
        <f>(1-D435)+D435*D436</f>
        <v>0.67999999999999994</v>
      </c>
      <c r="E437" s="234" t="s">
        <v>172</v>
      </c>
      <c r="F437" s="296" t="s">
        <v>222</v>
      </c>
    </row>
    <row r="438" spans="1:6" ht="17" x14ac:dyDescent="0.25">
      <c r="B438" s="233" t="s">
        <v>956</v>
      </c>
      <c r="D438" s="236">
        <v>0.8</v>
      </c>
      <c r="E438" s="234" t="s">
        <v>172</v>
      </c>
      <c r="F438" s="296" t="s">
        <v>87</v>
      </c>
    </row>
    <row r="439" spans="1:6" ht="17" x14ac:dyDescent="0.25">
      <c r="B439" s="233" t="s">
        <v>957</v>
      </c>
      <c r="D439" s="237">
        <f>'Energy Balance'!Q19</f>
        <v>3.4000000000000004</v>
      </c>
      <c r="E439" s="234" t="s">
        <v>172</v>
      </c>
      <c r="F439" s="296" t="s">
        <v>173</v>
      </c>
    </row>
    <row r="440" spans="1:6" x14ac:dyDescent="0.15">
      <c r="A440" s="232" t="s">
        <v>174</v>
      </c>
    </row>
    <row r="441" spans="1:6" ht="17" x14ac:dyDescent="0.25">
      <c r="B441" s="233" t="s">
        <v>958</v>
      </c>
    </row>
    <row r="442" spans="1:6" ht="14" x14ac:dyDescent="0.15">
      <c r="A442" s="250"/>
      <c r="C442" s="250" t="s">
        <v>223</v>
      </c>
      <c r="D442" s="234">
        <v>1284</v>
      </c>
      <c r="E442" s="234" t="s">
        <v>175</v>
      </c>
      <c r="F442" s="296" t="s">
        <v>208</v>
      </c>
    </row>
    <row r="443" spans="1:6" ht="14" x14ac:dyDescent="0.15">
      <c r="A443" s="250"/>
      <c r="C443" s="250" t="s">
        <v>253</v>
      </c>
      <c r="D443" s="236">
        <v>0.35</v>
      </c>
      <c r="E443" s="234" t="s">
        <v>111</v>
      </c>
      <c r="F443" s="298" t="s">
        <v>1016</v>
      </c>
    </row>
    <row r="444" spans="1:6" ht="14" x14ac:dyDescent="0.15">
      <c r="A444" s="250"/>
      <c r="C444" s="250" t="s">
        <v>231</v>
      </c>
      <c r="D444" s="238">
        <f>D442*D443</f>
        <v>449.4</v>
      </c>
      <c r="E444" s="234" t="s">
        <v>175</v>
      </c>
      <c r="F444" s="296" t="s">
        <v>66</v>
      </c>
    </row>
    <row r="445" spans="1:6" ht="17" x14ac:dyDescent="0.25">
      <c r="B445" s="233" t="s">
        <v>959</v>
      </c>
      <c r="D445" s="239">
        <v>0</v>
      </c>
      <c r="E445" s="234" t="s">
        <v>111</v>
      </c>
      <c r="F445" s="296" t="s">
        <v>212</v>
      </c>
    </row>
    <row r="446" spans="1:6" ht="17" x14ac:dyDescent="0.25">
      <c r="B446" s="233" t="s">
        <v>960</v>
      </c>
      <c r="D446" s="239">
        <v>0</v>
      </c>
      <c r="E446" s="234" t="s">
        <v>111</v>
      </c>
      <c r="F446" s="296" t="s">
        <v>212</v>
      </c>
    </row>
    <row r="447" spans="1:6" ht="17" x14ac:dyDescent="0.25">
      <c r="B447" s="233" t="s">
        <v>961</v>
      </c>
      <c r="D447" s="240">
        <f>'Energy Balance'!D19</f>
        <v>0</v>
      </c>
      <c r="E447" s="234" t="s">
        <v>175</v>
      </c>
      <c r="F447" s="296" t="s">
        <v>947</v>
      </c>
    </row>
    <row r="448" spans="1:6" ht="17" x14ac:dyDescent="0.25">
      <c r="B448" s="233" t="s">
        <v>962</v>
      </c>
    </row>
    <row r="449" spans="1:6" ht="14" x14ac:dyDescent="0.15">
      <c r="C449" s="233" t="s">
        <v>226</v>
      </c>
      <c r="D449" s="234">
        <v>14</v>
      </c>
      <c r="E449" s="234" t="s">
        <v>175</v>
      </c>
      <c r="F449" s="296" t="s">
        <v>204</v>
      </c>
    </row>
    <row r="450" spans="1:6" ht="14" x14ac:dyDescent="0.15">
      <c r="C450" s="233" t="s">
        <v>227</v>
      </c>
      <c r="D450" s="234">
        <v>60</v>
      </c>
      <c r="E450" s="234" t="s">
        <v>175</v>
      </c>
      <c r="F450" s="296" t="s">
        <v>204</v>
      </c>
    </row>
    <row r="451" spans="1:6" ht="14" x14ac:dyDescent="0.15">
      <c r="C451" s="233" t="s">
        <v>228</v>
      </c>
      <c r="D451" s="235">
        <f>SUM(D449:D450)</f>
        <v>74</v>
      </c>
      <c r="E451" s="234" t="s">
        <v>175</v>
      </c>
      <c r="F451" s="296" t="s">
        <v>66</v>
      </c>
    </row>
    <row r="452" spans="1:6" ht="17" x14ac:dyDescent="0.25">
      <c r="B452" s="233" t="s">
        <v>963</v>
      </c>
      <c r="D452" s="235">
        <v>0</v>
      </c>
      <c r="E452" s="234" t="s">
        <v>175</v>
      </c>
      <c r="F452" s="296" t="s">
        <v>186</v>
      </c>
    </row>
    <row r="453" spans="1:6" ht="17" x14ac:dyDescent="0.25">
      <c r="B453" s="233" t="s">
        <v>964</v>
      </c>
      <c r="D453" s="241">
        <f>'Energy Balance'!S19</f>
        <v>460.41116811775441</v>
      </c>
      <c r="E453" s="234" t="s">
        <v>175</v>
      </c>
      <c r="F453" s="296" t="s">
        <v>948</v>
      </c>
    </row>
    <row r="454" spans="1:6" ht="17" x14ac:dyDescent="0.25">
      <c r="B454" s="233" t="s">
        <v>965</v>
      </c>
    </row>
    <row r="455" spans="1:6" ht="14" x14ac:dyDescent="0.15">
      <c r="A455" s="250"/>
      <c r="C455" s="250" t="s">
        <v>229</v>
      </c>
      <c r="D455" s="234">
        <v>728</v>
      </c>
      <c r="E455" s="234" t="s">
        <v>175</v>
      </c>
      <c r="F455" s="296" t="s">
        <v>204</v>
      </c>
    </row>
    <row r="456" spans="1:6" ht="14" x14ac:dyDescent="0.15">
      <c r="A456" s="250"/>
      <c r="C456" s="250" t="s">
        <v>230</v>
      </c>
      <c r="D456" s="251">
        <f>D455*3412/1000000</f>
        <v>2.4839359999999999</v>
      </c>
      <c r="E456" s="234" t="s">
        <v>178</v>
      </c>
      <c r="F456" s="296" t="s">
        <v>225</v>
      </c>
    </row>
    <row r="457" spans="1:6" ht="14" x14ac:dyDescent="0.15">
      <c r="A457" s="250"/>
      <c r="C457" s="250" t="s">
        <v>252</v>
      </c>
      <c r="D457" s="236">
        <v>0.38</v>
      </c>
      <c r="E457" s="234" t="s">
        <v>111</v>
      </c>
      <c r="F457" s="298" t="s">
        <v>1016</v>
      </c>
    </row>
    <row r="458" spans="1:6" ht="14" x14ac:dyDescent="0.15">
      <c r="A458" s="250"/>
      <c r="C458" s="250" t="s">
        <v>254</v>
      </c>
      <c r="D458" s="234">
        <f>D442*D457</f>
        <v>487.92</v>
      </c>
      <c r="E458" s="234" t="s">
        <v>175</v>
      </c>
      <c r="F458" s="296" t="s">
        <v>66</v>
      </c>
    </row>
    <row r="459" spans="1:6" ht="14" x14ac:dyDescent="0.15">
      <c r="A459" s="250"/>
      <c r="C459" s="250" t="s">
        <v>224</v>
      </c>
      <c r="D459" s="251">
        <f>D458*3412/1000000</f>
        <v>1.6647830400000001</v>
      </c>
      <c r="E459" s="234" t="s">
        <v>178</v>
      </c>
      <c r="F459" s="296" t="s">
        <v>225</v>
      </c>
    </row>
    <row r="460" spans="1:6" ht="14" x14ac:dyDescent="0.15">
      <c r="A460" s="250"/>
      <c r="C460" s="250" t="s">
        <v>232</v>
      </c>
      <c r="D460" s="247">
        <f>D456-D459</f>
        <v>0.81915295999999982</v>
      </c>
      <c r="E460" s="234" t="s">
        <v>178</v>
      </c>
      <c r="F460" s="296" t="s">
        <v>66</v>
      </c>
    </row>
    <row r="461" spans="1:6" ht="17" x14ac:dyDescent="0.25">
      <c r="B461" s="233" t="s">
        <v>966</v>
      </c>
      <c r="D461" s="241">
        <f>'Energy Balance'!Y19</f>
        <v>-407.9056179180966</v>
      </c>
      <c r="E461" s="234" t="s">
        <v>175</v>
      </c>
      <c r="F461" s="296" t="s">
        <v>176</v>
      </c>
    </row>
    <row r="462" spans="1:6" ht="17" x14ac:dyDescent="0.25">
      <c r="A462" s="232" t="s">
        <v>967</v>
      </c>
    </row>
    <row r="463" spans="1:6" ht="17" x14ac:dyDescent="0.25">
      <c r="B463" s="233" t="s">
        <v>968</v>
      </c>
      <c r="D463" s="241">
        <f>GWP!P17</f>
        <v>0</v>
      </c>
      <c r="E463" s="234" t="s">
        <v>969</v>
      </c>
      <c r="F463" s="296" t="s">
        <v>949</v>
      </c>
    </row>
    <row r="464" spans="1:6" ht="17" x14ac:dyDescent="0.25">
      <c r="B464" s="233" t="s">
        <v>970</v>
      </c>
      <c r="D464" s="252">
        <f>D437</f>
        <v>0.67999999999999994</v>
      </c>
      <c r="E464" s="234" t="s">
        <v>172</v>
      </c>
      <c r="F464" s="296" t="s">
        <v>235</v>
      </c>
    </row>
    <row r="465" spans="1:6" ht="17" x14ac:dyDescent="0.25">
      <c r="B465" s="233" t="s">
        <v>971</v>
      </c>
      <c r="D465" s="244">
        <f>GWP!R17</f>
        <v>152.84845714285711</v>
      </c>
      <c r="E465" s="234" t="s">
        <v>969</v>
      </c>
      <c r="F465" s="296" t="s">
        <v>193</v>
      </c>
    </row>
    <row r="466" spans="1:6" ht="17" x14ac:dyDescent="0.25">
      <c r="B466" s="233" t="s">
        <v>972</v>
      </c>
      <c r="D466" s="235">
        <v>0</v>
      </c>
      <c r="E466" s="234" t="s">
        <v>172</v>
      </c>
      <c r="F466" s="296" t="s">
        <v>192</v>
      </c>
    </row>
    <row r="467" spans="1:6" ht="17" x14ac:dyDescent="0.25">
      <c r="B467" s="233" t="s">
        <v>973</v>
      </c>
      <c r="D467" s="243">
        <f>GWP!T17</f>
        <v>0</v>
      </c>
      <c r="E467" s="234" t="s">
        <v>969</v>
      </c>
      <c r="F467" s="296" t="s">
        <v>919</v>
      </c>
    </row>
    <row r="468" spans="1:6" ht="17" x14ac:dyDescent="0.25">
      <c r="B468" s="233" t="s">
        <v>974</v>
      </c>
      <c r="D468" s="235">
        <v>0</v>
      </c>
      <c r="E468" s="234" t="s">
        <v>969</v>
      </c>
      <c r="F468" s="296" t="s">
        <v>200</v>
      </c>
    </row>
    <row r="469" spans="1:6" ht="17" x14ac:dyDescent="0.25">
      <c r="B469" s="233" t="s">
        <v>975</v>
      </c>
      <c r="D469" s="235">
        <v>130</v>
      </c>
      <c r="E469" s="234" t="s">
        <v>969</v>
      </c>
      <c r="F469" s="298" t="s">
        <v>189</v>
      </c>
    </row>
    <row r="470" spans="1:6" ht="17" x14ac:dyDescent="0.25">
      <c r="B470" s="233" t="s">
        <v>976</v>
      </c>
      <c r="D470" s="244">
        <f>GWP!AB17</f>
        <v>180.69108922431758</v>
      </c>
      <c r="E470" s="234" t="s">
        <v>969</v>
      </c>
      <c r="F470" s="296" t="s">
        <v>179</v>
      </c>
    </row>
    <row r="471" spans="1:6" x14ac:dyDescent="0.15">
      <c r="A471" s="232" t="s">
        <v>41</v>
      </c>
    </row>
    <row r="472" spans="1:6" ht="14" x14ac:dyDescent="0.15">
      <c r="A472" s="232"/>
      <c r="B472" s="233" t="s">
        <v>233</v>
      </c>
      <c r="D472" s="234">
        <v>60000</v>
      </c>
      <c r="E472" s="234" t="s">
        <v>835</v>
      </c>
      <c r="F472" s="296" t="s">
        <v>208</v>
      </c>
    </row>
    <row r="473" spans="1:6" ht="14" x14ac:dyDescent="0.15">
      <c r="A473" s="232"/>
      <c r="B473" s="233" t="s">
        <v>234</v>
      </c>
      <c r="D473" s="234">
        <v>370000</v>
      </c>
      <c r="E473" s="234" t="s">
        <v>835</v>
      </c>
      <c r="F473" s="296" t="s">
        <v>208</v>
      </c>
    </row>
    <row r="474" spans="1:6" ht="14" x14ac:dyDescent="0.15">
      <c r="B474" s="233" t="s">
        <v>194</v>
      </c>
      <c r="D474" s="245">
        <v>25000</v>
      </c>
      <c r="E474" s="234" t="s">
        <v>835</v>
      </c>
      <c r="F474" s="296" t="s">
        <v>208</v>
      </c>
    </row>
    <row r="475" spans="1:6" ht="14" x14ac:dyDescent="0.15">
      <c r="B475" s="233" t="s">
        <v>207</v>
      </c>
      <c r="D475" s="234">
        <f>SUM(D472:D474)</f>
        <v>455000</v>
      </c>
      <c r="E475" s="234" t="s">
        <v>835</v>
      </c>
      <c r="F475" s="296" t="s">
        <v>66</v>
      </c>
    </row>
    <row r="476" spans="1:6" ht="14" x14ac:dyDescent="0.15">
      <c r="B476" s="233" t="s">
        <v>796</v>
      </c>
      <c r="D476" s="246">
        <v>2.3E-2</v>
      </c>
      <c r="E476" s="234" t="s">
        <v>111</v>
      </c>
      <c r="F476" s="297" t="s">
        <v>797</v>
      </c>
    </row>
    <row r="477" spans="1:6" x14ac:dyDescent="0.15">
      <c r="B477" s="233" t="s">
        <v>799</v>
      </c>
      <c r="D477" s="242">
        <f>D475*(1+D476)</f>
        <v>465464.99999999994</v>
      </c>
      <c r="E477" s="234" t="s">
        <v>404</v>
      </c>
      <c r="F477" s="297"/>
    </row>
    <row r="478" spans="1:6" x14ac:dyDescent="0.15">
      <c r="A478" s="232" t="s">
        <v>195</v>
      </c>
    </row>
    <row r="479" spans="1:6" x14ac:dyDescent="0.15">
      <c r="B479" s="233" t="s">
        <v>42</v>
      </c>
    </row>
    <row r="480" spans="1:6" ht="14" x14ac:dyDescent="0.15">
      <c r="C480" s="233" t="s">
        <v>226</v>
      </c>
      <c r="D480" s="234">
        <v>15</v>
      </c>
      <c r="E480" s="234" t="s">
        <v>824</v>
      </c>
      <c r="F480" s="296" t="s">
        <v>208</v>
      </c>
    </row>
    <row r="481" spans="1:6" ht="14" x14ac:dyDescent="0.15">
      <c r="C481" s="233" t="s">
        <v>234</v>
      </c>
      <c r="D481" s="234">
        <v>29</v>
      </c>
      <c r="E481" s="234" t="s">
        <v>824</v>
      </c>
      <c r="F481" s="296" t="s">
        <v>208</v>
      </c>
    </row>
    <row r="482" spans="1:6" ht="14" x14ac:dyDescent="0.15">
      <c r="C482" s="233" t="s">
        <v>227</v>
      </c>
      <c r="D482" s="234">
        <v>21</v>
      </c>
      <c r="E482" s="234" t="s">
        <v>824</v>
      </c>
      <c r="F482" s="296" t="s">
        <v>208</v>
      </c>
    </row>
    <row r="483" spans="1:6" x14ac:dyDescent="0.15">
      <c r="C483" s="233" t="s">
        <v>210</v>
      </c>
      <c r="D483" s="234">
        <f>SUM(D480:D482)</f>
        <v>65</v>
      </c>
      <c r="E483" s="234" t="s">
        <v>824</v>
      </c>
    </row>
    <row r="484" spans="1:6" ht="14" x14ac:dyDescent="0.15">
      <c r="B484" s="233" t="s">
        <v>796</v>
      </c>
      <c r="D484" s="246">
        <v>2.3E-2</v>
      </c>
      <c r="E484" s="234" t="s">
        <v>111</v>
      </c>
      <c r="F484" s="297" t="s">
        <v>797</v>
      </c>
    </row>
    <row r="485" spans="1:6" x14ac:dyDescent="0.15">
      <c r="B485" s="233" t="s">
        <v>798</v>
      </c>
      <c r="D485" s="247">
        <f>D483*(1+D484)</f>
        <v>66.49499999999999</v>
      </c>
      <c r="E485" s="234" t="s">
        <v>816</v>
      </c>
    </row>
    <row r="486" spans="1:6" ht="14" x14ac:dyDescent="0.15">
      <c r="B486" s="233" t="s">
        <v>197</v>
      </c>
      <c r="D486" s="244">
        <f>'Commercial Viability'!F20</f>
        <v>195.90566981246974</v>
      </c>
      <c r="E486" s="234" t="s">
        <v>199</v>
      </c>
      <c r="F486" s="296" t="s">
        <v>950</v>
      </c>
    </row>
    <row r="487" spans="1:6" x14ac:dyDescent="0.15">
      <c r="B487" s="233" t="s">
        <v>196</v>
      </c>
    </row>
    <row r="488" spans="1:6" ht="14" x14ac:dyDescent="0.15">
      <c r="C488" s="233" t="s">
        <v>801</v>
      </c>
      <c r="D488" s="234">
        <v>6.8099999999999994E-2</v>
      </c>
      <c r="E488" s="234" t="s">
        <v>217</v>
      </c>
      <c r="F488" s="299" t="s">
        <v>374</v>
      </c>
    </row>
    <row r="489" spans="1:6" x14ac:dyDescent="0.15">
      <c r="C489" s="233" t="s">
        <v>245</v>
      </c>
      <c r="D489" s="249">
        <f>D488*D444</f>
        <v>30.604139999999997</v>
      </c>
      <c r="E489" s="234" t="s">
        <v>199</v>
      </c>
    </row>
    <row r="490" spans="1:6" ht="14" x14ac:dyDescent="0.15">
      <c r="B490" s="233" t="s">
        <v>195</v>
      </c>
      <c r="D490" s="244">
        <f>'Commercial Viability'!H20</f>
        <v>-231.79652981246971</v>
      </c>
      <c r="E490" s="234" t="s">
        <v>199</v>
      </c>
      <c r="F490" s="296" t="s">
        <v>951</v>
      </c>
    </row>
    <row r="491" spans="1:6" x14ac:dyDescent="0.15">
      <c r="A491" s="232" t="s">
        <v>201</v>
      </c>
    </row>
    <row r="492" spans="1:6" ht="28" x14ac:dyDescent="0.15">
      <c r="B492" s="233" t="s">
        <v>6</v>
      </c>
      <c r="D492" s="235">
        <v>9</v>
      </c>
      <c r="F492" s="296" t="s">
        <v>202</v>
      </c>
    </row>
    <row r="494" spans="1:6" s="228" customFormat="1" x14ac:dyDescent="0.15">
      <c r="A494" s="225" t="s">
        <v>982</v>
      </c>
      <c r="B494" s="226"/>
      <c r="C494" s="226"/>
      <c r="D494" s="227"/>
      <c r="E494" s="227"/>
      <c r="F494" s="294"/>
    </row>
    <row r="495" spans="1:6" ht="14" x14ac:dyDescent="0.15">
      <c r="B495" s="230" t="s">
        <v>171</v>
      </c>
      <c r="C495" s="230"/>
      <c r="D495" s="231" t="s">
        <v>170</v>
      </c>
      <c r="E495" s="231" t="s">
        <v>169</v>
      </c>
      <c r="F495" s="295" t="s">
        <v>168</v>
      </c>
    </row>
    <row r="496" spans="1:6" x14ac:dyDescent="0.15">
      <c r="A496" s="232" t="s">
        <v>167</v>
      </c>
    </row>
    <row r="497" spans="1:6" ht="17" x14ac:dyDescent="0.25">
      <c r="A497" s="232"/>
      <c r="B497" s="233" t="s">
        <v>979</v>
      </c>
      <c r="D497" s="234">
        <v>0.8</v>
      </c>
      <c r="E497" s="234" t="s">
        <v>172</v>
      </c>
      <c r="F497" s="296" t="s">
        <v>220</v>
      </c>
    </row>
    <row r="498" spans="1:6" ht="14" x14ac:dyDescent="0.15">
      <c r="A498" s="232"/>
      <c r="B498" s="233" t="s">
        <v>221</v>
      </c>
      <c r="D498" s="234">
        <v>0.6</v>
      </c>
      <c r="E498" s="234" t="s">
        <v>172</v>
      </c>
      <c r="F498" s="296" t="s">
        <v>220</v>
      </c>
    </row>
    <row r="499" spans="1:6" ht="17" x14ac:dyDescent="0.25">
      <c r="B499" s="233" t="s">
        <v>955</v>
      </c>
      <c r="D499" s="235">
        <f>(1-D497)+D497*D498</f>
        <v>0.67999999999999994</v>
      </c>
      <c r="E499" s="234" t="s">
        <v>172</v>
      </c>
      <c r="F499" s="296" t="s">
        <v>222</v>
      </c>
    </row>
    <row r="500" spans="1:6" ht="17" x14ac:dyDescent="0.25">
      <c r="B500" s="233" t="s">
        <v>956</v>
      </c>
      <c r="D500" s="236">
        <v>0.5</v>
      </c>
      <c r="E500" s="234" t="s">
        <v>172</v>
      </c>
      <c r="F500" s="296" t="s">
        <v>87</v>
      </c>
    </row>
    <row r="501" spans="1:6" ht="17" x14ac:dyDescent="0.25">
      <c r="B501" s="233" t="s">
        <v>957</v>
      </c>
      <c r="D501" s="237">
        <f>'Energy Balance'!Q20</f>
        <v>1.3599999999999999</v>
      </c>
      <c r="E501" s="234" t="s">
        <v>172</v>
      </c>
      <c r="F501" s="296" t="s">
        <v>173</v>
      </c>
    </row>
    <row r="502" spans="1:6" x14ac:dyDescent="0.15">
      <c r="A502" s="232" t="s">
        <v>174</v>
      </c>
    </row>
    <row r="503" spans="1:6" ht="17" x14ac:dyDescent="0.25">
      <c r="B503" s="233" t="s">
        <v>958</v>
      </c>
    </row>
    <row r="504" spans="1:6" ht="14" x14ac:dyDescent="0.15">
      <c r="A504" s="250"/>
      <c r="C504" s="250" t="s">
        <v>223</v>
      </c>
      <c r="D504" s="234">
        <v>1284</v>
      </c>
      <c r="E504" s="234" t="s">
        <v>175</v>
      </c>
      <c r="F504" s="296" t="s">
        <v>208</v>
      </c>
    </row>
    <row r="505" spans="1:6" ht="14" x14ac:dyDescent="0.15">
      <c r="A505" s="250"/>
      <c r="C505" s="250" t="s">
        <v>253</v>
      </c>
      <c r="D505" s="236">
        <v>0.35</v>
      </c>
      <c r="E505" s="234" t="s">
        <v>111</v>
      </c>
      <c r="F505" s="298" t="s">
        <v>1016</v>
      </c>
    </row>
    <row r="506" spans="1:6" ht="14" x14ac:dyDescent="0.15">
      <c r="A506" s="250"/>
      <c r="C506" s="250" t="s">
        <v>231</v>
      </c>
      <c r="D506" s="238">
        <f>D504*D505</f>
        <v>449.4</v>
      </c>
      <c r="E506" s="234" t="s">
        <v>175</v>
      </c>
      <c r="F506" s="296" t="s">
        <v>66</v>
      </c>
    </row>
    <row r="507" spans="1:6" ht="17" x14ac:dyDescent="0.25">
      <c r="B507" s="233" t="s">
        <v>959</v>
      </c>
      <c r="D507" s="239">
        <f>D497*D498</f>
        <v>0.48</v>
      </c>
      <c r="E507" s="234" t="s">
        <v>111</v>
      </c>
      <c r="F507" s="296" t="s">
        <v>222</v>
      </c>
    </row>
    <row r="508" spans="1:6" ht="17" x14ac:dyDescent="0.25">
      <c r="B508" s="233" t="s">
        <v>960</v>
      </c>
      <c r="D508" s="239">
        <v>0</v>
      </c>
      <c r="E508" s="234" t="s">
        <v>111</v>
      </c>
      <c r="F508" s="296" t="s">
        <v>185</v>
      </c>
    </row>
    <row r="509" spans="1:6" ht="17" x14ac:dyDescent="0.25">
      <c r="B509" s="233" t="s">
        <v>961</v>
      </c>
      <c r="D509" s="240">
        <f>'Energy Balance'!D20</f>
        <v>0</v>
      </c>
      <c r="E509" s="234" t="s">
        <v>175</v>
      </c>
      <c r="F509" s="296" t="s">
        <v>947</v>
      </c>
    </row>
    <row r="510" spans="1:6" ht="17" x14ac:dyDescent="0.25">
      <c r="B510" s="233" t="s">
        <v>962</v>
      </c>
    </row>
    <row r="511" spans="1:6" ht="14" x14ac:dyDescent="0.15">
      <c r="C511" s="233" t="s">
        <v>226</v>
      </c>
      <c r="D511" s="234">
        <v>14</v>
      </c>
      <c r="E511" s="234" t="s">
        <v>175</v>
      </c>
      <c r="F511" s="296" t="s">
        <v>204</v>
      </c>
    </row>
    <row r="512" spans="1:6" ht="14" x14ac:dyDescent="0.15">
      <c r="C512" s="233" t="s">
        <v>227</v>
      </c>
      <c r="D512" s="234">
        <v>60</v>
      </c>
      <c r="E512" s="234" t="s">
        <v>175</v>
      </c>
      <c r="F512" s="296" t="s">
        <v>204</v>
      </c>
    </row>
    <row r="513" spans="1:6" ht="14" x14ac:dyDescent="0.15">
      <c r="C513" s="233" t="s">
        <v>228</v>
      </c>
      <c r="D513" s="235">
        <f>SUM(D511:D512)</f>
        <v>74</v>
      </c>
      <c r="E513" s="234" t="s">
        <v>175</v>
      </c>
      <c r="F513" s="296" t="s">
        <v>66</v>
      </c>
    </row>
    <row r="514" spans="1:6" ht="17" x14ac:dyDescent="0.25">
      <c r="B514" s="233" t="s">
        <v>963</v>
      </c>
      <c r="D514" s="235">
        <v>0</v>
      </c>
      <c r="E514" s="234" t="s">
        <v>175</v>
      </c>
      <c r="F514" s="296" t="s">
        <v>186</v>
      </c>
    </row>
    <row r="515" spans="1:6" ht="17" x14ac:dyDescent="0.25">
      <c r="B515" s="233" t="s">
        <v>964</v>
      </c>
      <c r="D515" s="241">
        <f>'Energy Balance'!S20</f>
        <v>184.1644672471017</v>
      </c>
      <c r="E515" s="234" t="s">
        <v>175</v>
      </c>
      <c r="F515" s="296" t="s">
        <v>948</v>
      </c>
    </row>
    <row r="516" spans="1:6" ht="17" x14ac:dyDescent="0.25">
      <c r="B516" s="233" t="s">
        <v>965</v>
      </c>
    </row>
    <row r="517" spans="1:6" ht="14" x14ac:dyDescent="0.15">
      <c r="A517" s="250"/>
      <c r="C517" s="250" t="s">
        <v>229</v>
      </c>
      <c r="D517" s="234">
        <v>728</v>
      </c>
      <c r="E517" s="234" t="s">
        <v>175</v>
      </c>
      <c r="F517" s="296" t="s">
        <v>204</v>
      </c>
    </row>
    <row r="518" spans="1:6" ht="14" x14ac:dyDescent="0.15">
      <c r="A518" s="250"/>
      <c r="C518" s="250" t="s">
        <v>230</v>
      </c>
      <c r="D518" s="251">
        <f>D517*3412/1000000</f>
        <v>2.4839359999999999</v>
      </c>
      <c r="E518" s="234" t="s">
        <v>178</v>
      </c>
      <c r="F518" s="296" t="s">
        <v>225</v>
      </c>
    </row>
    <row r="519" spans="1:6" ht="14" x14ac:dyDescent="0.15">
      <c r="A519" s="250"/>
      <c r="C519" s="250" t="s">
        <v>252</v>
      </c>
      <c r="D519" s="236">
        <v>0.38</v>
      </c>
      <c r="E519" s="234" t="s">
        <v>111</v>
      </c>
      <c r="F519" s="298" t="s">
        <v>1016</v>
      </c>
    </row>
    <row r="520" spans="1:6" ht="14" x14ac:dyDescent="0.15">
      <c r="A520" s="250"/>
      <c r="C520" s="250" t="s">
        <v>254</v>
      </c>
      <c r="D520" s="254">
        <f>D504*D519</f>
        <v>487.92</v>
      </c>
      <c r="E520" s="234" t="s">
        <v>175</v>
      </c>
      <c r="F520" s="296" t="s">
        <v>66</v>
      </c>
    </row>
    <row r="521" spans="1:6" ht="14" x14ac:dyDescent="0.15">
      <c r="A521" s="250"/>
      <c r="C521" s="250" t="s">
        <v>224</v>
      </c>
      <c r="D521" s="251">
        <f>D520*3412/1000000</f>
        <v>1.6647830400000001</v>
      </c>
      <c r="E521" s="234" t="s">
        <v>178</v>
      </c>
      <c r="F521" s="296" t="s">
        <v>225</v>
      </c>
    </row>
    <row r="522" spans="1:6" ht="14" x14ac:dyDescent="0.15">
      <c r="A522" s="250"/>
      <c r="C522" s="250" t="s">
        <v>236</v>
      </c>
      <c r="D522" s="254">
        <v>2459</v>
      </c>
      <c r="E522" s="234" t="s">
        <v>175</v>
      </c>
      <c r="F522" s="296" t="s">
        <v>204</v>
      </c>
    </row>
    <row r="523" spans="1:6" ht="14" x14ac:dyDescent="0.15">
      <c r="A523" s="250"/>
      <c r="C523" s="250" t="s">
        <v>236</v>
      </c>
      <c r="D523" s="251">
        <f>D522*3412/1000000</f>
        <v>8.3901079999999997</v>
      </c>
      <c r="E523" s="234" t="s">
        <v>178</v>
      </c>
      <c r="F523" s="296" t="s">
        <v>225</v>
      </c>
    </row>
    <row r="524" spans="1:6" ht="14" x14ac:dyDescent="0.15">
      <c r="A524" s="250"/>
      <c r="C524" s="250" t="s">
        <v>232</v>
      </c>
      <c r="D524" s="247">
        <f>D518+D523-D521</f>
        <v>9.2092609599999999</v>
      </c>
      <c r="E524" s="234" t="s">
        <v>178</v>
      </c>
      <c r="F524" s="296" t="s">
        <v>66</v>
      </c>
    </row>
    <row r="525" spans="1:6" ht="17" x14ac:dyDescent="0.25">
      <c r="B525" s="233" t="s">
        <v>966</v>
      </c>
      <c r="D525" s="241">
        <f>'Energy Balance'!Y20</f>
        <v>-2680.0566356968429</v>
      </c>
      <c r="E525" s="234" t="s">
        <v>175</v>
      </c>
      <c r="F525" s="296" t="s">
        <v>176</v>
      </c>
    </row>
    <row r="526" spans="1:6" ht="17" x14ac:dyDescent="0.25">
      <c r="A526" s="232" t="s">
        <v>967</v>
      </c>
    </row>
    <row r="527" spans="1:6" ht="17" x14ac:dyDescent="0.25">
      <c r="B527" s="233" t="s">
        <v>968</v>
      </c>
      <c r="D527" s="241">
        <f>GWP!P18</f>
        <v>2039.9999999999995</v>
      </c>
      <c r="E527" s="234" t="s">
        <v>969</v>
      </c>
      <c r="F527" s="296" t="s">
        <v>949</v>
      </c>
    </row>
    <row r="528" spans="1:6" ht="17" x14ac:dyDescent="0.25">
      <c r="B528" s="233" t="s">
        <v>970</v>
      </c>
      <c r="D528" s="242">
        <v>0</v>
      </c>
      <c r="E528" s="234" t="s">
        <v>172</v>
      </c>
      <c r="F528" s="296" t="s">
        <v>190</v>
      </c>
    </row>
    <row r="529" spans="1:6" ht="17" x14ac:dyDescent="0.25">
      <c r="B529" s="233" t="s">
        <v>971</v>
      </c>
      <c r="D529" s="244">
        <f>GWP!R18</f>
        <v>0</v>
      </c>
      <c r="E529" s="234" t="s">
        <v>969</v>
      </c>
      <c r="F529" s="296" t="s">
        <v>193</v>
      </c>
    </row>
    <row r="530" spans="1:6" ht="17" x14ac:dyDescent="0.25">
      <c r="B530" s="233" t="s">
        <v>972</v>
      </c>
      <c r="D530" s="235">
        <v>0</v>
      </c>
      <c r="E530" s="234" t="s">
        <v>172</v>
      </c>
      <c r="F530" s="296" t="s">
        <v>192</v>
      </c>
    </row>
    <row r="531" spans="1:6" ht="17" x14ac:dyDescent="0.25">
      <c r="B531" s="233" t="s">
        <v>973</v>
      </c>
      <c r="D531" s="243">
        <f>GWP!T18</f>
        <v>0</v>
      </c>
      <c r="E531" s="234" t="s">
        <v>969</v>
      </c>
      <c r="F531" s="296" t="s">
        <v>919</v>
      </c>
    </row>
    <row r="532" spans="1:6" ht="17" x14ac:dyDescent="0.25">
      <c r="B532" s="233" t="s">
        <v>974</v>
      </c>
      <c r="D532" s="235">
        <v>0</v>
      </c>
      <c r="E532" s="234" t="s">
        <v>969</v>
      </c>
      <c r="F532" s="296" t="s">
        <v>200</v>
      </c>
    </row>
    <row r="533" spans="1:6" ht="17" x14ac:dyDescent="0.25">
      <c r="B533" s="233" t="s">
        <v>975</v>
      </c>
      <c r="D533" s="235">
        <v>0</v>
      </c>
      <c r="E533" s="234" t="s">
        <v>969</v>
      </c>
      <c r="F533" s="296" t="s">
        <v>190</v>
      </c>
    </row>
    <row r="534" spans="1:6" ht="17" x14ac:dyDescent="0.25">
      <c r="B534" s="233" t="s">
        <v>976</v>
      </c>
      <c r="D534" s="244">
        <f>GWP!AB18</f>
        <v>3139.6326298861836</v>
      </c>
      <c r="E534" s="234" t="s">
        <v>969</v>
      </c>
      <c r="F534" s="296" t="s">
        <v>179</v>
      </c>
    </row>
    <row r="535" spans="1:6" x14ac:dyDescent="0.15">
      <c r="A535" s="232" t="s">
        <v>41</v>
      </c>
    </row>
    <row r="536" spans="1:6" ht="14" x14ac:dyDescent="0.15">
      <c r="A536" s="232"/>
      <c r="B536" s="233" t="s">
        <v>233</v>
      </c>
      <c r="D536" s="234">
        <v>60000</v>
      </c>
      <c r="E536" s="234" t="s">
        <v>835</v>
      </c>
      <c r="F536" s="296" t="s">
        <v>208</v>
      </c>
    </row>
    <row r="537" spans="1:6" ht="14" x14ac:dyDescent="0.15">
      <c r="A537" s="232"/>
      <c r="B537" s="233" t="s">
        <v>234</v>
      </c>
      <c r="D537" s="234">
        <v>370000</v>
      </c>
      <c r="E537" s="234" t="s">
        <v>835</v>
      </c>
      <c r="F537" s="296" t="s">
        <v>208</v>
      </c>
    </row>
    <row r="538" spans="1:6" ht="14" x14ac:dyDescent="0.15">
      <c r="B538" s="233" t="s">
        <v>194</v>
      </c>
      <c r="D538" s="245">
        <v>25000</v>
      </c>
      <c r="E538" s="234" t="s">
        <v>835</v>
      </c>
      <c r="F538" s="296" t="s">
        <v>208</v>
      </c>
    </row>
    <row r="539" spans="1:6" ht="14" x14ac:dyDescent="0.15">
      <c r="B539" s="233" t="s">
        <v>209</v>
      </c>
      <c r="D539" s="245">
        <v>170000</v>
      </c>
      <c r="E539" s="234" t="s">
        <v>835</v>
      </c>
      <c r="F539" s="296" t="s">
        <v>208</v>
      </c>
    </row>
    <row r="540" spans="1:6" ht="14" x14ac:dyDescent="0.15">
      <c r="B540" s="233" t="s">
        <v>207</v>
      </c>
      <c r="D540" s="234">
        <f>SUM(D536:D539)</f>
        <v>625000</v>
      </c>
      <c r="E540" s="234" t="s">
        <v>835</v>
      </c>
      <c r="F540" s="296" t="s">
        <v>66</v>
      </c>
    </row>
    <row r="541" spans="1:6" ht="14" x14ac:dyDescent="0.15">
      <c r="B541" s="233" t="s">
        <v>796</v>
      </c>
      <c r="D541" s="246">
        <v>2.3E-2</v>
      </c>
      <c r="E541" s="234" t="s">
        <v>111</v>
      </c>
      <c r="F541" s="297" t="s">
        <v>797</v>
      </c>
    </row>
    <row r="542" spans="1:6" x14ac:dyDescent="0.15">
      <c r="B542" s="233" t="s">
        <v>799</v>
      </c>
      <c r="D542" s="242">
        <f>D540*(1+D541)</f>
        <v>639375</v>
      </c>
      <c r="E542" s="234" t="s">
        <v>404</v>
      </c>
      <c r="F542" s="297"/>
    </row>
    <row r="543" spans="1:6" x14ac:dyDescent="0.15">
      <c r="A543" s="232" t="s">
        <v>195</v>
      </c>
    </row>
    <row r="544" spans="1:6" x14ac:dyDescent="0.15">
      <c r="B544" s="233" t="s">
        <v>42</v>
      </c>
    </row>
    <row r="545" spans="1:6" ht="14" x14ac:dyDescent="0.15">
      <c r="C545" s="233" t="s">
        <v>226</v>
      </c>
      <c r="D545" s="234">
        <v>15</v>
      </c>
      <c r="E545" s="234" t="s">
        <v>824</v>
      </c>
      <c r="F545" s="296" t="s">
        <v>208</v>
      </c>
    </row>
    <row r="546" spans="1:6" ht="14" x14ac:dyDescent="0.15">
      <c r="C546" s="233" t="s">
        <v>234</v>
      </c>
      <c r="D546" s="234">
        <v>29</v>
      </c>
      <c r="E546" s="234" t="s">
        <v>824</v>
      </c>
      <c r="F546" s="296" t="s">
        <v>208</v>
      </c>
    </row>
    <row r="547" spans="1:6" ht="14" x14ac:dyDescent="0.15">
      <c r="C547" s="233" t="s">
        <v>227</v>
      </c>
      <c r="D547" s="234">
        <v>21</v>
      </c>
      <c r="E547" s="234" t="s">
        <v>824</v>
      </c>
      <c r="F547" s="296" t="s">
        <v>208</v>
      </c>
    </row>
    <row r="548" spans="1:6" ht="14" x14ac:dyDescent="0.15">
      <c r="C548" s="233" t="s">
        <v>209</v>
      </c>
      <c r="D548" s="234">
        <v>132</v>
      </c>
      <c r="E548" s="234" t="s">
        <v>824</v>
      </c>
      <c r="F548" s="296" t="s">
        <v>208</v>
      </c>
    </row>
    <row r="549" spans="1:6" x14ac:dyDescent="0.15">
      <c r="C549" s="233" t="s">
        <v>210</v>
      </c>
      <c r="D549" s="234">
        <f>SUM(D545:D548)</f>
        <v>197</v>
      </c>
      <c r="E549" s="234" t="s">
        <v>824</v>
      </c>
    </row>
    <row r="550" spans="1:6" ht="14" x14ac:dyDescent="0.15">
      <c r="B550" s="233" t="s">
        <v>796</v>
      </c>
      <c r="D550" s="246">
        <v>2.3E-2</v>
      </c>
      <c r="E550" s="234" t="s">
        <v>111</v>
      </c>
      <c r="F550" s="297" t="s">
        <v>797</v>
      </c>
    </row>
    <row r="551" spans="1:6" x14ac:dyDescent="0.15">
      <c r="B551" s="233" t="s">
        <v>798</v>
      </c>
      <c r="D551" s="247">
        <f>D549*(1+D550)</f>
        <v>201.53099999999998</v>
      </c>
      <c r="E551" s="234" t="s">
        <v>816</v>
      </c>
    </row>
    <row r="552" spans="1:6" ht="14" x14ac:dyDescent="0.15">
      <c r="B552" s="233" t="s">
        <v>197</v>
      </c>
      <c r="D552" s="244">
        <f>'Commercial Viability'!F21</f>
        <v>78.362267924987876</v>
      </c>
      <c r="E552" s="234" t="s">
        <v>199</v>
      </c>
      <c r="F552" s="296" t="s">
        <v>950</v>
      </c>
    </row>
    <row r="553" spans="1:6" x14ac:dyDescent="0.15">
      <c r="B553" s="233" t="s">
        <v>196</v>
      </c>
    </row>
    <row r="554" spans="1:6" ht="14" x14ac:dyDescent="0.15">
      <c r="C554" s="233" t="s">
        <v>801</v>
      </c>
      <c r="D554" s="234">
        <v>6.8099999999999994E-2</v>
      </c>
      <c r="E554" s="234" t="s">
        <v>217</v>
      </c>
      <c r="F554" s="299" t="s">
        <v>374</v>
      </c>
    </row>
    <row r="555" spans="1:6" x14ac:dyDescent="0.15">
      <c r="C555" s="233" t="s">
        <v>245</v>
      </c>
      <c r="D555" s="249">
        <f>D554*D506</f>
        <v>30.604139999999997</v>
      </c>
      <c r="E555" s="234" t="s">
        <v>199</v>
      </c>
    </row>
    <row r="556" spans="1:6" ht="14" x14ac:dyDescent="0.15">
      <c r="B556" s="233" t="s">
        <v>195</v>
      </c>
      <c r="D556" s="244">
        <f>'Commercial Viability'!H21</f>
        <v>-249.28912792498784</v>
      </c>
      <c r="E556" s="234" t="s">
        <v>199</v>
      </c>
      <c r="F556" s="296" t="s">
        <v>951</v>
      </c>
    </row>
    <row r="557" spans="1:6" x14ac:dyDescent="0.15">
      <c r="A557" s="232" t="s">
        <v>201</v>
      </c>
    </row>
    <row r="558" spans="1:6" ht="28" x14ac:dyDescent="0.15">
      <c r="B558" s="233" t="s">
        <v>6</v>
      </c>
      <c r="D558" s="235">
        <v>9</v>
      </c>
      <c r="F558" s="296" t="s">
        <v>202</v>
      </c>
    </row>
    <row r="560" spans="1:6" s="228" customFormat="1" x14ac:dyDescent="0.15">
      <c r="A560" s="225" t="s">
        <v>983</v>
      </c>
      <c r="B560" s="226"/>
      <c r="C560" s="226"/>
      <c r="D560" s="227"/>
      <c r="E560" s="227"/>
      <c r="F560" s="294"/>
    </row>
    <row r="561" spans="1:6" ht="14" x14ac:dyDescent="0.15">
      <c r="B561" s="230" t="s">
        <v>171</v>
      </c>
      <c r="C561" s="230"/>
      <c r="D561" s="231" t="s">
        <v>170</v>
      </c>
      <c r="E561" s="231" t="s">
        <v>169</v>
      </c>
      <c r="F561" s="295" t="s">
        <v>168</v>
      </c>
    </row>
    <row r="562" spans="1:6" x14ac:dyDescent="0.15">
      <c r="A562" s="232" t="s">
        <v>167</v>
      </c>
    </row>
    <row r="563" spans="1:6" ht="17" x14ac:dyDescent="0.25">
      <c r="A563" s="232"/>
      <c r="B563" s="233" t="s">
        <v>979</v>
      </c>
      <c r="D563" s="234">
        <v>0.8</v>
      </c>
      <c r="E563" s="234" t="s">
        <v>172</v>
      </c>
      <c r="F563" s="296" t="s">
        <v>220</v>
      </c>
    </row>
    <row r="564" spans="1:6" ht="14" x14ac:dyDescent="0.15">
      <c r="A564" s="232"/>
      <c r="B564" s="233" t="s">
        <v>221</v>
      </c>
      <c r="D564" s="234">
        <v>0.6</v>
      </c>
      <c r="E564" s="234" t="s">
        <v>172</v>
      </c>
      <c r="F564" s="296" t="s">
        <v>220</v>
      </c>
    </row>
    <row r="565" spans="1:6" ht="17" x14ac:dyDescent="0.25">
      <c r="B565" s="233" t="s">
        <v>955</v>
      </c>
      <c r="D565" s="235">
        <f>(1-D563)+D563*D564</f>
        <v>0.67999999999999994</v>
      </c>
      <c r="E565" s="234" t="s">
        <v>172</v>
      </c>
      <c r="F565" s="296" t="s">
        <v>222</v>
      </c>
    </row>
    <row r="566" spans="1:6" ht="17" x14ac:dyDescent="0.25">
      <c r="B566" s="233" t="s">
        <v>956</v>
      </c>
      <c r="D566" s="236">
        <v>0.5</v>
      </c>
      <c r="E566" s="234" t="s">
        <v>172</v>
      </c>
      <c r="F566" s="296" t="s">
        <v>87</v>
      </c>
    </row>
    <row r="567" spans="1:6" ht="17" x14ac:dyDescent="0.25">
      <c r="B567" s="233" t="s">
        <v>957</v>
      </c>
      <c r="D567" s="237">
        <f>'Energy Balance'!Q21</f>
        <v>1.3599999999999999</v>
      </c>
      <c r="E567" s="234" t="s">
        <v>172</v>
      </c>
      <c r="F567" s="296" t="s">
        <v>173</v>
      </c>
    </row>
    <row r="568" spans="1:6" x14ac:dyDescent="0.15">
      <c r="A568" s="232" t="s">
        <v>174</v>
      </c>
    </row>
    <row r="569" spans="1:6" ht="17" x14ac:dyDescent="0.25">
      <c r="B569" s="233" t="s">
        <v>958</v>
      </c>
    </row>
    <row r="570" spans="1:6" ht="14" x14ac:dyDescent="0.15">
      <c r="A570" s="250"/>
      <c r="C570" s="250" t="s">
        <v>223</v>
      </c>
      <c r="D570" s="234">
        <v>1284</v>
      </c>
      <c r="E570" s="234" t="s">
        <v>175</v>
      </c>
      <c r="F570" s="296" t="s">
        <v>208</v>
      </c>
    </row>
    <row r="571" spans="1:6" ht="14" x14ac:dyDescent="0.15">
      <c r="A571" s="250"/>
      <c r="C571" s="250" t="s">
        <v>253</v>
      </c>
      <c r="D571" s="236">
        <v>0.35</v>
      </c>
      <c r="E571" s="234" t="s">
        <v>111</v>
      </c>
      <c r="F571" s="298" t="s">
        <v>1016</v>
      </c>
    </row>
    <row r="572" spans="1:6" ht="14" x14ac:dyDescent="0.15">
      <c r="A572" s="250"/>
      <c r="C572" s="250" t="s">
        <v>231</v>
      </c>
      <c r="D572" s="238">
        <f>D570*D571</f>
        <v>449.4</v>
      </c>
      <c r="E572" s="234" t="s">
        <v>175</v>
      </c>
      <c r="F572" s="296" t="s">
        <v>66</v>
      </c>
    </row>
    <row r="573" spans="1:6" ht="17" x14ac:dyDescent="0.25">
      <c r="B573" s="233" t="s">
        <v>959</v>
      </c>
      <c r="D573" s="239">
        <f>D563*D564</f>
        <v>0.48</v>
      </c>
      <c r="E573" s="234" t="s">
        <v>111</v>
      </c>
      <c r="F573" s="296" t="s">
        <v>222</v>
      </c>
    </row>
    <row r="574" spans="1:6" ht="17" x14ac:dyDescent="0.25">
      <c r="B574" s="233" t="s">
        <v>960</v>
      </c>
      <c r="D574" s="239">
        <v>0.8</v>
      </c>
      <c r="E574" s="234" t="s">
        <v>111</v>
      </c>
      <c r="F574" s="296" t="s">
        <v>189</v>
      </c>
    </row>
    <row r="575" spans="1:6" ht="17" x14ac:dyDescent="0.25">
      <c r="B575" s="233" t="s">
        <v>961</v>
      </c>
      <c r="D575" s="240">
        <f>'Energy Balance'!D21</f>
        <v>499.14538666666664</v>
      </c>
      <c r="E575" s="234" t="s">
        <v>175</v>
      </c>
      <c r="F575" s="296" t="s">
        <v>947</v>
      </c>
    </row>
    <row r="576" spans="1:6" ht="17" x14ac:dyDescent="0.25">
      <c r="B576" s="233" t="s">
        <v>962</v>
      </c>
    </row>
    <row r="577" spans="1:6" ht="14" x14ac:dyDescent="0.15">
      <c r="C577" s="233" t="s">
        <v>226</v>
      </c>
      <c r="D577" s="234">
        <v>14</v>
      </c>
      <c r="E577" s="234" t="s">
        <v>175</v>
      </c>
      <c r="F577" s="296" t="s">
        <v>204</v>
      </c>
    </row>
    <row r="578" spans="1:6" ht="14" x14ac:dyDescent="0.15">
      <c r="C578" s="233" t="s">
        <v>227</v>
      </c>
      <c r="D578" s="234">
        <v>60</v>
      </c>
      <c r="E578" s="234" t="s">
        <v>175</v>
      </c>
      <c r="F578" s="296" t="s">
        <v>204</v>
      </c>
    </row>
    <row r="579" spans="1:6" ht="14" x14ac:dyDescent="0.15">
      <c r="C579" s="233" t="s">
        <v>228</v>
      </c>
      <c r="D579" s="235">
        <f>SUM(D577:D578)</f>
        <v>74</v>
      </c>
      <c r="E579" s="234" t="s">
        <v>175</v>
      </c>
      <c r="F579" s="296" t="s">
        <v>66</v>
      </c>
    </row>
    <row r="580" spans="1:6" ht="17" x14ac:dyDescent="0.25">
      <c r="B580" s="233" t="s">
        <v>963</v>
      </c>
      <c r="D580" s="235">
        <v>0</v>
      </c>
      <c r="E580" s="234" t="s">
        <v>175</v>
      </c>
      <c r="F580" s="296" t="s">
        <v>186</v>
      </c>
    </row>
    <row r="581" spans="1:6" ht="17" x14ac:dyDescent="0.25">
      <c r="B581" s="233" t="s">
        <v>964</v>
      </c>
      <c r="D581" s="241">
        <f>'Energy Balance'!S21</f>
        <v>184.1644672471017</v>
      </c>
      <c r="E581" s="234" t="s">
        <v>175</v>
      </c>
      <c r="F581" s="296" t="s">
        <v>948</v>
      </c>
    </row>
    <row r="582" spans="1:6" ht="17" x14ac:dyDescent="0.25">
      <c r="B582" s="233" t="s">
        <v>965</v>
      </c>
    </row>
    <row r="583" spans="1:6" ht="14" x14ac:dyDescent="0.15">
      <c r="A583" s="250"/>
      <c r="C583" s="250" t="s">
        <v>229</v>
      </c>
      <c r="D583" s="234">
        <v>728</v>
      </c>
      <c r="E583" s="234" t="s">
        <v>175</v>
      </c>
      <c r="F583" s="296" t="s">
        <v>204</v>
      </c>
    </row>
    <row r="584" spans="1:6" ht="14" x14ac:dyDescent="0.15">
      <c r="A584" s="250"/>
      <c r="C584" s="250" t="s">
        <v>230</v>
      </c>
      <c r="D584" s="251">
        <f>D583*3412/1000000</f>
        <v>2.4839359999999999</v>
      </c>
      <c r="E584" s="234" t="s">
        <v>178</v>
      </c>
      <c r="F584" s="296" t="s">
        <v>225</v>
      </c>
    </row>
    <row r="585" spans="1:6" ht="14" x14ac:dyDescent="0.15">
      <c r="A585" s="250"/>
      <c r="C585" s="250" t="s">
        <v>252</v>
      </c>
      <c r="D585" s="236">
        <v>0.38</v>
      </c>
      <c r="E585" s="234" t="s">
        <v>111</v>
      </c>
      <c r="F585" s="298" t="s">
        <v>1016</v>
      </c>
    </row>
    <row r="586" spans="1:6" ht="14" x14ac:dyDescent="0.15">
      <c r="A586" s="250"/>
      <c r="C586" s="250" t="s">
        <v>254</v>
      </c>
      <c r="D586" s="234">
        <f>D570*D585</f>
        <v>487.92</v>
      </c>
      <c r="E586" s="234" t="s">
        <v>175</v>
      </c>
      <c r="F586" s="296" t="s">
        <v>66</v>
      </c>
    </row>
    <row r="587" spans="1:6" ht="14" x14ac:dyDescent="0.15">
      <c r="A587" s="250"/>
      <c r="C587" s="250" t="s">
        <v>224</v>
      </c>
      <c r="D587" s="251">
        <f>D586*3412/1000000</f>
        <v>1.6647830400000001</v>
      </c>
      <c r="E587" s="234" t="s">
        <v>178</v>
      </c>
      <c r="F587" s="296" t="s">
        <v>225</v>
      </c>
    </row>
    <row r="588" spans="1:6" ht="14" x14ac:dyDescent="0.15">
      <c r="A588" s="250"/>
      <c r="C588" s="250" t="s">
        <v>236</v>
      </c>
      <c r="D588" s="251">
        <v>2459</v>
      </c>
      <c r="E588" s="234" t="s">
        <v>175</v>
      </c>
      <c r="F588" s="296" t="s">
        <v>204</v>
      </c>
    </row>
    <row r="589" spans="1:6" ht="14" x14ac:dyDescent="0.15">
      <c r="A589" s="250"/>
      <c r="C589" s="250" t="s">
        <v>236</v>
      </c>
      <c r="D589" s="251">
        <f>D588*3412/1000000</f>
        <v>8.3901079999999997</v>
      </c>
      <c r="E589" s="234" t="s">
        <v>178</v>
      </c>
      <c r="F589" s="296" t="s">
        <v>225</v>
      </c>
    </row>
    <row r="590" spans="1:6" ht="14" x14ac:dyDescent="0.15">
      <c r="A590" s="250"/>
      <c r="C590" s="250" t="s">
        <v>232</v>
      </c>
      <c r="D590" s="247">
        <f>D584+D589-D587</f>
        <v>9.2092609599999999</v>
      </c>
      <c r="E590" s="234" t="s">
        <v>178</v>
      </c>
      <c r="F590" s="296" t="s">
        <v>66</v>
      </c>
    </row>
    <row r="591" spans="1:6" ht="17" x14ac:dyDescent="0.25">
      <c r="B591" s="233" t="s">
        <v>966</v>
      </c>
      <c r="D591" s="241">
        <f>'Energy Balance'!Y21</f>
        <v>-2149.8108791328791</v>
      </c>
      <c r="E591" s="234" t="s">
        <v>175</v>
      </c>
      <c r="F591" s="296" t="s">
        <v>176</v>
      </c>
    </row>
    <row r="592" spans="1:6" ht="17" x14ac:dyDescent="0.25">
      <c r="A592" s="232" t="s">
        <v>967</v>
      </c>
    </row>
    <row r="593" spans="1:6" ht="17" x14ac:dyDescent="0.25">
      <c r="B593" s="233" t="s">
        <v>968</v>
      </c>
      <c r="D593" s="241">
        <f>GWP!P19</f>
        <v>407.99999999999983</v>
      </c>
      <c r="E593" s="234" t="s">
        <v>969</v>
      </c>
      <c r="F593" s="296" t="s">
        <v>949</v>
      </c>
    </row>
    <row r="594" spans="1:6" ht="17" x14ac:dyDescent="0.25">
      <c r="B594" s="233" t="s">
        <v>970</v>
      </c>
      <c r="D594" s="242">
        <v>0</v>
      </c>
      <c r="E594" s="234" t="s">
        <v>172</v>
      </c>
      <c r="F594" s="296" t="s">
        <v>190</v>
      </c>
    </row>
    <row r="595" spans="1:6" ht="17" x14ac:dyDescent="0.25">
      <c r="B595" s="233" t="s">
        <v>971</v>
      </c>
      <c r="D595" s="244">
        <f>GWP!R19</f>
        <v>0</v>
      </c>
      <c r="E595" s="234" t="s">
        <v>969</v>
      </c>
      <c r="F595" s="296" t="s">
        <v>193</v>
      </c>
    </row>
    <row r="596" spans="1:6" ht="17" x14ac:dyDescent="0.25">
      <c r="B596" s="233" t="s">
        <v>972</v>
      </c>
      <c r="D596" s="235">
        <v>0</v>
      </c>
      <c r="E596" s="234" t="s">
        <v>172</v>
      </c>
      <c r="F596" s="296" t="s">
        <v>192</v>
      </c>
    </row>
    <row r="597" spans="1:6" ht="17" x14ac:dyDescent="0.25">
      <c r="B597" s="233" t="s">
        <v>973</v>
      </c>
      <c r="D597" s="243">
        <f>GWP!T19</f>
        <v>0</v>
      </c>
      <c r="E597" s="234" t="s">
        <v>969</v>
      </c>
      <c r="F597" s="296" t="s">
        <v>919</v>
      </c>
    </row>
    <row r="598" spans="1:6" ht="17" x14ac:dyDescent="0.25">
      <c r="B598" s="233" t="s">
        <v>974</v>
      </c>
      <c r="D598" s="235">
        <v>0</v>
      </c>
      <c r="E598" s="234" t="s">
        <v>969</v>
      </c>
      <c r="F598" s="296" t="s">
        <v>200</v>
      </c>
    </row>
    <row r="599" spans="1:6" ht="17" x14ac:dyDescent="0.25">
      <c r="B599" s="233" t="s">
        <v>975</v>
      </c>
      <c r="D599" s="235">
        <v>0</v>
      </c>
      <c r="E599" s="234" t="s">
        <v>969</v>
      </c>
      <c r="F599" s="296" t="s">
        <v>190</v>
      </c>
    </row>
    <row r="600" spans="1:6" ht="17" x14ac:dyDescent="0.25">
      <c r="B600" s="233" t="s">
        <v>976</v>
      </c>
      <c r="D600" s="244">
        <f>GWP!AB19</f>
        <v>1301.0354259344313</v>
      </c>
      <c r="E600" s="234" t="s">
        <v>969</v>
      </c>
      <c r="F600" s="296" t="s">
        <v>179</v>
      </c>
    </row>
    <row r="601" spans="1:6" x14ac:dyDescent="0.15">
      <c r="A601" s="232" t="s">
        <v>41</v>
      </c>
    </row>
    <row r="602" spans="1:6" ht="14" x14ac:dyDescent="0.15">
      <c r="A602" s="232"/>
      <c r="B602" s="233" t="s">
        <v>233</v>
      </c>
      <c r="D602" s="234">
        <v>60000</v>
      </c>
      <c r="E602" s="234" t="s">
        <v>835</v>
      </c>
      <c r="F602" s="296" t="s">
        <v>208</v>
      </c>
    </row>
    <row r="603" spans="1:6" ht="14" x14ac:dyDescent="0.15">
      <c r="A603" s="232"/>
      <c r="B603" s="233" t="s">
        <v>234</v>
      </c>
      <c r="D603" s="234">
        <v>370000</v>
      </c>
      <c r="E603" s="234" t="s">
        <v>835</v>
      </c>
      <c r="F603" s="296" t="s">
        <v>208</v>
      </c>
    </row>
    <row r="604" spans="1:6" ht="14" x14ac:dyDescent="0.15">
      <c r="B604" s="233" t="s">
        <v>194</v>
      </c>
      <c r="D604" s="245">
        <v>25000</v>
      </c>
      <c r="E604" s="234" t="s">
        <v>835</v>
      </c>
      <c r="F604" s="296" t="s">
        <v>208</v>
      </c>
    </row>
    <row r="605" spans="1:6" ht="14" x14ac:dyDescent="0.15">
      <c r="B605" s="233" t="s">
        <v>209</v>
      </c>
      <c r="D605" s="245">
        <v>170000</v>
      </c>
      <c r="E605" s="234" t="s">
        <v>835</v>
      </c>
      <c r="F605" s="296" t="s">
        <v>208</v>
      </c>
    </row>
    <row r="606" spans="1:6" ht="14" x14ac:dyDescent="0.15">
      <c r="B606" s="233" t="s">
        <v>207</v>
      </c>
      <c r="D606" s="234">
        <f>SUM(D602:D605)</f>
        <v>625000</v>
      </c>
      <c r="E606" s="234" t="s">
        <v>835</v>
      </c>
      <c r="F606" s="296" t="s">
        <v>66</v>
      </c>
    </row>
    <row r="607" spans="1:6" ht="14" x14ac:dyDescent="0.15">
      <c r="B607" s="233" t="s">
        <v>796</v>
      </c>
      <c r="D607" s="246">
        <v>2.3E-2</v>
      </c>
      <c r="E607" s="234" t="s">
        <v>111</v>
      </c>
      <c r="F607" s="297" t="s">
        <v>797</v>
      </c>
    </row>
    <row r="608" spans="1:6" x14ac:dyDescent="0.15">
      <c r="B608" s="233" t="s">
        <v>799</v>
      </c>
      <c r="D608" s="242">
        <f>D606*(1+D607)</f>
        <v>639375</v>
      </c>
      <c r="E608" s="234" t="s">
        <v>404</v>
      </c>
      <c r="F608" s="297"/>
    </row>
    <row r="609" spans="1:6" x14ac:dyDescent="0.15">
      <c r="A609" s="232" t="s">
        <v>195</v>
      </c>
    </row>
    <row r="610" spans="1:6" x14ac:dyDescent="0.15">
      <c r="B610" s="233" t="s">
        <v>42</v>
      </c>
    </row>
    <row r="611" spans="1:6" ht="14" x14ac:dyDescent="0.15">
      <c r="C611" s="233" t="s">
        <v>226</v>
      </c>
      <c r="D611" s="234">
        <v>15</v>
      </c>
      <c r="E611" s="234" t="s">
        <v>824</v>
      </c>
      <c r="F611" s="296" t="s">
        <v>208</v>
      </c>
    </row>
    <row r="612" spans="1:6" ht="14" x14ac:dyDescent="0.15">
      <c r="C612" s="233" t="s">
        <v>234</v>
      </c>
      <c r="D612" s="234">
        <v>29</v>
      </c>
      <c r="E612" s="234" t="s">
        <v>824</v>
      </c>
      <c r="F612" s="296" t="s">
        <v>208</v>
      </c>
    </row>
    <row r="613" spans="1:6" ht="14" x14ac:dyDescent="0.15">
      <c r="C613" s="233" t="s">
        <v>227</v>
      </c>
      <c r="D613" s="234">
        <v>21</v>
      </c>
      <c r="E613" s="234" t="s">
        <v>824</v>
      </c>
      <c r="F613" s="296" t="s">
        <v>208</v>
      </c>
    </row>
    <row r="614" spans="1:6" ht="14" x14ac:dyDescent="0.15">
      <c r="C614" s="233" t="s">
        <v>209</v>
      </c>
      <c r="D614" s="234">
        <v>132</v>
      </c>
      <c r="E614" s="234" t="s">
        <v>824</v>
      </c>
      <c r="F614" s="296" t="s">
        <v>208</v>
      </c>
    </row>
    <row r="615" spans="1:6" x14ac:dyDescent="0.15">
      <c r="C615" s="233" t="s">
        <v>210</v>
      </c>
      <c r="D615" s="234">
        <f>SUM(D611:D614)</f>
        <v>197</v>
      </c>
      <c r="E615" s="234" t="s">
        <v>824</v>
      </c>
    </row>
    <row r="616" spans="1:6" ht="14" x14ac:dyDescent="0.15">
      <c r="B616" s="233" t="s">
        <v>796</v>
      </c>
      <c r="D616" s="246">
        <v>2.3E-2</v>
      </c>
      <c r="E616" s="234" t="s">
        <v>111</v>
      </c>
      <c r="F616" s="297" t="s">
        <v>797</v>
      </c>
    </row>
    <row r="617" spans="1:6" x14ac:dyDescent="0.15">
      <c r="B617" s="233" t="s">
        <v>798</v>
      </c>
      <c r="D617" s="247">
        <f>D615*(1+D616)</f>
        <v>201.53099999999998</v>
      </c>
      <c r="E617" s="234" t="s">
        <v>816</v>
      </c>
    </row>
    <row r="618" spans="1:6" ht="14" x14ac:dyDescent="0.15">
      <c r="B618" s="233" t="s">
        <v>197</v>
      </c>
      <c r="D618" s="244">
        <f>'Commercial Viability'!F22</f>
        <v>78.362267924987876</v>
      </c>
      <c r="E618" s="234" t="s">
        <v>199</v>
      </c>
      <c r="F618" s="296" t="s">
        <v>950</v>
      </c>
    </row>
    <row r="619" spans="1:6" x14ac:dyDescent="0.15">
      <c r="B619" s="233" t="s">
        <v>196</v>
      </c>
    </row>
    <row r="620" spans="1:6" ht="14" x14ac:dyDescent="0.15">
      <c r="C620" s="233" t="s">
        <v>801</v>
      </c>
      <c r="D620" s="234">
        <v>6.8099999999999994E-2</v>
      </c>
      <c r="E620" s="234" t="s">
        <v>217</v>
      </c>
      <c r="F620" s="299" t="s">
        <v>374</v>
      </c>
    </row>
    <row r="621" spans="1:6" x14ac:dyDescent="0.15">
      <c r="C621" s="233" t="s">
        <v>219</v>
      </c>
      <c r="D621" s="249">
        <f>D620*D572</f>
        <v>30.604139999999997</v>
      </c>
      <c r="E621" s="234" t="s">
        <v>199</v>
      </c>
    </row>
    <row r="622" spans="1:6" ht="14" x14ac:dyDescent="0.15">
      <c r="B622" s="233" t="s">
        <v>195</v>
      </c>
      <c r="D622" s="244">
        <f>'Commercial Viability'!H22</f>
        <v>-249.28912792498784</v>
      </c>
      <c r="E622" s="234" t="s">
        <v>199</v>
      </c>
      <c r="F622" s="296" t="s">
        <v>951</v>
      </c>
    </row>
    <row r="623" spans="1:6" x14ac:dyDescent="0.15">
      <c r="A623" s="232" t="s">
        <v>201</v>
      </c>
    </row>
    <row r="624" spans="1:6" ht="28" x14ac:dyDescent="0.15">
      <c r="B624" s="233" t="s">
        <v>6</v>
      </c>
      <c r="D624" s="235">
        <v>9</v>
      </c>
      <c r="F624" s="296" t="s">
        <v>202</v>
      </c>
    </row>
    <row r="626" spans="1:6" s="228" customFormat="1" x14ac:dyDescent="0.15">
      <c r="A626" s="225" t="s">
        <v>984</v>
      </c>
      <c r="B626" s="226"/>
      <c r="C626" s="226"/>
      <c r="D626" s="227"/>
      <c r="E626" s="227"/>
      <c r="F626" s="294"/>
    </row>
    <row r="627" spans="1:6" ht="14" x14ac:dyDescent="0.15">
      <c r="B627" s="230" t="s">
        <v>171</v>
      </c>
      <c r="C627" s="230"/>
      <c r="D627" s="231" t="s">
        <v>170</v>
      </c>
      <c r="E627" s="231" t="s">
        <v>169</v>
      </c>
      <c r="F627" s="295" t="s">
        <v>168</v>
      </c>
    </row>
    <row r="628" spans="1:6" x14ac:dyDescent="0.15">
      <c r="A628" s="232" t="s">
        <v>167</v>
      </c>
    </row>
    <row r="629" spans="1:6" ht="17" x14ac:dyDescent="0.25">
      <c r="A629" s="232"/>
      <c r="B629" s="233" t="s">
        <v>979</v>
      </c>
      <c r="D629" s="234">
        <v>0.8</v>
      </c>
      <c r="E629" s="234" t="s">
        <v>172</v>
      </c>
      <c r="F629" s="296" t="s">
        <v>220</v>
      </c>
    </row>
    <row r="630" spans="1:6" ht="14" x14ac:dyDescent="0.15">
      <c r="A630" s="232"/>
      <c r="B630" s="233" t="s">
        <v>221</v>
      </c>
      <c r="D630" s="234">
        <v>0.6</v>
      </c>
      <c r="E630" s="234" t="s">
        <v>172</v>
      </c>
      <c r="F630" s="296" t="s">
        <v>220</v>
      </c>
    </row>
    <row r="631" spans="1:6" ht="17" x14ac:dyDescent="0.25">
      <c r="B631" s="233" t="s">
        <v>955</v>
      </c>
      <c r="D631" s="235">
        <f>(1-D629)+D629*D630</f>
        <v>0.67999999999999994</v>
      </c>
      <c r="E631" s="234" t="s">
        <v>172</v>
      </c>
      <c r="F631" s="296" t="s">
        <v>222</v>
      </c>
    </row>
    <row r="632" spans="1:6" ht="17" x14ac:dyDescent="0.25">
      <c r="B632" s="233" t="s">
        <v>956</v>
      </c>
      <c r="D632" s="236">
        <v>0.5</v>
      </c>
      <c r="E632" s="234" t="s">
        <v>172</v>
      </c>
      <c r="F632" s="296" t="s">
        <v>87</v>
      </c>
    </row>
    <row r="633" spans="1:6" ht="17" x14ac:dyDescent="0.25">
      <c r="B633" s="233" t="s">
        <v>957</v>
      </c>
      <c r="D633" s="237">
        <f>'Energy Balance'!Q22</f>
        <v>1.3599999999999999</v>
      </c>
      <c r="E633" s="234" t="s">
        <v>172</v>
      </c>
      <c r="F633" s="296" t="s">
        <v>173</v>
      </c>
    </row>
    <row r="634" spans="1:6" x14ac:dyDescent="0.15">
      <c r="A634" s="232" t="s">
        <v>174</v>
      </c>
    </row>
    <row r="635" spans="1:6" ht="17" x14ac:dyDescent="0.25">
      <c r="B635" s="233" t="s">
        <v>958</v>
      </c>
    </row>
    <row r="636" spans="1:6" ht="14" x14ac:dyDescent="0.15">
      <c r="A636" s="250"/>
      <c r="C636" s="250" t="s">
        <v>223</v>
      </c>
      <c r="D636" s="234">
        <v>1284</v>
      </c>
      <c r="E636" s="234" t="s">
        <v>175</v>
      </c>
      <c r="F636" s="296" t="s">
        <v>208</v>
      </c>
    </row>
    <row r="637" spans="1:6" ht="14" x14ac:dyDescent="0.15">
      <c r="A637" s="250"/>
      <c r="C637" s="250" t="s">
        <v>253</v>
      </c>
      <c r="D637" s="236">
        <v>0.35</v>
      </c>
      <c r="E637" s="234" t="s">
        <v>111</v>
      </c>
      <c r="F637" s="298" t="s">
        <v>1016</v>
      </c>
    </row>
    <row r="638" spans="1:6" ht="14" x14ac:dyDescent="0.15">
      <c r="A638" s="250"/>
      <c r="C638" s="250" t="s">
        <v>231</v>
      </c>
      <c r="D638" s="238">
        <f>D636*D637</f>
        <v>449.4</v>
      </c>
      <c r="E638" s="234" t="s">
        <v>175</v>
      </c>
      <c r="F638" s="296" t="s">
        <v>66</v>
      </c>
    </row>
    <row r="639" spans="1:6" ht="17" x14ac:dyDescent="0.25">
      <c r="B639" s="233" t="s">
        <v>959</v>
      </c>
      <c r="D639" s="239">
        <v>0</v>
      </c>
      <c r="E639" s="234" t="s">
        <v>111</v>
      </c>
      <c r="F639" s="296" t="s">
        <v>212</v>
      </c>
    </row>
    <row r="640" spans="1:6" ht="17" x14ac:dyDescent="0.25">
      <c r="B640" s="233" t="s">
        <v>960</v>
      </c>
      <c r="D640" s="239">
        <v>0</v>
      </c>
      <c r="E640" s="234" t="s">
        <v>111</v>
      </c>
      <c r="F640" s="296" t="s">
        <v>185</v>
      </c>
    </row>
    <row r="641" spans="1:6" ht="17" x14ac:dyDescent="0.25">
      <c r="B641" s="233" t="s">
        <v>961</v>
      </c>
      <c r="D641" s="240">
        <f>'Energy Balance'!D22</f>
        <v>0</v>
      </c>
      <c r="E641" s="234" t="s">
        <v>175</v>
      </c>
      <c r="F641" s="296" t="s">
        <v>947</v>
      </c>
    </row>
    <row r="642" spans="1:6" ht="17" x14ac:dyDescent="0.25">
      <c r="B642" s="233" t="s">
        <v>962</v>
      </c>
    </row>
    <row r="643" spans="1:6" ht="14" x14ac:dyDescent="0.15">
      <c r="C643" s="233" t="s">
        <v>226</v>
      </c>
      <c r="D643" s="234">
        <v>14</v>
      </c>
      <c r="E643" s="234" t="s">
        <v>175</v>
      </c>
      <c r="F643" s="296" t="s">
        <v>204</v>
      </c>
    </row>
    <row r="644" spans="1:6" ht="14" x14ac:dyDescent="0.15">
      <c r="C644" s="233" t="s">
        <v>227</v>
      </c>
      <c r="D644" s="234">
        <v>60</v>
      </c>
      <c r="E644" s="234" t="s">
        <v>175</v>
      </c>
      <c r="F644" s="296" t="s">
        <v>204</v>
      </c>
    </row>
    <row r="645" spans="1:6" ht="14" x14ac:dyDescent="0.15">
      <c r="C645" s="233" t="s">
        <v>228</v>
      </c>
      <c r="D645" s="235">
        <f>SUM(D643:D644)</f>
        <v>74</v>
      </c>
      <c r="E645" s="234" t="s">
        <v>175</v>
      </c>
      <c r="F645" s="296" t="s">
        <v>66</v>
      </c>
    </row>
    <row r="646" spans="1:6" ht="17" x14ac:dyDescent="0.25">
      <c r="B646" s="233" t="s">
        <v>963</v>
      </c>
      <c r="D646" s="238">
        <f>'Energy Balance'!M22</f>
        <v>0</v>
      </c>
      <c r="E646" s="234" t="s">
        <v>175</v>
      </c>
      <c r="F646" s="296" t="s">
        <v>186</v>
      </c>
    </row>
    <row r="647" spans="1:6" ht="17" x14ac:dyDescent="0.25">
      <c r="B647" s="233" t="s">
        <v>964</v>
      </c>
      <c r="D647" s="241">
        <f>'Energy Balance'!S152</f>
        <v>0</v>
      </c>
      <c r="E647" s="234" t="s">
        <v>175</v>
      </c>
      <c r="F647" s="296" t="s">
        <v>948</v>
      </c>
    </row>
    <row r="648" spans="1:6" ht="17" x14ac:dyDescent="0.25">
      <c r="B648" s="233" t="s">
        <v>965</v>
      </c>
    </row>
    <row r="649" spans="1:6" ht="14" x14ac:dyDescent="0.15">
      <c r="A649" s="250"/>
      <c r="C649" s="250" t="s">
        <v>229</v>
      </c>
      <c r="D649" s="234">
        <v>728</v>
      </c>
      <c r="E649" s="234" t="s">
        <v>175</v>
      </c>
      <c r="F649" s="296" t="s">
        <v>204</v>
      </c>
    </row>
    <row r="650" spans="1:6" ht="14" x14ac:dyDescent="0.15">
      <c r="A650" s="250"/>
      <c r="C650" s="250" t="s">
        <v>230</v>
      </c>
      <c r="D650" s="251">
        <f>D649*3412/1000000</f>
        <v>2.4839359999999999</v>
      </c>
      <c r="E650" s="234" t="s">
        <v>178</v>
      </c>
      <c r="F650" s="296" t="s">
        <v>225</v>
      </c>
    </row>
    <row r="651" spans="1:6" ht="14" x14ac:dyDescent="0.15">
      <c r="A651" s="250"/>
      <c r="C651" s="250" t="s">
        <v>252</v>
      </c>
      <c r="D651" s="236">
        <v>0.38</v>
      </c>
      <c r="E651" s="234" t="s">
        <v>111</v>
      </c>
      <c r="F651" s="298" t="s">
        <v>1016</v>
      </c>
    </row>
    <row r="652" spans="1:6" ht="14" x14ac:dyDescent="0.15">
      <c r="A652" s="250"/>
      <c r="C652" s="250" t="s">
        <v>254</v>
      </c>
      <c r="D652" s="234">
        <f>D636*D651</f>
        <v>487.92</v>
      </c>
      <c r="E652" s="234" t="s">
        <v>175</v>
      </c>
      <c r="F652" s="296" t="s">
        <v>66</v>
      </c>
    </row>
    <row r="653" spans="1:6" ht="14" x14ac:dyDescent="0.15">
      <c r="A653" s="250"/>
      <c r="C653" s="250" t="s">
        <v>224</v>
      </c>
      <c r="D653" s="251">
        <f>D652*3412/1000000</f>
        <v>1.6647830400000001</v>
      </c>
      <c r="E653" s="234" t="s">
        <v>178</v>
      </c>
      <c r="F653" s="296" t="s">
        <v>225</v>
      </c>
    </row>
    <row r="654" spans="1:6" ht="14" x14ac:dyDescent="0.15">
      <c r="A654" s="250"/>
      <c r="C654" s="250" t="s">
        <v>236</v>
      </c>
      <c r="D654" s="251">
        <v>2459</v>
      </c>
      <c r="E654" s="234" t="s">
        <v>175</v>
      </c>
      <c r="F654" s="296" t="s">
        <v>204</v>
      </c>
    </row>
    <row r="655" spans="1:6" ht="14" x14ac:dyDescent="0.15">
      <c r="A655" s="250"/>
      <c r="C655" s="250" t="s">
        <v>236</v>
      </c>
      <c r="D655" s="251">
        <f>D654*3412/1000000</f>
        <v>8.3901079999999997</v>
      </c>
      <c r="E655" s="234" t="s">
        <v>178</v>
      </c>
      <c r="F655" s="296" t="s">
        <v>225</v>
      </c>
    </row>
    <row r="656" spans="1:6" ht="14" x14ac:dyDescent="0.15">
      <c r="A656" s="250"/>
      <c r="C656" s="250" t="s">
        <v>232</v>
      </c>
      <c r="D656" s="247">
        <f>D650+D655-D653</f>
        <v>9.2092609599999999</v>
      </c>
      <c r="E656" s="234" t="s">
        <v>178</v>
      </c>
      <c r="F656" s="296" t="s">
        <v>66</v>
      </c>
    </row>
    <row r="657" spans="1:6" ht="17" x14ac:dyDescent="0.25">
      <c r="B657" s="233" t="s">
        <v>966</v>
      </c>
      <c r="D657" s="241">
        <f>'Energy Balance'!Y22</f>
        <v>-2680.0566356968429</v>
      </c>
      <c r="E657" s="234" t="s">
        <v>175</v>
      </c>
      <c r="F657" s="296" t="s">
        <v>176</v>
      </c>
    </row>
    <row r="658" spans="1:6" ht="17" x14ac:dyDescent="0.25">
      <c r="A658" s="232" t="s">
        <v>967</v>
      </c>
    </row>
    <row r="659" spans="1:6" ht="17" x14ac:dyDescent="0.25">
      <c r="B659" s="233" t="s">
        <v>968</v>
      </c>
      <c r="D659" s="241">
        <f>GWP!P20</f>
        <v>0</v>
      </c>
      <c r="E659" s="234" t="s">
        <v>969</v>
      </c>
      <c r="F659" s="296" t="s">
        <v>949</v>
      </c>
    </row>
    <row r="660" spans="1:6" ht="17" x14ac:dyDescent="0.25">
      <c r="B660" s="233" t="s">
        <v>970</v>
      </c>
      <c r="D660" s="252">
        <f>D631</f>
        <v>0.67999999999999994</v>
      </c>
      <c r="E660" s="234" t="s">
        <v>172</v>
      </c>
      <c r="F660" s="296" t="s">
        <v>235</v>
      </c>
    </row>
    <row r="661" spans="1:6" ht="17" x14ac:dyDescent="0.25">
      <c r="B661" s="233" t="s">
        <v>971</v>
      </c>
      <c r="D661" s="244">
        <f>GWP!R20</f>
        <v>152.84845714285711</v>
      </c>
      <c r="E661" s="234" t="s">
        <v>969</v>
      </c>
      <c r="F661" s="296" t="s">
        <v>193</v>
      </c>
    </row>
    <row r="662" spans="1:6" ht="17" x14ac:dyDescent="0.25">
      <c r="B662" s="233" t="s">
        <v>972</v>
      </c>
      <c r="D662" s="235">
        <v>0</v>
      </c>
      <c r="E662" s="234" t="s">
        <v>172</v>
      </c>
      <c r="F662" s="296" t="s">
        <v>192</v>
      </c>
    </row>
    <row r="663" spans="1:6" ht="17" x14ac:dyDescent="0.25">
      <c r="B663" s="233" t="s">
        <v>973</v>
      </c>
      <c r="D663" s="243">
        <f>GWP!T20</f>
        <v>0</v>
      </c>
      <c r="E663" s="234" t="s">
        <v>969</v>
      </c>
      <c r="F663" s="296" t="s">
        <v>919</v>
      </c>
    </row>
    <row r="664" spans="1:6" ht="17" x14ac:dyDescent="0.25">
      <c r="B664" s="233" t="s">
        <v>974</v>
      </c>
      <c r="D664" s="235">
        <v>0</v>
      </c>
      <c r="E664" s="234" t="s">
        <v>969</v>
      </c>
      <c r="F664" s="296" t="s">
        <v>200</v>
      </c>
    </row>
    <row r="665" spans="1:6" ht="17" x14ac:dyDescent="0.25">
      <c r="B665" s="233" t="s">
        <v>975</v>
      </c>
      <c r="D665" s="235">
        <v>130</v>
      </c>
      <c r="E665" s="234" t="s">
        <v>969</v>
      </c>
      <c r="F665" s="298" t="s">
        <v>189</v>
      </c>
    </row>
    <row r="666" spans="1:6" ht="17" x14ac:dyDescent="0.25">
      <c r="B666" s="233" t="s">
        <v>976</v>
      </c>
      <c r="D666" s="244">
        <f>GWP!AB20</f>
        <v>1122.4810870290412</v>
      </c>
      <c r="E666" s="234" t="s">
        <v>969</v>
      </c>
      <c r="F666" s="296" t="s">
        <v>179</v>
      </c>
    </row>
    <row r="667" spans="1:6" x14ac:dyDescent="0.15">
      <c r="A667" s="232" t="s">
        <v>41</v>
      </c>
    </row>
    <row r="668" spans="1:6" ht="14" x14ac:dyDescent="0.15">
      <c r="A668" s="232"/>
      <c r="B668" s="233" t="s">
        <v>233</v>
      </c>
      <c r="D668" s="234">
        <v>60000</v>
      </c>
      <c r="E668" s="234" t="s">
        <v>835</v>
      </c>
      <c r="F668" s="296" t="s">
        <v>208</v>
      </c>
    </row>
    <row r="669" spans="1:6" ht="14" x14ac:dyDescent="0.15">
      <c r="A669" s="232"/>
      <c r="B669" s="233" t="s">
        <v>234</v>
      </c>
      <c r="D669" s="234">
        <v>370000</v>
      </c>
      <c r="E669" s="234" t="s">
        <v>835</v>
      </c>
      <c r="F669" s="296" t="s">
        <v>208</v>
      </c>
    </row>
    <row r="670" spans="1:6" ht="14" x14ac:dyDescent="0.15">
      <c r="B670" s="233" t="s">
        <v>194</v>
      </c>
      <c r="D670" s="245">
        <v>25000</v>
      </c>
      <c r="E670" s="234" t="s">
        <v>835</v>
      </c>
      <c r="F670" s="296" t="s">
        <v>208</v>
      </c>
    </row>
    <row r="671" spans="1:6" ht="14" x14ac:dyDescent="0.15">
      <c r="B671" s="233" t="s">
        <v>209</v>
      </c>
      <c r="D671" s="245">
        <v>170000</v>
      </c>
      <c r="E671" s="234" t="s">
        <v>835</v>
      </c>
      <c r="F671" s="296" t="s">
        <v>208</v>
      </c>
    </row>
    <row r="672" spans="1:6" ht="14" x14ac:dyDescent="0.15">
      <c r="B672" s="233" t="s">
        <v>207</v>
      </c>
      <c r="D672" s="234">
        <f>SUM(D668:D671)</f>
        <v>625000</v>
      </c>
      <c r="E672" s="234" t="s">
        <v>835</v>
      </c>
      <c r="F672" s="296" t="s">
        <v>66</v>
      </c>
    </row>
    <row r="673" spans="1:6" ht="14" x14ac:dyDescent="0.15">
      <c r="B673" s="233" t="s">
        <v>796</v>
      </c>
      <c r="D673" s="246">
        <v>2.3E-2</v>
      </c>
      <c r="E673" s="234" t="s">
        <v>111</v>
      </c>
      <c r="F673" s="297" t="s">
        <v>797</v>
      </c>
    </row>
    <row r="674" spans="1:6" x14ac:dyDescent="0.15">
      <c r="B674" s="233" t="s">
        <v>799</v>
      </c>
      <c r="D674" s="242">
        <f>D672*(1+D673)</f>
        <v>639375</v>
      </c>
      <c r="E674" s="234" t="s">
        <v>404</v>
      </c>
      <c r="F674" s="297"/>
    </row>
    <row r="675" spans="1:6" x14ac:dyDescent="0.15">
      <c r="A675" s="232" t="s">
        <v>195</v>
      </c>
    </row>
    <row r="676" spans="1:6" x14ac:dyDescent="0.15">
      <c r="B676" s="233" t="s">
        <v>42</v>
      </c>
    </row>
    <row r="677" spans="1:6" ht="14" x14ac:dyDescent="0.15">
      <c r="C677" s="233" t="s">
        <v>226</v>
      </c>
      <c r="D677" s="234">
        <v>15</v>
      </c>
      <c r="E677" s="234" t="s">
        <v>824</v>
      </c>
      <c r="F677" s="296" t="s">
        <v>208</v>
      </c>
    </row>
    <row r="678" spans="1:6" ht="14" x14ac:dyDescent="0.15">
      <c r="C678" s="233" t="s">
        <v>234</v>
      </c>
      <c r="D678" s="234">
        <v>29</v>
      </c>
      <c r="E678" s="234" t="s">
        <v>824</v>
      </c>
      <c r="F678" s="296" t="s">
        <v>208</v>
      </c>
    </row>
    <row r="679" spans="1:6" ht="14" x14ac:dyDescent="0.15">
      <c r="C679" s="233" t="s">
        <v>227</v>
      </c>
      <c r="D679" s="234">
        <v>21</v>
      </c>
      <c r="E679" s="234" t="s">
        <v>824</v>
      </c>
      <c r="F679" s="296" t="s">
        <v>208</v>
      </c>
    </row>
    <row r="680" spans="1:6" ht="14" x14ac:dyDescent="0.15">
      <c r="C680" s="233" t="s">
        <v>209</v>
      </c>
      <c r="D680" s="234">
        <v>132</v>
      </c>
      <c r="E680" s="234" t="s">
        <v>824</v>
      </c>
      <c r="F680" s="296" t="s">
        <v>208</v>
      </c>
    </row>
    <row r="681" spans="1:6" x14ac:dyDescent="0.15">
      <c r="C681" s="233" t="s">
        <v>210</v>
      </c>
      <c r="D681" s="234">
        <f>SUM(D677:D680)</f>
        <v>197</v>
      </c>
      <c r="E681" s="234" t="s">
        <v>824</v>
      </c>
    </row>
    <row r="682" spans="1:6" ht="14" x14ac:dyDescent="0.15">
      <c r="B682" s="233" t="s">
        <v>796</v>
      </c>
      <c r="D682" s="246">
        <v>2.3E-2</v>
      </c>
      <c r="E682" s="234" t="s">
        <v>111</v>
      </c>
      <c r="F682" s="297" t="s">
        <v>797</v>
      </c>
    </row>
    <row r="683" spans="1:6" x14ac:dyDescent="0.15">
      <c r="B683" s="233" t="s">
        <v>798</v>
      </c>
      <c r="D683" s="247">
        <f>D681*(1+D682)</f>
        <v>201.53099999999998</v>
      </c>
      <c r="E683" s="234" t="s">
        <v>816</v>
      </c>
    </row>
    <row r="684" spans="1:6" ht="14" x14ac:dyDescent="0.15">
      <c r="B684" s="233" t="s">
        <v>197</v>
      </c>
      <c r="D684" s="244">
        <f>'Commercial Viability'!F23</f>
        <v>78.362267924987876</v>
      </c>
      <c r="E684" s="234" t="s">
        <v>199</v>
      </c>
      <c r="F684" s="296" t="s">
        <v>950</v>
      </c>
    </row>
    <row r="685" spans="1:6" x14ac:dyDescent="0.15">
      <c r="B685" s="233" t="s">
        <v>196</v>
      </c>
    </row>
    <row r="686" spans="1:6" ht="14" x14ac:dyDescent="0.15">
      <c r="C686" s="233" t="s">
        <v>801</v>
      </c>
      <c r="D686" s="234">
        <v>6.8099999999999994E-2</v>
      </c>
      <c r="E686" s="234" t="s">
        <v>217</v>
      </c>
      <c r="F686" s="299" t="s">
        <v>374</v>
      </c>
    </row>
    <row r="687" spans="1:6" x14ac:dyDescent="0.15">
      <c r="C687" s="233" t="s">
        <v>245</v>
      </c>
      <c r="D687" s="249">
        <f>D686*D638</f>
        <v>30.604139999999997</v>
      </c>
      <c r="E687" s="234" t="s">
        <v>199</v>
      </c>
    </row>
    <row r="688" spans="1:6" ht="14" x14ac:dyDescent="0.15">
      <c r="B688" s="233" t="s">
        <v>195</v>
      </c>
      <c r="D688" s="244">
        <f>'Commercial Viability'!H23</f>
        <v>-249.28912792498784</v>
      </c>
      <c r="E688" s="234" t="s">
        <v>199</v>
      </c>
      <c r="F688" s="296" t="s">
        <v>951</v>
      </c>
    </row>
    <row r="689" spans="1:6" x14ac:dyDescent="0.15">
      <c r="A689" s="232" t="s">
        <v>201</v>
      </c>
    </row>
    <row r="690" spans="1:6" ht="28" x14ac:dyDescent="0.15">
      <c r="B690" s="233" t="s">
        <v>6</v>
      </c>
      <c r="D690" s="235">
        <v>9</v>
      </c>
      <c r="F690" s="296" t="s">
        <v>202</v>
      </c>
    </row>
    <row r="692" spans="1:6" s="228" customFormat="1" x14ac:dyDescent="0.15">
      <c r="A692" s="225" t="s">
        <v>985</v>
      </c>
      <c r="B692" s="226"/>
      <c r="C692" s="226"/>
      <c r="D692" s="227"/>
      <c r="E692" s="227"/>
      <c r="F692" s="294"/>
    </row>
    <row r="693" spans="1:6" ht="14" x14ac:dyDescent="0.15">
      <c r="B693" s="230" t="s">
        <v>171</v>
      </c>
      <c r="C693" s="230"/>
      <c r="D693" s="231" t="s">
        <v>170</v>
      </c>
      <c r="E693" s="231" t="s">
        <v>169</v>
      </c>
      <c r="F693" s="295" t="s">
        <v>168</v>
      </c>
    </row>
    <row r="694" spans="1:6" x14ac:dyDescent="0.15">
      <c r="A694" s="232" t="s">
        <v>167</v>
      </c>
    </row>
    <row r="695" spans="1:6" ht="17" x14ac:dyDescent="0.25">
      <c r="A695" s="232"/>
      <c r="B695" s="233" t="s">
        <v>979</v>
      </c>
      <c r="D695" s="234">
        <v>0.8</v>
      </c>
      <c r="E695" s="234" t="s">
        <v>172</v>
      </c>
      <c r="F695" s="296" t="s">
        <v>220</v>
      </c>
    </row>
    <row r="696" spans="1:6" ht="14" x14ac:dyDescent="0.15">
      <c r="A696" s="232"/>
      <c r="B696" s="233" t="s">
        <v>221</v>
      </c>
      <c r="D696" s="234">
        <v>0.6</v>
      </c>
      <c r="E696" s="234" t="s">
        <v>172</v>
      </c>
      <c r="F696" s="296" t="s">
        <v>220</v>
      </c>
    </row>
    <row r="697" spans="1:6" ht="17" x14ac:dyDescent="0.25">
      <c r="B697" s="233" t="s">
        <v>972</v>
      </c>
      <c r="D697" s="234">
        <f>(1-D695)+D695*D696</f>
        <v>0.67999999999999994</v>
      </c>
      <c r="E697" s="234" t="s">
        <v>172</v>
      </c>
      <c r="F697" s="296" t="s">
        <v>222</v>
      </c>
    </row>
    <row r="698" spans="1:6" ht="17" x14ac:dyDescent="0.25">
      <c r="B698" s="233" t="s">
        <v>955</v>
      </c>
      <c r="D698" s="235">
        <v>0.1</v>
      </c>
      <c r="E698" s="234" t="s">
        <v>172</v>
      </c>
      <c r="F698" s="296" t="s">
        <v>87</v>
      </c>
    </row>
    <row r="699" spans="1:6" ht="17" x14ac:dyDescent="0.25">
      <c r="B699" s="233" t="s">
        <v>956</v>
      </c>
      <c r="D699" s="236">
        <v>0.05</v>
      </c>
      <c r="E699" s="234" t="s">
        <v>172</v>
      </c>
      <c r="F699" s="296" t="s">
        <v>87</v>
      </c>
    </row>
    <row r="700" spans="1:6" ht="17" x14ac:dyDescent="0.25">
      <c r="B700" s="233" t="s">
        <v>957</v>
      </c>
      <c r="D700" s="237">
        <f>'Energy Balance'!Q23</f>
        <v>0.10526315789473684</v>
      </c>
      <c r="E700" s="234" t="s">
        <v>172</v>
      </c>
      <c r="F700" s="296" t="s">
        <v>173</v>
      </c>
    </row>
    <row r="701" spans="1:6" x14ac:dyDescent="0.15">
      <c r="A701" s="232" t="s">
        <v>174</v>
      </c>
    </row>
    <row r="702" spans="1:6" ht="17" x14ac:dyDescent="0.25">
      <c r="B702" s="233" t="s">
        <v>958</v>
      </c>
    </row>
    <row r="703" spans="1:6" ht="14" x14ac:dyDescent="0.15">
      <c r="A703" s="250"/>
      <c r="C703" s="250" t="s">
        <v>223</v>
      </c>
      <c r="D703" s="234">
        <v>1284</v>
      </c>
      <c r="E703" s="234" t="s">
        <v>175</v>
      </c>
      <c r="F703" s="296" t="s">
        <v>204</v>
      </c>
    </row>
    <row r="704" spans="1:6" ht="14" x14ac:dyDescent="0.15">
      <c r="A704" s="250"/>
      <c r="C704" s="250" t="s">
        <v>253</v>
      </c>
      <c r="D704" s="236">
        <v>0.35</v>
      </c>
      <c r="E704" s="234" t="s">
        <v>111</v>
      </c>
      <c r="F704" s="298" t="s">
        <v>1016</v>
      </c>
    </row>
    <row r="705" spans="1:6" ht="14" x14ac:dyDescent="0.15">
      <c r="A705" s="250"/>
      <c r="C705" s="250" t="s">
        <v>255</v>
      </c>
      <c r="D705" s="253">
        <f>D703*D704</f>
        <v>449.4</v>
      </c>
      <c r="E705" s="234" t="s">
        <v>175</v>
      </c>
      <c r="F705" s="296" t="s">
        <v>66</v>
      </c>
    </row>
    <row r="706" spans="1:6" ht="14" x14ac:dyDescent="0.15">
      <c r="A706" s="250"/>
      <c r="C706" s="250" t="s">
        <v>239</v>
      </c>
      <c r="D706" s="253">
        <v>1653</v>
      </c>
      <c r="E706" s="234" t="s">
        <v>175</v>
      </c>
      <c r="F706" s="296" t="s">
        <v>204</v>
      </c>
    </row>
    <row r="707" spans="1:6" ht="14" x14ac:dyDescent="0.15">
      <c r="A707" s="250"/>
      <c r="C707" s="250" t="s">
        <v>240</v>
      </c>
      <c r="D707" s="236">
        <v>0.83550000000000002</v>
      </c>
      <c r="E707" s="234" t="s">
        <v>111</v>
      </c>
      <c r="F707" s="296" t="s">
        <v>241</v>
      </c>
    </row>
    <row r="708" spans="1:6" ht="14" x14ac:dyDescent="0.15">
      <c r="A708" s="250"/>
      <c r="C708" s="250" t="s">
        <v>238</v>
      </c>
      <c r="D708" s="253">
        <f>D706*D707</f>
        <v>1381.0815</v>
      </c>
      <c r="E708" s="234" t="s">
        <v>175</v>
      </c>
      <c r="F708" s="296" t="s">
        <v>66</v>
      </c>
    </row>
    <row r="709" spans="1:6" ht="14" x14ac:dyDescent="0.15">
      <c r="A709" s="250"/>
      <c r="C709" s="250" t="s">
        <v>231</v>
      </c>
      <c r="D709" s="238">
        <f>D705+D708</f>
        <v>1830.4814999999999</v>
      </c>
      <c r="E709" s="234" t="s">
        <v>175</v>
      </c>
      <c r="F709" s="296" t="s">
        <v>66</v>
      </c>
    </row>
    <row r="710" spans="1:6" ht="30" x14ac:dyDescent="0.25">
      <c r="B710" s="233" t="s">
        <v>959</v>
      </c>
      <c r="D710" s="239">
        <v>0</v>
      </c>
      <c r="E710" s="234" t="s">
        <v>111</v>
      </c>
      <c r="F710" s="296" t="s">
        <v>213</v>
      </c>
    </row>
    <row r="711" spans="1:6" ht="17" x14ac:dyDescent="0.25">
      <c r="B711" s="233" t="s">
        <v>960</v>
      </c>
      <c r="D711" s="239">
        <v>0</v>
      </c>
      <c r="E711" s="234" t="s">
        <v>111</v>
      </c>
      <c r="F711" s="296" t="s">
        <v>185</v>
      </c>
    </row>
    <row r="712" spans="1:6" ht="17" x14ac:dyDescent="0.25">
      <c r="B712" s="233" t="s">
        <v>961</v>
      </c>
      <c r="D712" s="240">
        <f>'Energy Balance'!D23</f>
        <v>0</v>
      </c>
      <c r="E712" s="234" t="s">
        <v>175</v>
      </c>
      <c r="F712" s="296" t="s">
        <v>947</v>
      </c>
    </row>
    <row r="713" spans="1:6" ht="17" x14ac:dyDescent="0.25">
      <c r="B713" s="233" t="s">
        <v>962</v>
      </c>
    </row>
    <row r="714" spans="1:6" ht="14" x14ac:dyDescent="0.15">
      <c r="C714" s="229" t="s">
        <v>226</v>
      </c>
      <c r="D714" s="234">
        <v>14</v>
      </c>
      <c r="E714" s="234" t="s">
        <v>175</v>
      </c>
      <c r="F714" s="296" t="s">
        <v>204</v>
      </c>
    </row>
    <row r="715" spans="1:6" ht="14" x14ac:dyDescent="0.15">
      <c r="C715" s="229" t="s">
        <v>227</v>
      </c>
      <c r="D715" s="234">
        <v>60</v>
      </c>
      <c r="E715" s="234" t="s">
        <v>175</v>
      </c>
      <c r="F715" s="296" t="s">
        <v>204</v>
      </c>
    </row>
    <row r="716" spans="1:6" ht="14" x14ac:dyDescent="0.15">
      <c r="C716" s="229" t="s">
        <v>228</v>
      </c>
      <c r="D716" s="235">
        <f>SUM(D714:D715)</f>
        <v>74</v>
      </c>
      <c r="E716" s="234" t="s">
        <v>175</v>
      </c>
      <c r="F716" s="296" t="s">
        <v>66</v>
      </c>
    </row>
    <row r="717" spans="1:6" ht="17" x14ac:dyDescent="0.25">
      <c r="B717" s="233" t="s">
        <v>963</v>
      </c>
      <c r="C717" s="229"/>
      <c r="D717" s="235">
        <v>0</v>
      </c>
      <c r="E717" s="234" t="s">
        <v>175</v>
      </c>
      <c r="F717" s="296" t="s">
        <v>186</v>
      </c>
    </row>
    <row r="718" spans="1:6" ht="17" x14ac:dyDescent="0.25">
      <c r="B718" s="233" t="s">
        <v>964</v>
      </c>
      <c r="D718" s="241">
        <f>'Energy Balance'!S23</f>
        <v>14.254215731199825</v>
      </c>
      <c r="E718" s="234" t="s">
        <v>175</v>
      </c>
      <c r="F718" s="296" t="s">
        <v>948</v>
      </c>
    </row>
    <row r="719" spans="1:6" ht="17" x14ac:dyDescent="0.25">
      <c r="B719" s="233" t="s">
        <v>965</v>
      </c>
    </row>
    <row r="720" spans="1:6" ht="14" x14ac:dyDescent="0.15">
      <c r="A720" s="250"/>
      <c r="C720" s="250" t="s">
        <v>229</v>
      </c>
      <c r="D720" s="234">
        <v>728</v>
      </c>
      <c r="E720" s="234" t="s">
        <v>175</v>
      </c>
      <c r="F720" s="296" t="s">
        <v>204</v>
      </c>
    </row>
    <row r="721" spans="1:6" ht="14" x14ac:dyDescent="0.15">
      <c r="A721" s="250"/>
      <c r="C721" s="250" t="s">
        <v>230</v>
      </c>
      <c r="D721" s="251">
        <f>D720*3412/1000000</f>
        <v>2.4839359999999999</v>
      </c>
      <c r="E721" s="234" t="s">
        <v>178</v>
      </c>
      <c r="F721" s="296" t="s">
        <v>225</v>
      </c>
    </row>
    <row r="722" spans="1:6" ht="14" x14ac:dyDescent="0.15">
      <c r="A722" s="250"/>
      <c r="C722" s="250" t="s">
        <v>252</v>
      </c>
      <c r="D722" s="236">
        <v>0.38</v>
      </c>
      <c r="E722" s="234" t="s">
        <v>111</v>
      </c>
      <c r="F722" s="296" t="s">
        <v>1016</v>
      </c>
    </row>
    <row r="723" spans="1:6" ht="14" x14ac:dyDescent="0.15">
      <c r="A723" s="250"/>
      <c r="C723" s="250" t="s">
        <v>254</v>
      </c>
      <c r="D723" s="254">
        <f>D703*D722</f>
        <v>487.92</v>
      </c>
      <c r="E723" s="234" t="s">
        <v>175</v>
      </c>
      <c r="F723" s="296" t="s">
        <v>66</v>
      </c>
    </row>
    <row r="724" spans="1:6" ht="14" x14ac:dyDescent="0.15">
      <c r="A724" s="250"/>
      <c r="C724" s="250" t="s">
        <v>224</v>
      </c>
      <c r="D724" s="251">
        <f>D723*3412/1000000</f>
        <v>1.6647830400000001</v>
      </c>
      <c r="E724" s="234" t="s">
        <v>178</v>
      </c>
      <c r="F724" s="296" t="s">
        <v>225</v>
      </c>
    </row>
    <row r="725" spans="1:6" ht="14" x14ac:dyDescent="0.15">
      <c r="A725" s="250"/>
      <c r="C725" s="250" t="s">
        <v>243</v>
      </c>
      <c r="D725" s="236">
        <f>1-D707</f>
        <v>0.16449999999999998</v>
      </c>
      <c r="E725" s="234" t="s">
        <v>111</v>
      </c>
      <c r="F725" s="296" t="s">
        <v>241</v>
      </c>
    </row>
    <row r="726" spans="1:6" ht="14" x14ac:dyDescent="0.15">
      <c r="A726" s="250"/>
      <c r="C726" s="250" t="s">
        <v>244</v>
      </c>
      <c r="D726" s="254">
        <f>D706*D725</f>
        <v>271.91849999999999</v>
      </c>
      <c r="E726" s="234" t="s">
        <v>175</v>
      </c>
      <c r="F726" s="296" t="s">
        <v>66</v>
      </c>
    </row>
    <row r="727" spans="1:6" ht="14" x14ac:dyDescent="0.15">
      <c r="A727" s="250"/>
      <c r="C727" s="250" t="s">
        <v>242</v>
      </c>
      <c r="D727" s="251">
        <f>D726*3412/1000000</f>
        <v>0.92778592199999999</v>
      </c>
      <c r="E727" s="234" t="s">
        <v>178</v>
      </c>
      <c r="F727" s="296" t="s">
        <v>225</v>
      </c>
    </row>
    <row r="728" spans="1:6" ht="14" x14ac:dyDescent="0.15">
      <c r="A728" s="250"/>
      <c r="C728" s="250" t="s">
        <v>236</v>
      </c>
      <c r="D728" s="254">
        <v>2459</v>
      </c>
      <c r="E728" s="234" t="s">
        <v>175</v>
      </c>
      <c r="F728" s="296" t="s">
        <v>204</v>
      </c>
    </row>
    <row r="729" spans="1:6" ht="14" x14ac:dyDescent="0.15">
      <c r="A729" s="250"/>
      <c r="C729" s="250" t="s">
        <v>236</v>
      </c>
      <c r="D729" s="251">
        <f>D728*3412/1000000</f>
        <v>8.3901079999999997</v>
      </c>
      <c r="E729" s="234" t="s">
        <v>178</v>
      </c>
      <c r="F729" s="296" t="s">
        <v>225</v>
      </c>
    </row>
    <row r="730" spans="1:6" ht="14" x14ac:dyDescent="0.15">
      <c r="A730" s="250"/>
      <c r="C730" s="250" t="s">
        <v>232</v>
      </c>
      <c r="D730" s="247">
        <f>D721+D729-D724-D727</f>
        <v>8.281475038</v>
      </c>
      <c r="E730" s="234" t="s">
        <v>178</v>
      </c>
      <c r="F730" s="296" t="s">
        <v>66</v>
      </c>
    </row>
    <row r="731" spans="1:6" ht="17" x14ac:dyDescent="0.25">
      <c r="B731" s="233" t="s">
        <v>966</v>
      </c>
      <c r="D731" s="241">
        <f>'Energy Balance'!Y23</f>
        <v>-721.11775567851259</v>
      </c>
      <c r="E731" s="234" t="s">
        <v>175</v>
      </c>
      <c r="F731" s="296" t="s">
        <v>176</v>
      </c>
    </row>
    <row r="732" spans="1:6" ht="17" x14ac:dyDescent="0.25">
      <c r="A732" s="232" t="s">
        <v>967</v>
      </c>
    </row>
    <row r="733" spans="1:6" ht="17" x14ac:dyDescent="0.25">
      <c r="B733" s="233" t="s">
        <v>968</v>
      </c>
      <c r="D733" s="241">
        <f>GWP!P21</f>
        <v>0</v>
      </c>
      <c r="E733" s="234" t="s">
        <v>969</v>
      </c>
      <c r="F733" s="296" t="s">
        <v>949</v>
      </c>
    </row>
    <row r="734" spans="1:6" ht="17" x14ac:dyDescent="0.25">
      <c r="B734" s="233" t="s">
        <v>970</v>
      </c>
      <c r="D734" s="242">
        <v>0</v>
      </c>
      <c r="E734" s="234" t="s">
        <v>172</v>
      </c>
      <c r="F734" s="296" t="s">
        <v>190</v>
      </c>
    </row>
    <row r="735" spans="1:6" ht="17" x14ac:dyDescent="0.25">
      <c r="B735" s="233" t="s">
        <v>971</v>
      </c>
      <c r="D735" s="244">
        <f>GWP!R21</f>
        <v>0</v>
      </c>
      <c r="E735" s="234" t="s">
        <v>969</v>
      </c>
      <c r="F735" s="296" t="s">
        <v>193</v>
      </c>
    </row>
    <row r="736" spans="1:6" ht="17" x14ac:dyDescent="0.25">
      <c r="B736" s="233" t="s">
        <v>972</v>
      </c>
      <c r="D736" s="235">
        <f>D697</f>
        <v>0.67999999999999994</v>
      </c>
      <c r="E736" s="234" t="s">
        <v>172</v>
      </c>
      <c r="F736" s="296" t="s">
        <v>235</v>
      </c>
    </row>
    <row r="737" spans="1:6" ht="17" x14ac:dyDescent="0.25">
      <c r="B737" s="233" t="s">
        <v>973</v>
      </c>
      <c r="D737" s="244">
        <f>GWP!T21</f>
        <v>4942.1001142857131</v>
      </c>
      <c r="E737" s="234" t="s">
        <v>969</v>
      </c>
      <c r="F737" s="296" t="s">
        <v>919</v>
      </c>
    </row>
    <row r="738" spans="1:6" ht="17" x14ac:dyDescent="0.25">
      <c r="B738" s="233" t="s">
        <v>974</v>
      </c>
      <c r="D738" s="235">
        <v>0</v>
      </c>
      <c r="E738" s="234" t="s">
        <v>969</v>
      </c>
      <c r="F738" s="296" t="s">
        <v>200</v>
      </c>
    </row>
    <row r="739" spans="1:6" ht="17" x14ac:dyDescent="0.25">
      <c r="B739" s="233" t="s">
        <v>975</v>
      </c>
      <c r="D739" s="235">
        <v>0</v>
      </c>
      <c r="E739" s="234" t="s">
        <v>969</v>
      </c>
      <c r="F739" s="296" t="s">
        <v>190</v>
      </c>
    </row>
    <row r="740" spans="1:6" ht="17" x14ac:dyDescent="0.25">
      <c r="B740" s="233" t="s">
        <v>976</v>
      </c>
      <c r="D740" s="244">
        <f>GWP!AB21</f>
        <v>5274.9486593220872</v>
      </c>
      <c r="E740" s="234" t="s">
        <v>969</v>
      </c>
      <c r="F740" s="296" t="s">
        <v>179</v>
      </c>
    </row>
    <row r="741" spans="1:6" x14ac:dyDescent="0.15">
      <c r="A741" s="232" t="s">
        <v>41</v>
      </c>
    </row>
    <row r="742" spans="1:6" ht="14" x14ac:dyDescent="0.15">
      <c r="A742" s="232"/>
      <c r="B742" s="233" t="s">
        <v>233</v>
      </c>
      <c r="D742" s="234">
        <v>60000</v>
      </c>
      <c r="E742" s="234" t="s">
        <v>835</v>
      </c>
      <c r="F742" s="296" t="s">
        <v>208</v>
      </c>
    </row>
    <row r="743" spans="1:6" ht="14" x14ac:dyDescent="0.15">
      <c r="A743" s="232"/>
      <c r="B743" s="233" t="s">
        <v>234</v>
      </c>
      <c r="D743" s="234">
        <v>370000</v>
      </c>
      <c r="E743" s="234" t="s">
        <v>835</v>
      </c>
      <c r="F743" s="296" t="s">
        <v>208</v>
      </c>
    </row>
    <row r="744" spans="1:6" ht="14" x14ac:dyDescent="0.15">
      <c r="B744" s="233" t="s">
        <v>227</v>
      </c>
      <c r="D744" s="245">
        <v>25000</v>
      </c>
      <c r="E744" s="234" t="s">
        <v>835</v>
      </c>
      <c r="F744" s="296" t="s">
        <v>208</v>
      </c>
    </row>
    <row r="745" spans="1:6" ht="14" x14ac:dyDescent="0.15">
      <c r="B745" s="233" t="s">
        <v>209</v>
      </c>
      <c r="D745" s="245">
        <v>170000</v>
      </c>
      <c r="E745" s="234" t="s">
        <v>835</v>
      </c>
      <c r="F745" s="296" t="s">
        <v>208</v>
      </c>
    </row>
    <row r="746" spans="1:6" ht="14" x14ac:dyDescent="0.15">
      <c r="B746" s="233" t="s">
        <v>216</v>
      </c>
      <c r="D746" s="245">
        <v>235000</v>
      </c>
      <c r="E746" s="234" t="s">
        <v>835</v>
      </c>
      <c r="F746" s="296" t="s">
        <v>208</v>
      </c>
    </row>
    <row r="747" spans="1:6" ht="14" x14ac:dyDescent="0.15">
      <c r="B747" s="233" t="s">
        <v>207</v>
      </c>
      <c r="D747" s="234">
        <f>SUM(D742:D746)</f>
        <v>860000</v>
      </c>
      <c r="E747" s="234" t="s">
        <v>835</v>
      </c>
      <c r="F747" s="296" t="s">
        <v>66</v>
      </c>
    </row>
    <row r="748" spans="1:6" ht="14" x14ac:dyDescent="0.15">
      <c r="B748" s="233" t="s">
        <v>796</v>
      </c>
      <c r="D748" s="246">
        <v>2.3E-2</v>
      </c>
      <c r="E748" s="234" t="s">
        <v>111</v>
      </c>
      <c r="F748" s="297" t="s">
        <v>797</v>
      </c>
    </row>
    <row r="749" spans="1:6" x14ac:dyDescent="0.15">
      <c r="B749" s="233" t="s">
        <v>799</v>
      </c>
      <c r="D749" s="242">
        <f>D747*(1+D748)</f>
        <v>879779.99999999988</v>
      </c>
      <c r="E749" s="234" t="s">
        <v>404</v>
      </c>
      <c r="F749" s="297"/>
    </row>
    <row r="750" spans="1:6" x14ac:dyDescent="0.15">
      <c r="A750" s="232" t="s">
        <v>195</v>
      </c>
    </row>
    <row r="751" spans="1:6" x14ac:dyDescent="0.15">
      <c r="B751" s="233" t="s">
        <v>42</v>
      </c>
    </row>
    <row r="752" spans="1:6" ht="14" x14ac:dyDescent="0.15">
      <c r="C752" s="233" t="s">
        <v>226</v>
      </c>
      <c r="D752" s="234">
        <v>15</v>
      </c>
      <c r="E752" s="234" t="s">
        <v>824</v>
      </c>
      <c r="F752" s="296" t="s">
        <v>208</v>
      </c>
    </row>
    <row r="753" spans="1:6" ht="14" x14ac:dyDescent="0.15">
      <c r="C753" s="233" t="s">
        <v>234</v>
      </c>
      <c r="D753" s="234">
        <v>29</v>
      </c>
      <c r="E753" s="234" t="s">
        <v>824</v>
      </c>
      <c r="F753" s="296" t="s">
        <v>208</v>
      </c>
    </row>
    <row r="754" spans="1:6" ht="14" x14ac:dyDescent="0.15">
      <c r="C754" s="233" t="s">
        <v>227</v>
      </c>
      <c r="D754" s="234">
        <v>21</v>
      </c>
      <c r="E754" s="234" t="s">
        <v>824</v>
      </c>
      <c r="F754" s="296" t="s">
        <v>208</v>
      </c>
    </row>
    <row r="755" spans="1:6" ht="14" x14ac:dyDescent="0.15">
      <c r="C755" s="233" t="s">
        <v>209</v>
      </c>
      <c r="D755" s="234">
        <v>132</v>
      </c>
      <c r="E755" s="234" t="s">
        <v>824</v>
      </c>
      <c r="F755" s="296" t="s">
        <v>208</v>
      </c>
    </row>
    <row r="756" spans="1:6" ht="14" x14ac:dyDescent="0.15">
      <c r="C756" s="233" t="s">
        <v>216</v>
      </c>
      <c r="D756" s="234">
        <v>201</v>
      </c>
      <c r="E756" s="234" t="s">
        <v>824</v>
      </c>
      <c r="F756" s="296" t="s">
        <v>208</v>
      </c>
    </row>
    <row r="757" spans="1:6" x14ac:dyDescent="0.15">
      <c r="C757" s="233" t="s">
        <v>210</v>
      </c>
      <c r="D757" s="234">
        <f>SUM(D752:D756)</f>
        <v>398</v>
      </c>
      <c r="E757" s="234" t="s">
        <v>824</v>
      </c>
    </row>
    <row r="758" spans="1:6" ht="14" x14ac:dyDescent="0.15">
      <c r="B758" s="233" t="s">
        <v>796</v>
      </c>
      <c r="D758" s="246">
        <v>2.3E-2</v>
      </c>
      <c r="E758" s="234" t="s">
        <v>111</v>
      </c>
      <c r="F758" s="297" t="s">
        <v>797</v>
      </c>
    </row>
    <row r="759" spans="1:6" x14ac:dyDescent="0.15">
      <c r="B759" s="233" t="s">
        <v>798</v>
      </c>
      <c r="D759" s="247">
        <f>D757*(1+D758)</f>
        <v>407.15399999999994</v>
      </c>
      <c r="E759" s="234" t="s">
        <v>816</v>
      </c>
    </row>
    <row r="760" spans="1:6" ht="14" x14ac:dyDescent="0.15">
      <c r="B760" s="233" t="s">
        <v>197</v>
      </c>
      <c r="D760" s="244">
        <f>'Commercial Viability'!F24</f>
        <v>6.0651910158659348</v>
      </c>
      <c r="E760" s="234" t="s">
        <v>199</v>
      </c>
      <c r="F760" s="296" t="s">
        <v>950</v>
      </c>
    </row>
    <row r="761" spans="1:6" x14ac:dyDescent="0.15">
      <c r="B761" s="233" t="s">
        <v>196</v>
      </c>
    </row>
    <row r="762" spans="1:6" ht="14" x14ac:dyDescent="0.15">
      <c r="C762" s="233" t="s">
        <v>801</v>
      </c>
      <c r="D762" s="234">
        <v>6.8099999999999994E-2</v>
      </c>
      <c r="E762" s="234" t="s">
        <v>217</v>
      </c>
      <c r="F762" s="299" t="s">
        <v>374</v>
      </c>
    </row>
    <row r="763" spans="1:6" x14ac:dyDescent="0.15">
      <c r="C763" s="233" t="s">
        <v>245</v>
      </c>
      <c r="D763" s="249">
        <f>D762*D709</f>
        <v>124.65579014999997</v>
      </c>
      <c r="E763" s="234" t="s">
        <v>199</v>
      </c>
    </row>
    <row r="764" spans="1:6" ht="14" x14ac:dyDescent="0.15">
      <c r="B764" s="233" t="s">
        <v>195</v>
      </c>
      <c r="D764" s="244">
        <f>'Commercial Viability'!H24</f>
        <v>-288.5634008658659</v>
      </c>
      <c r="E764" s="234" t="s">
        <v>199</v>
      </c>
      <c r="F764" s="296" t="s">
        <v>951</v>
      </c>
    </row>
    <row r="765" spans="1:6" x14ac:dyDescent="0.15">
      <c r="A765" s="232" t="s">
        <v>201</v>
      </c>
    </row>
    <row r="766" spans="1:6" ht="28" x14ac:dyDescent="0.15">
      <c r="B766" s="233" t="s">
        <v>6</v>
      </c>
      <c r="D766" s="235">
        <v>9</v>
      </c>
      <c r="F766" s="296" t="s">
        <v>202</v>
      </c>
    </row>
    <row r="768" spans="1:6" s="228" customFormat="1" x14ac:dyDescent="0.15">
      <c r="A768" s="225" t="s">
        <v>986</v>
      </c>
      <c r="B768" s="226"/>
      <c r="C768" s="226"/>
      <c r="D768" s="227"/>
      <c r="E768" s="227"/>
      <c r="F768" s="294"/>
    </row>
    <row r="769" spans="1:6" ht="14" x14ac:dyDescent="0.15">
      <c r="B769" s="230" t="s">
        <v>171</v>
      </c>
      <c r="C769" s="230"/>
      <c r="D769" s="231" t="s">
        <v>170</v>
      </c>
      <c r="E769" s="231" t="s">
        <v>169</v>
      </c>
      <c r="F769" s="295" t="s">
        <v>168</v>
      </c>
    </row>
    <row r="770" spans="1:6" x14ac:dyDescent="0.15">
      <c r="A770" s="232" t="s">
        <v>167</v>
      </c>
    </row>
    <row r="771" spans="1:6" ht="17" x14ac:dyDescent="0.25">
      <c r="A771" s="232"/>
      <c r="B771" s="233" t="s">
        <v>979</v>
      </c>
      <c r="D771" s="234">
        <v>0.8</v>
      </c>
      <c r="E771" s="234" t="s">
        <v>172</v>
      </c>
      <c r="F771" s="296" t="s">
        <v>220</v>
      </c>
    </row>
    <row r="772" spans="1:6" ht="14" x14ac:dyDescent="0.15">
      <c r="A772" s="232"/>
      <c r="B772" s="233" t="s">
        <v>221</v>
      </c>
      <c r="D772" s="234">
        <v>0.6</v>
      </c>
      <c r="E772" s="234" t="s">
        <v>172</v>
      </c>
      <c r="F772" s="296" t="s">
        <v>220</v>
      </c>
    </row>
    <row r="773" spans="1:6" ht="17" x14ac:dyDescent="0.25">
      <c r="B773" s="233" t="s">
        <v>955</v>
      </c>
      <c r="D773" s="235">
        <f>(1-D771)+D771*D772</f>
        <v>0.67999999999999994</v>
      </c>
      <c r="E773" s="234" t="s">
        <v>172</v>
      </c>
      <c r="F773" s="296" t="s">
        <v>222</v>
      </c>
    </row>
    <row r="774" spans="1:6" ht="17" x14ac:dyDescent="0.25">
      <c r="B774" s="233" t="s">
        <v>956</v>
      </c>
      <c r="D774" s="236">
        <v>0.8</v>
      </c>
      <c r="E774" s="234" t="s">
        <v>172</v>
      </c>
      <c r="F774" s="296" t="s">
        <v>87</v>
      </c>
    </row>
    <row r="775" spans="1:6" ht="17" x14ac:dyDescent="0.25">
      <c r="B775" s="233" t="s">
        <v>957</v>
      </c>
      <c r="D775" s="237">
        <f>'Energy Balance'!Q24</f>
        <v>3.4000000000000004</v>
      </c>
      <c r="E775" s="234" t="s">
        <v>172</v>
      </c>
      <c r="F775" s="296" t="s">
        <v>173</v>
      </c>
    </row>
    <row r="776" spans="1:6" x14ac:dyDescent="0.15">
      <c r="A776" s="232" t="s">
        <v>174</v>
      </c>
    </row>
    <row r="777" spans="1:6" ht="17" x14ac:dyDescent="0.25">
      <c r="B777" s="233" t="s">
        <v>958</v>
      </c>
    </row>
    <row r="778" spans="1:6" ht="14" x14ac:dyDescent="0.15">
      <c r="A778" s="250"/>
      <c r="C778" s="250" t="s">
        <v>223</v>
      </c>
      <c r="D778" s="234">
        <v>2130</v>
      </c>
      <c r="E778" s="234" t="s">
        <v>175</v>
      </c>
      <c r="F778" s="296" t="s">
        <v>208</v>
      </c>
    </row>
    <row r="779" spans="1:6" ht="14" x14ac:dyDescent="0.15">
      <c r="A779" s="250"/>
      <c r="C779" s="250" t="s">
        <v>253</v>
      </c>
      <c r="D779" s="236">
        <v>0.35</v>
      </c>
      <c r="E779" s="234" t="s">
        <v>111</v>
      </c>
      <c r="F779" s="298" t="s">
        <v>1016</v>
      </c>
    </row>
    <row r="780" spans="1:6" ht="14" x14ac:dyDescent="0.15">
      <c r="A780" s="250"/>
      <c r="C780" s="250" t="s">
        <v>231</v>
      </c>
      <c r="D780" s="238">
        <f>D778*D779</f>
        <v>745.5</v>
      </c>
      <c r="E780" s="234" t="s">
        <v>175</v>
      </c>
      <c r="F780" s="296" t="s">
        <v>66</v>
      </c>
    </row>
    <row r="781" spans="1:6" ht="17" x14ac:dyDescent="0.25">
      <c r="B781" s="233" t="s">
        <v>959</v>
      </c>
      <c r="D781" s="239">
        <f>D771*D772</f>
        <v>0.48</v>
      </c>
      <c r="E781" s="234" t="s">
        <v>111</v>
      </c>
      <c r="F781" s="296" t="s">
        <v>222</v>
      </c>
    </row>
    <row r="782" spans="1:6" ht="17" x14ac:dyDescent="0.25">
      <c r="B782" s="233" t="s">
        <v>960</v>
      </c>
      <c r="D782" s="239">
        <v>0</v>
      </c>
      <c r="E782" s="234" t="s">
        <v>111</v>
      </c>
      <c r="F782" s="296" t="s">
        <v>185</v>
      </c>
    </row>
    <row r="783" spans="1:6" ht="17" x14ac:dyDescent="0.25">
      <c r="B783" s="233" t="s">
        <v>961</v>
      </c>
      <c r="D783" s="240">
        <f>'Energy Balance'!D24</f>
        <v>0</v>
      </c>
      <c r="E783" s="234" t="s">
        <v>175</v>
      </c>
      <c r="F783" s="296" t="s">
        <v>947</v>
      </c>
    </row>
    <row r="784" spans="1:6" ht="17" x14ac:dyDescent="0.25">
      <c r="B784" s="233" t="s">
        <v>962</v>
      </c>
    </row>
    <row r="785" spans="1:6" ht="14" x14ac:dyDescent="0.15">
      <c r="C785" s="233" t="s">
        <v>246</v>
      </c>
      <c r="D785" s="234">
        <v>60</v>
      </c>
      <c r="E785" s="234" t="s">
        <v>175</v>
      </c>
      <c r="F785" s="296" t="s">
        <v>204</v>
      </c>
    </row>
    <row r="786" spans="1:6" ht="14" x14ac:dyDescent="0.15">
      <c r="C786" s="233" t="s">
        <v>247</v>
      </c>
      <c r="D786" s="234">
        <v>60</v>
      </c>
      <c r="E786" s="234" t="s">
        <v>175</v>
      </c>
      <c r="F786" s="296" t="s">
        <v>204</v>
      </c>
    </row>
    <row r="787" spans="1:6" ht="14" x14ac:dyDescent="0.15">
      <c r="C787" s="233" t="s">
        <v>228</v>
      </c>
      <c r="D787" s="235">
        <f>SUM(D785:D786)</f>
        <v>120</v>
      </c>
      <c r="E787" s="234" t="s">
        <v>175</v>
      </c>
      <c r="F787" s="296" t="s">
        <v>66</v>
      </c>
    </row>
    <row r="788" spans="1:6" ht="17" x14ac:dyDescent="0.25">
      <c r="B788" s="233" t="s">
        <v>963</v>
      </c>
      <c r="D788" s="235">
        <v>0</v>
      </c>
      <c r="E788" s="234" t="s">
        <v>175</v>
      </c>
      <c r="F788" s="296" t="s">
        <v>186</v>
      </c>
    </row>
    <row r="789" spans="1:6" ht="17" x14ac:dyDescent="0.25">
      <c r="B789" s="233" t="s">
        <v>964</v>
      </c>
      <c r="D789" s="241">
        <f>'Energy Balance'!S24</f>
        <v>460.41116811775441</v>
      </c>
      <c r="E789" s="234" t="s">
        <v>175</v>
      </c>
      <c r="F789" s="296" t="s">
        <v>948</v>
      </c>
    </row>
    <row r="790" spans="1:6" ht="17" x14ac:dyDescent="0.25">
      <c r="B790" s="233" t="s">
        <v>965</v>
      </c>
    </row>
    <row r="791" spans="1:6" ht="14" x14ac:dyDescent="0.15">
      <c r="A791" s="250"/>
      <c r="C791" s="250" t="s">
        <v>248</v>
      </c>
      <c r="D791" s="234">
        <v>1278</v>
      </c>
      <c r="E791" s="234" t="s">
        <v>175</v>
      </c>
      <c r="F791" s="296" t="s">
        <v>204</v>
      </c>
    </row>
    <row r="792" spans="1:6" ht="14" x14ac:dyDescent="0.15">
      <c r="A792" s="250"/>
      <c r="C792" s="250" t="s">
        <v>249</v>
      </c>
      <c r="D792" s="251">
        <f>D791*3412/1000000</f>
        <v>4.3605359999999997</v>
      </c>
      <c r="E792" s="234" t="s">
        <v>178</v>
      </c>
      <c r="F792" s="296" t="s">
        <v>225</v>
      </c>
    </row>
    <row r="793" spans="1:6" ht="14" x14ac:dyDescent="0.15">
      <c r="A793" s="250"/>
      <c r="C793" s="250" t="s">
        <v>252</v>
      </c>
      <c r="D793" s="236">
        <v>0.38</v>
      </c>
      <c r="E793" s="234" t="s">
        <v>111</v>
      </c>
      <c r="F793" s="298" t="s">
        <v>1016</v>
      </c>
    </row>
    <row r="794" spans="1:6" ht="14" x14ac:dyDescent="0.15">
      <c r="A794" s="250"/>
      <c r="C794" s="250" t="s">
        <v>254</v>
      </c>
      <c r="D794" s="254">
        <f>D778*D793</f>
        <v>809.4</v>
      </c>
      <c r="E794" s="234" t="s">
        <v>175</v>
      </c>
      <c r="F794" s="296" t="s">
        <v>66</v>
      </c>
    </row>
    <row r="795" spans="1:6" ht="14" x14ac:dyDescent="0.15">
      <c r="A795" s="250"/>
      <c r="C795" s="250" t="s">
        <v>224</v>
      </c>
      <c r="D795" s="251">
        <f>D794*3412/1000000</f>
        <v>2.7616727999999999</v>
      </c>
      <c r="E795" s="234" t="s">
        <v>178</v>
      </c>
      <c r="F795" s="296" t="s">
        <v>225</v>
      </c>
    </row>
    <row r="796" spans="1:6" ht="14" x14ac:dyDescent="0.15">
      <c r="A796" s="250"/>
      <c r="C796" s="250" t="s">
        <v>250</v>
      </c>
      <c r="D796" s="254">
        <v>426</v>
      </c>
      <c r="E796" s="234" t="s">
        <v>175</v>
      </c>
      <c r="F796" s="296" t="s">
        <v>204</v>
      </c>
    </row>
    <row r="797" spans="1:6" ht="14" x14ac:dyDescent="0.15">
      <c r="A797" s="250"/>
      <c r="C797" s="250" t="s">
        <v>251</v>
      </c>
      <c r="D797" s="251">
        <f>D796*3412/1000000</f>
        <v>1.4535119999999999</v>
      </c>
      <c r="E797" s="234" t="s">
        <v>178</v>
      </c>
      <c r="F797" s="296" t="s">
        <v>225</v>
      </c>
    </row>
    <row r="798" spans="1:6" ht="14" x14ac:dyDescent="0.15">
      <c r="A798" s="250"/>
      <c r="C798" s="250" t="s">
        <v>232</v>
      </c>
      <c r="D798" s="247">
        <f>D792-D795-D797</f>
        <v>0.1453511999999999</v>
      </c>
      <c r="E798" s="234" t="s">
        <v>178</v>
      </c>
      <c r="F798" s="296" t="s">
        <v>66</v>
      </c>
    </row>
    <row r="799" spans="1:6" ht="17" x14ac:dyDescent="0.25">
      <c r="B799" s="233" t="s">
        <v>966</v>
      </c>
      <c r="D799" s="241">
        <f>'Energy Balance'!Y24</f>
        <v>66.873892640231304</v>
      </c>
      <c r="E799" s="234" t="s">
        <v>175</v>
      </c>
      <c r="F799" s="296" t="s">
        <v>176</v>
      </c>
    </row>
    <row r="800" spans="1:6" ht="17" x14ac:dyDescent="0.25">
      <c r="A800" s="232" t="s">
        <v>967</v>
      </c>
    </row>
    <row r="801" spans="1:6" ht="17" x14ac:dyDescent="0.25">
      <c r="B801" s="233" t="s">
        <v>968</v>
      </c>
      <c r="D801" s="241">
        <f>GWP!P22</f>
        <v>2039.9999999999995</v>
      </c>
      <c r="E801" s="234" t="s">
        <v>969</v>
      </c>
      <c r="F801" s="296" t="s">
        <v>949</v>
      </c>
    </row>
    <row r="802" spans="1:6" ht="17" x14ac:dyDescent="0.25">
      <c r="B802" s="233" t="s">
        <v>970</v>
      </c>
      <c r="D802" s="242">
        <v>0</v>
      </c>
      <c r="E802" s="234" t="s">
        <v>172</v>
      </c>
      <c r="F802" s="296" t="s">
        <v>190</v>
      </c>
    </row>
    <row r="803" spans="1:6" ht="17" x14ac:dyDescent="0.25">
      <c r="B803" s="233" t="s">
        <v>971</v>
      </c>
      <c r="D803" s="244">
        <f>GWP!R22</f>
        <v>0</v>
      </c>
      <c r="E803" s="234" t="s">
        <v>969</v>
      </c>
      <c r="F803" s="296" t="s">
        <v>193</v>
      </c>
    </row>
    <row r="804" spans="1:6" ht="17" x14ac:dyDescent="0.25">
      <c r="B804" s="233" t="s">
        <v>972</v>
      </c>
      <c r="D804" s="235">
        <v>0</v>
      </c>
      <c r="E804" s="234" t="s">
        <v>172</v>
      </c>
      <c r="F804" s="296" t="s">
        <v>192</v>
      </c>
    </row>
    <row r="805" spans="1:6" ht="17" x14ac:dyDescent="0.25">
      <c r="B805" s="233" t="s">
        <v>973</v>
      </c>
      <c r="D805" s="243">
        <f>GWP!T22</f>
        <v>0</v>
      </c>
      <c r="E805" s="234" t="s">
        <v>969</v>
      </c>
      <c r="F805" s="296" t="s">
        <v>919</v>
      </c>
    </row>
    <row r="806" spans="1:6" ht="17" x14ac:dyDescent="0.25">
      <c r="B806" s="233" t="s">
        <v>974</v>
      </c>
      <c r="D806" s="235">
        <v>0</v>
      </c>
      <c r="E806" s="234" t="s">
        <v>969</v>
      </c>
      <c r="F806" s="296" t="s">
        <v>200</v>
      </c>
    </row>
    <row r="807" spans="1:6" ht="17" x14ac:dyDescent="0.25">
      <c r="B807" s="233" t="s">
        <v>975</v>
      </c>
      <c r="D807" s="235">
        <v>0</v>
      </c>
      <c r="E807" s="234" t="s">
        <v>969</v>
      </c>
      <c r="F807" s="296" t="s">
        <v>190</v>
      </c>
    </row>
    <row r="808" spans="1:6" ht="17" x14ac:dyDescent="0.25">
      <c r="B808" s="233" t="s">
        <v>976</v>
      </c>
      <c r="D808" s="244">
        <f>GWP!AB22</f>
        <v>2008.61945689546</v>
      </c>
      <c r="E808" s="234" t="s">
        <v>969</v>
      </c>
      <c r="F808" s="296" t="s">
        <v>179</v>
      </c>
    </row>
    <row r="809" spans="1:6" x14ac:dyDescent="0.15">
      <c r="A809" s="232" t="s">
        <v>41</v>
      </c>
    </row>
    <row r="810" spans="1:6" ht="14" x14ac:dyDescent="0.15">
      <c r="A810" s="232"/>
      <c r="B810" s="233" t="s">
        <v>256</v>
      </c>
      <c r="D810" s="234">
        <v>300000</v>
      </c>
      <c r="E810" s="234" t="s">
        <v>835</v>
      </c>
      <c r="F810" s="296" t="s">
        <v>208</v>
      </c>
    </row>
    <row r="811" spans="1:6" ht="14" x14ac:dyDescent="0.15">
      <c r="A811" s="232"/>
      <c r="B811" s="233" t="s">
        <v>234</v>
      </c>
      <c r="D811" s="234">
        <v>320000</v>
      </c>
      <c r="E811" s="234" t="s">
        <v>835</v>
      </c>
      <c r="F811" s="296" t="s">
        <v>208</v>
      </c>
    </row>
    <row r="812" spans="1:6" ht="14" x14ac:dyDescent="0.15">
      <c r="B812" s="233" t="s">
        <v>194</v>
      </c>
      <c r="D812" s="245">
        <v>10000</v>
      </c>
      <c r="E812" s="234" t="s">
        <v>835</v>
      </c>
      <c r="F812" s="296" t="s">
        <v>208</v>
      </c>
    </row>
    <row r="813" spans="1:6" ht="14" x14ac:dyDescent="0.15">
      <c r="B813" s="233" t="s">
        <v>207</v>
      </c>
      <c r="D813" s="234">
        <f>SUM(D810:D812)</f>
        <v>630000</v>
      </c>
      <c r="E813" s="234" t="s">
        <v>835</v>
      </c>
      <c r="F813" s="296" t="s">
        <v>66</v>
      </c>
    </row>
    <row r="814" spans="1:6" ht="14" x14ac:dyDescent="0.15">
      <c r="B814" s="233" t="s">
        <v>796</v>
      </c>
      <c r="D814" s="246">
        <v>2.3E-2</v>
      </c>
      <c r="E814" s="234" t="s">
        <v>111</v>
      </c>
      <c r="F814" s="297" t="s">
        <v>797</v>
      </c>
    </row>
    <row r="815" spans="1:6" x14ac:dyDescent="0.15">
      <c r="B815" s="233" t="s">
        <v>799</v>
      </c>
      <c r="D815" s="242">
        <f>D813*(1+D814)</f>
        <v>644490</v>
      </c>
      <c r="E815" s="234" t="s">
        <v>404</v>
      </c>
      <c r="F815" s="297"/>
    </row>
    <row r="816" spans="1:6" x14ac:dyDescent="0.15">
      <c r="A816" s="232" t="s">
        <v>195</v>
      </c>
    </row>
    <row r="817" spans="1:6" x14ac:dyDescent="0.15">
      <c r="B817" s="233" t="s">
        <v>42</v>
      </c>
    </row>
    <row r="818" spans="1:6" ht="14" x14ac:dyDescent="0.15">
      <c r="C818" s="233" t="s">
        <v>256</v>
      </c>
      <c r="D818" s="234">
        <v>119</v>
      </c>
      <c r="E818" s="234" t="s">
        <v>824</v>
      </c>
      <c r="F818" s="296" t="s">
        <v>208</v>
      </c>
    </row>
    <row r="819" spans="1:6" ht="14" x14ac:dyDescent="0.15">
      <c r="C819" s="233" t="s">
        <v>234</v>
      </c>
      <c r="D819" s="234">
        <v>23</v>
      </c>
      <c r="E819" s="234" t="s">
        <v>824</v>
      </c>
      <c r="F819" s="296" t="s">
        <v>208</v>
      </c>
    </row>
    <row r="820" spans="1:6" ht="14" x14ac:dyDescent="0.15">
      <c r="C820" s="233" t="s">
        <v>227</v>
      </c>
      <c r="D820" s="234">
        <v>18</v>
      </c>
      <c r="E820" s="234" t="s">
        <v>824</v>
      </c>
      <c r="F820" s="296" t="s">
        <v>208</v>
      </c>
    </row>
    <row r="821" spans="1:6" x14ac:dyDescent="0.15">
      <c r="C821" s="233" t="s">
        <v>210</v>
      </c>
      <c r="D821" s="234">
        <f>SUM(D818:D820)</f>
        <v>160</v>
      </c>
      <c r="E821" s="234" t="s">
        <v>824</v>
      </c>
    </row>
    <row r="822" spans="1:6" ht="14" x14ac:dyDescent="0.15">
      <c r="B822" s="233" t="s">
        <v>796</v>
      </c>
      <c r="D822" s="246">
        <v>2.3E-2</v>
      </c>
      <c r="E822" s="234" t="s">
        <v>111</v>
      </c>
      <c r="F822" s="297" t="s">
        <v>797</v>
      </c>
    </row>
    <row r="823" spans="1:6" x14ac:dyDescent="0.15">
      <c r="B823" s="233" t="s">
        <v>798</v>
      </c>
      <c r="D823" s="249">
        <f>D821*(1+D822)</f>
        <v>163.67999999999998</v>
      </c>
      <c r="E823" s="234" t="s">
        <v>816</v>
      </c>
    </row>
    <row r="824" spans="1:6" ht="14" x14ac:dyDescent="0.15">
      <c r="B824" s="233" t="s">
        <v>197</v>
      </c>
      <c r="D824" s="244">
        <f>'Commercial Viability'!F25</f>
        <v>195.90566981246974</v>
      </c>
      <c r="E824" s="234" t="s">
        <v>199</v>
      </c>
      <c r="F824" s="296" t="s">
        <v>950</v>
      </c>
    </row>
    <row r="825" spans="1:6" x14ac:dyDescent="0.15">
      <c r="B825" s="233" t="s">
        <v>196</v>
      </c>
    </row>
    <row r="826" spans="1:6" ht="14" x14ac:dyDescent="0.15">
      <c r="C826" s="233" t="s">
        <v>801</v>
      </c>
      <c r="D826" s="234">
        <v>6.8099999999999994E-2</v>
      </c>
      <c r="E826" s="234" t="s">
        <v>217</v>
      </c>
      <c r="F826" s="299" t="s">
        <v>374</v>
      </c>
    </row>
    <row r="827" spans="1:6" x14ac:dyDescent="0.15">
      <c r="C827" s="233" t="s">
        <v>245</v>
      </c>
      <c r="D827" s="249">
        <f>D826*D780</f>
        <v>50.768549999999998</v>
      </c>
      <c r="E827" s="234" t="s">
        <v>199</v>
      </c>
    </row>
    <row r="828" spans="1:6" ht="14" x14ac:dyDescent="0.15">
      <c r="B828" s="233" t="s">
        <v>195</v>
      </c>
      <c r="D828" s="244">
        <f>'Commercial Viability'!H25</f>
        <v>-308.81711981246974</v>
      </c>
      <c r="E828" s="234" t="s">
        <v>199</v>
      </c>
      <c r="F828" s="296" t="s">
        <v>951</v>
      </c>
    </row>
    <row r="829" spans="1:6" x14ac:dyDescent="0.15">
      <c r="A829" s="232" t="s">
        <v>201</v>
      </c>
    </row>
    <row r="830" spans="1:6" ht="28" x14ac:dyDescent="0.15">
      <c r="B830" s="233" t="s">
        <v>6</v>
      </c>
      <c r="D830" s="235">
        <v>9</v>
      </c>
      <c r="F830" s="296" t="s">
        <v>202</v>
      </c>
    </row>
    <row r="832" spans="1:6" s="228" customFormat="1" x14ac:dyDescent="0.15">
      <c r="A832" s="225" t="s">
        <v>987</v>
      </c>
      <c r="B832" s="226"/>
      <c r="C832" s="226"/>
      <c r="D832" s="227"/>
      <c r="E832" s="227"/>
      <c r="F832" s="294"/>
    </row>
    <row r="833" spans="1:6" ht="14" x14ac:dyDescent="0.15">
      <c r="B833" s="230" t="s">
        <v>171</v>
      </c>
      <c r="C833" s="230"/>
      <c r="D833" s="231" t="s">
        <v>170</v>
      </c>
      <c r="E833" s="231" t="s">
        <v>169</v>
      </c>
      <c r="F833" s="295" t="s">
        <v>168</v>
      </c>
    </row>
    <row r="834" spans="1:6" x14ac:dyDescent="0.15">
      <c r="A834" s="232" t="s">
        <v>167</v>
      </c>
    </row>
    <row r="835" spans="1:6" ht="17" x14ac:dyDescent="0.25">
      <c r="A835" s="232"/>
      <c r="B835" s="233" t="s">
        <v>979</v>
      </c>
      <c r="D835" s="234">
        <v>0.8</v>
      </c>
      <c r="E835" s="234" t="s">
        <v>172</v>
      </c>
      <c r="F835" s="296" t="s">
        <v>220</v>
      </c>
    </row>
    <row r="836" spans="1:6" ht="14" x14ac:dyDescent="0.15">
      <c r="A836" s="232"/>
      <c r="B836" s="233" t="s">
        <v>221</v>
      </c>
      <c r="D836" s="234">
        <v>0.6</v>
      </c>
      <c r="E836" s="234" t="s">
        <v>172</v>
      </c>
      <c r="F836" s="296" t="s">
        <v>220</v>
      </c>
    </row>
    <row r="837" spans="1:6" ht="17" x14ac:dyDescent="0.25">
      <c r="B837" s="233" t="s">
        <v>955</v>
      </c>
      <c r="D837" s="235">
        <f>(1-D835)+D835*D836</f>
        <v>0.67999999999999994</v>
      </c>
      <c r="E837" s="234" t="s">
        <v>172</v>
      </c>
      <c r="F837" s="296" t="s">
        <v>222</v>
      </c>
    </row>
    <row r="838" spans="1:6" ht="17" x14ac:dyDescent="0.25">
      <c r="B838" s="233" t="s">
        <v>956</v>
      </c>
      <c r="D838" s="236">
        <v>0.8</v>
      </c>
      <c r="E838" s="234" t="s">
        <v>172</v>
      </c>
      <c r="F838" s="296" t="s">
        <v>87</v>
      </c>
    </row>
    <row r="839" spans="1:6" ht="17" x14ac:dyDescent="0.25">
      <c r="B839" s="233" t="s">
        <v>957</v>
      </c>
      <c r="D839" s="237">
        <f>'Energy Balance'!Q25</f>
        <v>3.4000000000000004</v>
      </c>
      <c r="E839" s="234" t="s">
        <v>172</v>
      </c>
      <c r="F839" s="296" t="s">
        <v>173</v>
      </c>
    </row>
    <row r="840" spans="1:6" x14ac:dyDescent="0.15">
      <c r="A840" s="232" t="s">
        <v>174</v>
      </c>
    </row>
    <row r="841" spans="1:6" ht="17" x14ac:dyDescent="0.25">
      <c r="B841" s="233" t="s">
        <v>958</v>
      </c>
    </row>
    <row r="842" spans="1:6" ht="14" x14ac:dyDescent="0.15">
      <c r="A842" s="250"/>
      <c r="C842" s="250" t="s">
        <v>223</v>
      </c>
      <c r="D842" s="234">
        <v>2130</v>
      </c>
      <c r="E842" s="234" t="s">
        <v>175</v>
      </c>
      <c r="F842" s="296" t="s">
        <v>208</v>
      </c>
    </row>
    <row r="843" spans="1:6" ht="14" x14ac:dyDescent="0.15">
      <c r="A843" s="250"/>
      <c r="C843" s="250" t="s">
        <v>253</v>
      </c>
      <c r="D843" s="236">
        <v>0.35</v>
      </c>
      <c r="E843" s="234" t="s">
        <v>111</v>
      </c>
      <c r="F843" s="298" t="s">
        <v>1016</v>
      </c>
    </row>
    <row r="844" spans="1:6" ht="14" x14ac:dyDescent="0.15">
      <c r="A844" s="250"/>
      <c r="C844" s="250" t="s">
        <v>231</v>
      </c>
      <c r="D844" s="238">
        <f>D842*D843</f>
        <v>745.5</v>
      </c>
      <c r="E844" s="234" t="s">
        <v>175</v>
      </c>
      <c r="F844" s="296" t="s">
        <v>66</v>
      </c>
    </row>
    <row r="845" spans="1:6" ht="17" x14ac:dyDescent="0.25">
      <c r="B845" s="233" t="s">
        <v>959</v>
      </c>
      <c r="D845" s="239">
        <f>D835*D836</f>
        <v>0.48</v>
      </c>
      <c r="E845" s="234" t="s">
        <v>111</v>
      </c>
      <c r="F845" s="296" t="s">
        <v>222</v>
      </c>
    </row>
    <row r="846" spans="1:6" ht="17" x14ac:dyDescent="0.25">
      <c r="B846" s="233" t="s">
        <v>960</v>
      </c>
      <c r="D846" s="239">
        <v>0.8</v>
      </c>
      <c r="E846" s="234" t="s">
        <v>111</v>
      </c>
      <c r="F846" s="296" t="s">
        <v>189</v>
      </c>
    </row>
    <row r="847" spans="1:6" ht="17" x14ac:dyDescent="0.25">
      <c r="B847" s="233" t="s">
        <v>961</v>
      </c>
      <c r="D847" s="240">
        <f>'Energy Balance'!D25</f>
        <v>499.14538666666664</v>
      </c>
      <c r="E847" s="234" t="s">
        <v>175</v>
      </c>
      <c r="F847" s="296" t="s">
        <v>947</v>
      </c>
    </row>
    <row r="848" spans="1:6" ht="17" x14ac:dyDescent="0.25">
      <c r="B848" s="233" t="s">
        <v>962</v>
      </c>
    </row>
    <row r="849" spans="1:6" x14ac:dyDescent="0.15">
      <c r="C849" s="233" t="s">
        <v>246</v>
      </c>
      <c r="D849" s="234">
        <v>60</v>
      </c>
    </row>
    <row r="850" spans="1:6" ht="14" x14ac:dyDescent="0.15">
      <c r="C850" s="233" t="s">
        <v>247</v>
      </c>
      <c r="D850" s="234">
        <v>60</v>
      </c>
      <c r="E850" s="234" t="s">
        <v>175</v>
      </c>
      <c r="F850" s="296" t="s">
        <v>204</v>
      </c>
    </row>
    <row r="851" spans="1:6" ht="14" x14ac:dyDescent="0.15">
      <c r="C851" s="233" t="s">
        <v>228</v>
      </c>
      <c r="D851" s="235">
        <f>SUM(D849:D850)</f>
        <v>120</v>
      </c>
      <c r="E851" s="234" t="s">
        <v>175</v>
      </c>
      <c r="F851" s="296" t="s">
        <v>66</v>
      </c>
    </row>
    <row r="852" spans="1:6" ht="17" x14ac:dyDescent="0.25">
      <c r="B852" s="233" t="s">
        <v>963</v>
      </c>
      <c r="D852" s="235">
        <v>0</v>
      </c>
      <c r="E852" s="234" t="s">
        <v>175</v>
      </c>
      <c r="F852" s="296" t="s">
        <v>186</v>
      </c>
    </row>
    <row r="853" spans="1:6" ht="17" x14ac:dyDescent="0.25">
      <c r="B853" s="233" t="s">
        <v>964</v>
      </c>
      <c r="D853" s="241">
        <f>'Energy Balance'!S25</f>
        <v>460.41116811775441</v>
      </c>
      <c r="E853" s="234" t="s">
        <v>175</v>
      </c>
      <c r="F853" s="296" t="s">
        <v>948</v>
      </c>
    </row>
    <row r="854" spans="1:6" ht="17" x14ac:dyDescent="0.25">
      <c r="B854" s="233" t="s">
        <v>965</v>
      </c>
    </row>
    <row r="855" spans="1:6" ht="14" x14ac:dyDescent="0.15">
      <c r="A855" s="250"/>
      <c r="C855" s="250" t="s">
        <v>248</v>
      </c>
      <c r="D855" s="234">
        <v>1278</v>
      </c>
      <c r="E855" s="234" t="s">
        <v>175</v>
      </c>
      <c r="F855" s="296" t="s">
        <v>204</v>
      </c>
    </row>
    <row r="856" spans="1:6" ht="14" x14ac:dyDescent="0.15">
      <c r="A856" s="250"/>
      <c r="C856" s="250" t="s">
        <v>249</v>
      </c>
      <c r="D856" s="251">
        <f>D855*3412/1000000</f>
        <v>4.3605359999999997</v>
      </c>
      <c r="E856" s="234" t="s">
        <v>178</v>
      </c>
      <c r="F856" s="296" t="s">
        <v>225</v>
      </c>
    </row>
    <row r="857" spans="1:6" ht="14" x14ac:dyDescent="0.15">
      <c r="A857" s="250"/>
      <c r="C857" s="250" t="s">
        <v>252</v>
      </c>
      <c r="D857" s="236">
        <v>0.38</v>
      </c>
      <c r="E857" s="234" t="s">
        <v>111</v>
      </c>
      <c r="F857" s="298" t="s">
        <v>1016</v>
      </c>
    </row>
    <row r="858" spans="1:6" ht="14" x14ac:dyDescent="0.15">
      <c r="A858" s="250"/>
      <c r="C858" s="250" t="s">
        <v>254</v>
      </c>
      <c r="D858" s="254">
        <f>D842*D857</f>
        <v>809.4</v>
      </c>
      <c r="E858" s="234" t="s">
        <v>175</v>
      </c>
      <c r="F858" s="296" t="s">
        <v>66</v>
      </c>
    </row>
    <row r="859" spans="1:6" ht="14" x14ac:dyDescent="0.15">
      <c r="A859" s="250"/>
      <c r="C859" s="250" t="s">
        <v>224</v>
      </c>
      <c r="D859" s="251">
        <f>D858*3412/1000000</f>
        <v>2.7616727999999999</v>
      </c>
      <c r="E859" s="234" t="s">
        <v>178</v>
      </c>
      <c r="F859" s="296" t="s">
        <v>225</v>
      </c>
    </row>
    <row r="860" spans="1:6" ht="14" x14ac:dyDescent="0.15">
      <c r="A860" s="250"/>
      <c r="C860" s="250" t="s">
        <v>250</v>
      </c>
      <c r="D860" s="254">
        <v>426</v>
      </c>
      <c r="E860" s="234" t="s">
        <v>175</v>
      </c>
      <c r="F860" s="296" t="s">
        <v>204</v>
      </c>
    </row>
    <row r="861" spans="1:6" ht="14" x14ac:dyDescent="0.15">
      <c r="A861" s="250"/>
      <c r="C861" s="250" t="s">
        <v>251</v>
      </c>
      <c r="D861" s="251">
        <f>D860*3412/1000000</f>
        <v>1.4535119999999999</v>
      </c>
      <c r="E861" s="234" t="s">
        <v>178</v>
      </c>
      <c r="F861" s="296" t="s">
        <v>225</v>
      </c>
    </row>
    <row r="862" spans="1:6" ht="14" x14ac:dyDescent="0.15">
      <c r="A862" s="250"/>
      <c r="C862" s="250" t="s">
        <v>232</v>
      </c>
      <c r="D862" s="247">
        <f>D856-D859-D861</f>
        <v>0.1453511999999999</v>
      </c>
      <c r="E862" s="234" t="s">
        <v>178</v>
      </c>
      <c r="F862" s="296" t="s">
        <v>66</v>
      </c>
    </row>
    <row r="863" spans="1:6" ht="17" x14ac:dyDescent="0.25">
      <c r="B863" s="233" t="s">
        <v>966</v>
      </c>
      <c r="D863" s="241">
        <f>'Energy Balance'!Y25</f>
        <v>597.11964920419473</v>
      </c>
      <c r="E863" s="234" t="s">
        <v>175</v>
      </c>
      <c r="F863" s="296" t="s">
        <v>176</v>
      </c>
    </row>
    <row r="864" spans="1:6" ht="17" x14ac:dyDescent="0.25">
      <c r="A864" s="232" t="s">
        <v>967</v>
      </c>
    </row>
    <row r="865" spans="1:6" ht="17" x14ac:dyDescent="0.25">
      <c r="B865" s="233" t="s">
        <v>968</v>
      </c>
      <c r="D865" s="241">
        <f>GWP!P23</f>
        <v>407.99999999999983</v>
      </c>
      <c r="E865" s="234" t="s">
        <v>969</v>
      </c>
      <c r="F865" s="296" t="s">
        <v>949</v>
      </c>
    </row>
    <row r="866" spans="1:6" ht="17" x14ac:dyDescent="0.25">
      <c r="B866" s="233" t="s">
        <v>970</v>
      </c>
      <c r="D866" s="242">
        <v>0</v>
      </c>
      <c r="E866" s="234" t="s">
        <v>172</v>
      </c>
      <c r="F866" s="296" t="s">
        <v>190</v>
      </c>
    </row>
    <row r="867" spans="1:6" ht="17" x14ac:dyDescent="0.25">
      <c r="B867" s="233" t="s">
        <v>971</v>
      </c>
      <c r="D867" s="244">
        <f>GWP!R23</f>
        <v>0</v>
      </c>
      <c r="E867" s="234" t="s">
        <v>969</v>
      </c>
      <c r="F867" s="296" t="s">
        <v>193</v>
      </c>
    </row>
    <row r="868" spans="1:6" ht="17" x14ac:dyDescent="0.25">
      <c r="B868" s="233" t="s">
        <v>972</v>
      </c>
      <c r="D868" s="235">
        <v>0</v>
      </c>
      <c r="E868" s="234" t="s">
        <v>172</v>
      </c>
      <c r="F868" s="296" t="s">
        <v>192</v>
      </c>
    </row>
    <row r="869" spans="1:6" ht="17" x14ac:dyDescent="0.25">
      <c r="B869" s="233" t="s">
        <v>973</v>
      </c>
      <c r="D869" s="243">
        <f>GWP!T23</f>
        <v>0</v>
      </c>
      <c r="E869" s="234" t="s">
        <v>969</v>
      </c>
      <c r="F869" s="296" t="s">
        <v>919</v>
      </c>
    </row>
    <row r="870" spans="1:6" ht="17" x14ac:dyDescent="0.25">
      <c r="B870" s="233" t="s">
        <v>974</v>
      </c>
      <c r="D870" s="235">
        <v>0</v>
      </c>
      <c r="E870" s="234" t="s">
        <v>969</v>
      </c>
      <c r="F870" s="296" t="s">
        <v>200</v>
      </c>
    </row>
    <row r="871" spans="1:6" ht="17" x14ac:dyDescent="0.25">
      <c r="B871" s="233" t="s">
        <v>975</v>
      </c>
      <c r="D871" s="235">
        <v>0</v>
      </c>
      <c r="E871" s="234" t="s">
        <v>969</v>
      </c>
      <c r="F871" s="296" t="s">
        <v>190</v>
      </c>
    </row>
    <row r="872" spans="1:6" ht="17" x14ac:dyDescent="0.25">
      <c r="B872" s="233" t="s">
        <v>976</v>
      </c>
      <c r="D872" s="244">
        <f>GWP!AB23</f>
        <v>170.02225294370783</v>
      </c>
      <c r="E872" s="234" t="s">
        <v>969</v>
      </c>
      <c r="F872" s="296" t="s">
        <v>179</v>
      </c>
    </row>
    <row r="873" spans="1:6" x14ac:dyDescent="0.15">
      <c r="A873" s="232" t="s">
        <v>41</v>
      </c>
    </row>
    <row r="874" spans="1:6" ht="14" x14ac:dyDescent="0.15">
      <c r="A874" s="232"/>
      <c r="B874" s="233" t="s">
        <v>256</v>
      </c>
      <c r="D874" s="234">
        <v>300000</v>
      </c>
      <c r="E874" s="234" t="s">
        <v>835</v>
      </c>
      <c r="F874" s="296" t="s">
        <v>208</v>
      </c>
    </row>
    <row r="875" spans="1:6" ht="14" x14ac:dyDescent="0.15">
      <c r="A875" s="232"/>
      <c r="B875" s="233" t="s">
        <v>234</v>
      </c>
      <c r="D875" s="234">
        <v>320000</v>
      </c>
      <c r="E875" s="234" t="s">
        <v>835</v>
      </c>
      <c r="F875" s="296" t="s">
        <v>208</v>
      </c>
    </row>
    <row r="876" spans="1:6" ht="14" x14ac:dyDescent="0.15">
      <c r="B876" s="233" t="s">
        <v>194</v>
      </c>
      <c r="D876" s="245">
        <v>10000</v>
      </c>
      <c r="E876" s="234" t="s">
        <v>835</v>
      </c>
      <c r="F876" s="296" t="s">
        <v>208</v>
      </c>
    </row>
    <row r="877" spans="1:6" ht="14" x14ac:dyDescent="0.15">
      <c r="B877" s="233" t="s">
        <v>207</v>
      </c>
      <c r="D877" s="234">
        <f>SUM(D874:D876)</f>
        <v>630000</v>
      </c>
      <c r="E877" s="234" t="s">
        <v>835</v>
      </c>
      <c r="F877" s="296" t="s">
        <v>66</v>
      </c>
    </row>
    <row r="878" spans="1:6" ht="14" x14ac:dyDescent="0.15">
      <c r="B878" s="233" t="s">
        <v>796</v>
      </c>
      <c r="D878" s="246">
        <v>2.3E-2</v>
      </c>
      <c r="E878" s="234" t="s">
        <v>111</v>
      </c>
      <c r="F878" s="297" t="s">
        <v>797</v>
      </c>
    </row>
    <row r="879" spans="1:6" x14ac:dyDescent="0.15">
      <c r="B879" s="233" t="s">
        <v>799</v>
      </c>
      <c r="D879" s="242">
        <f>D877*(1+D878)</f>
        <v>644490</v>
      </c>
      <c r="E879" s="234" t="s">
        <v>404</v>
      </c>
      <c r="F879" s="297"/>
    </row>
    <row r="880" spans="1:6" x14ac:dyDescent="0.15">
      <c r="A880" s="232" t="s">
        <v>195</v>
      </c>
    </row>
    <row r="881" spans="1:6" x14ac:dyDescent="0.15">
      <c r="B881" s="233" t="s">
        <v>42</v>
      </c>
    </row>
    <row r="882" spans="1:6" ht="14" x14ac:dyDescent="0.15">
      <c r="C882" s="233" t="s">
        <v>256</v>
      </c>
      <c r="D882" s="234">
        <v>119</v>
      </c>
      <c r="E882" s="234" t="s">
        <v>824</v>
      </c>
      <c r="F882" s="296" t="s">
        <v>208</v>
      </c>
    </row>
    <row r="883" spans="1:6" ht="14" x14ac:dyDescent="0.15">
      <c r="C883" s="233" t="s">
        <v>234</v>
      </c>
      <c r="D883" s="234">
        <v>23</v>
      </c>
      <c r="E883" s="234" t="s">
        <v>824</v>
      </c>
      <c r="F883" s="296" t="s">
        <v>208</v>
      </c>
    </row>
    <row r="884" spans="1:6" ht="14" x14ac:dyDescent="0.15">
      <c r="C884" s="233" t="s">
        <v>227</v>
      </c>
      <c r="D884" s="234">
        <v>18</v>
      </c>
      <c r="E884" s="234" t="s">
        <v>824</v>
      </c>
      <c r="F884" s="296" t="s">
        <v>208</v>
      </c>
    </row>
    <row r="885" spans="1:6" x14ac:dyDescent="0.15">
      <c r="C885" s="233" t="s">
        <v>210</v>
      </c>
      <c r="D885" s="234">
        <f>SUM(D882:D884)</f>
        <v>160</v>
      </c>
      <c r="E885" s="234" t="s">
        <v>824</v>
      </c>
    </row>
    <row r="886" spans="1:6" ht="14" x14ac:dyDescent="0.15">
      <c r="B886" s="233" t="s">
        <v>796</v>
      </c>
      <c r="D886" s="246">
        <v>2.3E-2</v>
      </c>
      <c r="E886" s="234" t="s">
        <v>111</v>
      </c>
      <c r="F886" s="297" t="s">
        <v>797</v>
      </c>
    </row>
    <row r="887" spans="1:6" x14ac:dyDescent="0.15">
      <c r="B887" s="233" t="s">
        <v>798</v>
      </c>
      <c r="D887" s="247">
        <f>D885*(1+D886)</f>
        <v>163.67999999999998</v>
      </c>
      <c r="E887" s="234" t="s">
        <v>816</v>
      </c>
    </row>
    <row r="888" spans="1:6" ht="14" x14ac:dyDescent="0.15">
      <c r="B888" s="233" t="s">
        <v>197</v>
      </c>
      <c r="D888" s="244">
        <f>'Commercial Viability'!F26</f>
        <v>195.90566981246974</v>
      </c>
      <c r="E888" s="234" t="s">
        <v>199</v>
      </c>
      <c r="F888" s="296" t="s">
        <v>950</v>
      </c>
    </row>
    <row r="889" spans="1:6" x14ac:dyDescent="0.15">
      <c r="B889" s="233" t="s">
        <v>196</v>
      </c>
    </row>
    <row r="890" spans="1:6" ht="14" x14ac:dyDescent="0.15">
      <c r="C890" s="233" t="s">
        <v>801</v>
      </c>
      <c r="D890" s="234">
        <v>6.8099999999999994E-2</v>
      </c>
      <c r="E890" s="234" t="s">
        <v>217</v>
      </c>
      <c r="F890" s="299" t="s">
        <v>374</v>
      </c>
    </row>
    <row r="891" spans="1:6" x14ac:dyDescent="0.15">
      <c r="C891" s="233" t="s">
        <v>245</v>
      </c>
      <c r="D891" s="249">
        <f>D890*D844</f>
        <v>50.768549999999998</v>
      </c>
      <c r="E891" s="234" t="s">
        <v>199</v>
      </c>
    </row>
    <row r="892" spans="1:6" ht="14" x14ac:dyDescent="0.15">
      <c r="B892" s="233" t="s">
        <v>195</v>
      </c>
      <c r="D892" s="244">
        <f>'Commercial Viability'!H26</f>
        <v>-308.81711981246974</v>
      </c>
      <c r="E892" s="234" t="s">
        <v>199</v>
      </c>
      <c r="F892" s="296" t="s">
        <v>951</v>
      </c>
    </row>
    <row r="893" spans="1:6" x14ac:dyDescent="0.15">
      <c r="A893" s="232" t="s">
        <v>201</v>
      </c>
    </row>
    <row r="894" spans="1:6" ht="28" x14ac:dyDescent="0.15">
      <c r="B894" s="233" t="s">
        <v>6</v>
      </c>
      <c r="D894" s="235">
        <v>9</v>
      </c>
      <c r="F894" s="296" t="s">
        <v>202</v>
      </c>
    </row>
    <row r="895" spans="1:6" x14ac:dyDescent="0.15">
      <c r="D895" s="235"/>
    </row>
    <row r="896" spans="1:6" s="228" customFormat="1" x14ac:dyDescent="0.15">
      <c r="A896" s="225" t="s">
        <v>988</v>
      </c>
      <c r="B896" s="226"/>
      <c r="C896" s="226"/>
      <c r="D896" s="227"/>
      <c r="E896" s="227"/>
      <c r="F896" s="294"/>
    </row>
    <row r="897" spans="1:6" ht="14" x14ac:dyDescent="0.15">
      <c r="B897" s="230" t="s">
        <v>171</v>
      </c>
      <c r="C897" s="230"/>
      <c r="D897" s="231" t="s">
        <v>170</v>
      </c>
      <c r="E897" s="231" t="s">
        <v>169</v>
      </c>
      <c r="F897" s="295" t="s">
        <v>168</v>
      </c>
    </row>
    <row r="898" spans="1:6" x14ac:dyDescent="0.15">
      <c r="A898" s="232" t="s">
        <v>167</v>
      </c>
    </row>
    <row r="899" spans="1:6" ht="17" x14ac:dyDescent="0.25">
      <c r="A899" s="232"/>
      <c r="B899" s="233" t="s">
        <v>979</v>
      </c>
      <c r="D899" s="234">
        <v>0.8</v>
      </c>
      <c r="E899" s="234" t="s">
        <v>172</v>
      </c>
      <c r="F899" s="296" t="s">
        <v>220</v>
      </c>
    </row>
    <row r="900" spans="1:6" ht="14" x14ac:dyDescent="0.15">
      <c r="A900" s="232"/>
      <c r="B900" s="233" t="s">
        <v>221</v>
      </c>
      <c r="D900" s="234">
        <v>0.6</v>
      </c>
      <c r="E900" s="234" t="s">
        <v>172</v>
      </c>
      <c r="F900" s="296" t="s">
        <v>220</v>
      </c>
    </row>
    <row r="901" spans="1:6" ht="17" x14ac:dyDescent="0.25">
      <c r="B901" s="233" t="s">
        <v>955</v>
      </c>
      <c r="D901" s="235">
        <f>(1-D899)+D899*D900</f>
        <v>0.67999999999999994</v>
      </c>
      <c r="E901" s="234" t="s">
        <v>172</v>
      </c>
      <c r="F901" s="296" t="s">
        <v>222</v>
      </c>
    </row>
    <row r="902" spans="1:6" ht="17" x14ac:dyDescent="0.25">
      <c r="B902" s="233" t="s">
        <v>956</v>
      </c>
      <c r="D902" s="236">
        <v>0.8</v>
      </c>
      <c r="E902" s="234" t="s">
        <v>172</v>
      </c>
      <c r="F902" s="296" t="s">
        <v>87</v>
      </c>
    </row>
    <row r="903" spans="1:6" ht="17" x14ac:dyDescent="0.25">
      <c r="B903" s="233" t="s">
        <v>957</v>
      </c>
      <c r="D903" s="237">
        <f>'Energy Balance'!Q26</f>
        <v>3.4000000000000004</v>
      </c>
      <c r="E903" s="234" t="s">
        <v>172</v>
      </c>
      <c r="F903" s="296" t="s">
        <v>173</v>
      </c>
    </row>
    <row r="904" spans="1:6" x14ac:dyDescent="0.15">
      <c r="A904" s="232" t="s">
        <v>174</v>
      </c>
    </row>
    <row r="905" spans="1:6" ht="17" x14ac:dyDescent="0.25">
      <c r="B905" s="233" t="s">
        <v>958</v>
      </c>
    </row>
    <row r="906" spans="1:6" ht="14" x14ac:dyDescent="0.15">
      <c r="A906" s="250"/>
      <c r="C906" s="250" t="s">
        <v>223</v>
      </c>
      <c r="D906" s="234">
        <v>2130</v>
      </c>
      <c r="E906" s="234" t="s">
        <v>175</v>
      </c>
      <c r="F906" s="296" t="s">
        <v>208</v>
      </c>
    </row>
    <row r="907" spans="1:6" ht="14" x14ac:dyDescent="0.15">
      <c r="A907" s="250"/>
      <c r="C907" s="250" t="s">
        <v>253</v>
      </c>
      <c r="D907" s="236">
        <v>0.35</v>
      </c>
      <c r="E907" s="234" t="s">
        <v>111</v>
      </c>
      <c r="F907" s="298" t="s">
        <v>1016</v>
      </c>
    </row>
    <row r="908" spans="1:6" ht="14" x14ac:dyDescent="0.15">
      <c r="A908" s="250"/>
      <c r="C908" s="250" t="s">
        <v>231</v>
      </c>
      <c r="D908" s="238">
        <f>D906*D907</f>
        <v>745.5</v>
      </c>
      <c r="E908" s="234" t="s">
        <v>175</v>
      </c>
      <c r="F908" s="296" t="s">
        <v>66</v>
      </c>
    </row>
    <row r="909" spans="1:6" ht="17" x14ac:dyDescent="0.25">
      <c r="B909" s="233" t="s">
        <v>959</v>
      </c>
      <c r="D909" s="239">
        <v>0</v>
      </c>
      <c r="E909" s="234" t="s">
        <v>111</v>
      </c>
      <c r="F909" s="296" t="s">
        <v>212</v>
      </c>
    </row>
    <row r="910" spans="1:6" ht="17" x14ac:dyDescent="0.25">
      <c r="B910" s="233" t="s">
        <v>960</v>
      </c>
      <c r="D910" s="239">
        <v>0</v>
      </c>
      <c r="E910" s="234" t="s">
        <v>111</v>
      </c>
      <c r="F910" s="296" t="s">
        <v>212</v>
      </c>
    </row>
    <row r="911" spans="1:6" ht="17" x14ac:dyDescent="0.25">
      <c r="B911" s="233" t="s">
        <v>961</v>
      </c>
      <c r="D911" s="240">
        <f>'Energy Balance'!D26</f>
        <v>0</v>
      </c>
      <c r="E911" s="234" t="s">
        <v>175</v>
      </c>
      <c r="F911" s="296" t="s">
        <v>947</v>
      </c>
    </row>
    <row r="912" spans="1:6" ht="17" x14ac:dyDescent="0.25">
      <c r="B912" s="233" t="s">
        <v>962</v>
      </c>
    </row>
    <row r="913" spans="1:6" x14ac:dyDescent="0.15">
      <c r="C913" s="233" t="s">
        <v>246</v>
      </c>
      <c r="D913" s="234">
        <v>60</v>
      </c>
    </row>
    <row r="914" spans="1:6" ht="14" x14ac:dyDescent="0.15">
      <c r="C914" s="233" t="s">
        <v>247</v>
      </c>
      <c r="D914" s="234">
        <v>60</v>
      </c>
      <c r="E914" s="234" t="s">
        <v>175</v>
      </c>
      <c r="F914" s="296" t="s">
        <v>204</v>
      </c>
    </row>
    <row r="915" spans="1:6" ht="14" x14ac:dyDescent="0.15">
      <c r="C915" s="233" t="s">
        <v>228</v>
      </c>
      <c r="D915" s="235">
        <f>SUM(D913:D914)</f>
        <v>120</v>
      </c>
      <c r="E915" s="234" t="s">
        <v>175</v>
      </c>
      <c r="F915" s="296" t="s">
        <v>66</v>
      </c>
    </row>
    <row r="916" spans="1:6" ht="17" x14ac:dyDescent="0.25">
      <c r="B916" s="233" t="s">
        <v>963</v>
      </c>
      <c r="D916" s="235">
        <v>0</v>
      </c>
      <c r="E916" s="234" t="s">
        <v>175</v>
      </c>
      <c r="F916" s="296" t="s">
        <v>186</v>
      </c>
    </row>
    <row r="917" spans="1:6" ht="17" x14ac:dyDescent="0.25">
      <c r="B917" s="233" t="s">
        <v>964</v>
      </c>
      <c r="D917" s="241">
        <f>'Energy Balance'!S26</f>
        <v>460.41116811775441</v>
      </c>
      <c r="E917" s="234" t="s">
        <v>175</v>
      </c>
      <c r="F917" s="296" t="s">
        <v>948</v>
      </c>
    </row>
    <row r="918" spans="1:6" ht="17" x14ac:dyDescent="0.25">
      <c r="B918" s="233" t="s">
        <v>965</v>
      </c>
    </row>
    <row r="919" spans="1:6" ht="14" x14ac:dyDescent="0.15">
      <c r="A919" s="250"/>
      <c r="C919" s="250" t="s">
        <v>248</v>
      </c>
      <c r="D919" s="234">
        <v>1278</v>
      </c>
      <c r="E919" s="234" t="s">
        <v>175</v>
      </c>
      <c r="F919" s="296" t="s">
        <v>204</v>
      </c>
    </row>
    <row r="920" spans="1:6" ht="14" x14ac:dyDescent="0.15">
      <c r="A920" s="250"/>
      <c r="C920" s="250" t="s">
        <v>249</v>
      </c>
      <c r="D920" s="251">
        <v>4.3605359999999997</v>
      </c>
      <c r="E920" s="234" t="s">
        <v>178</v>
      </c>
      <c r="F920" s="296" t="s">
        <v>225</v>
      </c>
    </row>
    <row r="921" spans="1:6" ht="14" x14ac:dyDescent="0.15">
      <c r="A921" s="250"/>
      <c r="C921" s="250" t="s">
        <v>252</v>
      </c>
      <c r="D921" s="236">
        <v>0.38</v>
      </c>
      <c r="E921" s="234" t="s">
        <v>111</v>
      </c>
      <c r="F921" s="298" t="s">
        <v>1016</v>
      </c>
    </row>
    <row r="922" spans="1:6" ht="14" x14ac:dyDescent="0.15">
      <c r="A922" s="250"/>
      <c r="C922" s="250" t="s">
        <v>254</v>
      </c>
      <c r="D922" s="254">
        <v>350.38499999999999</v>
      </c>
      <c r="E922" s="234" t="s">
        <v>175</v>
      </c>
      <c r="F922" s="296" t="s">
        <v>66</v>
      </c>
    </row>
    <row r="923" spans="1:6" ht="14" x14ac:dyDescent="0.15">
      <c r="A923" s="250"/>
      <c r="C923" s="250" t="s">
        <v>224</v>
      </c>
      <c r="D923" s="251">
        <v>1.1955136199999998</v>
      </c>
      <c r="E923" s="234" t="s">
        <v>178</v>
      </c>
      <c r="F923" s="296" t="s">
        <v>225</v>
      </c>
    </row>
    <row r="924" spans="1:6" ht="14" x14ac:dyDescent="0.15">
      <c r="A924" s="250"/>
      <c r="C924" s="250" t="s">
        <v>250</v>
      </c>
      <c r="D924" s="254">
        <v>426</v>
      </c>
      <c r="E924" s="234" t="s">
        <v>175</v>
      </c>
      <c r="F924" s="296" t="s">
        <v>204</v>
      </c>
    </row>
    <row r="925" spans="1:6" ht="14" x14ac:dyDescent="0.15">
      <c r="A925" s="250"/>
      <c r="C925" s="250" t="s">
        <v>251</v>
      </c>
      <c r="D925" s="251">
        <v>1.4535119999999999</v>
      </c>
      <c r="E925" s="234" t="s">
        <v>178</v>
      </c>
      <c r="F925" s="296" t="s">
        <v>225</v>
      </c>
    </row>
    <row r="926" spans="1:6" ht="14" x14ac:dyDescent="0.15">
      <c r="A926" s="250"/>
      <c r="C926" s="250" t="s">
        <v>232</v>
      </c>
      <c r="D926" s="247">
        <f>D920-D923-D925</f>
        <v>1.71151038</v>
      </c>
      <c r="E926" s="234" t="s">
        <v>178</v>
      </c>
      <c r="F926" s="296" t="s">
        <v>66</v>
      </c>
    </row>
    <row r="927" spans="1:6" ht="17" x14ac:dyDescent="0.25">
      <c r="B927" s="233" t="s">
        <v>966</v>
      </c>
      <c r="D927" s="241">
        <f>'Energy Balance'!Y26</f>
        <v>-419.14198971270991</v>
      </c>
      <c r="E927" s="234" t="s">
        <v>175</v>
      </c>
      <c r="F927" s="296" t="s">
        <v>176</v>
      </c>
    </row>
    <row r="928" spans="1:6" ht="17" x14ac:dyDescent="0.25">
      <c r="A928" s="232" t="s">
        <v>967</v>
      </c>
    </row>
    <row r="929" spans="1:6" ht="17" x14ac:dyDescent="0.25">
      <c r="B929" s="233" t="s">
        <v>968</v>
      </c>
      <c r="D929" s="241">
        <f>GWP!P24</f>
        <v>0</v>
      </c>
      <c r="E929" s="234" t="s">
        <v>969</v>
      </c>
      <c r="F929" s="296" t="s">
        <v>949</v>
      </c>
    </row>
    <row r="930" spans="1:6" ht="17" x14ac:dyDescent="0.25">
      <c r="B930" s="233" t="s">
        <v>970</v>
      </c>
      <c r="D930" s="252">
        <f>D901</f>
        <v>0.67999999999999994</v>
      </c>
      <c r="E930" s="234" t="s">
        <v>172</v>
      </c>
      <c r="F930" s="296" t="s">
        <v>257</v>
      </c>
    </row>
    <row r="931" spans="1:6" ht="17" x14ac:dyDescent="0.25">
      <c r="B931" s="233" t="s">
        <v>971</v>
      </c>
      <c r="D931" s="244">
        <f>GWP!R24</f>
        <v>152.84845714285711</v>
      </c>
      <c r="E931" s="234" t="s">
        <v>969</v>
      </c>
      <c r="F931" s="296" t="s">
        <v>193</v>
      </c>
    </row>
    <row r="932" spans="1:6" ht="17" x14ac:dyDescent="0.25">
      <c r="B932" s="233" t="s">
        <v>972</v>
      </c>
      <c r="D932" s="235">
        <v>0</v>
      </c>
      <c r="E932" s="234" t="s">
        <v>172</v>
      </c>
      <c r="F932" s="296" t="s">
        <v>192</v>
      </c>
    </row>
    <row r="933" spans="1:6" ht="17" x14ac:dyDescent="0.25">
      <c r="B933" s="233" t="s">
        <v>973</v>
      </c>
      <c r="D933" s="243">
        <f>GWP!T24</f>
        <v>0</v>
      </c>
      <c r="E933" s="234" t="s">
        <v>969</v>
      </c>
      <c r="F933" s="296" t="s">
        <v>919</v>
      </c>
    </row>
    <row r="934" spans="1:6" ht="17" x14ac:dyDescent="0.25">
      <c r="B934" s="233" t="s">
        <v>974</v>
      </c>
      <c r="D934" s="235">
        <v>0</v>
      </c>
      <c r="E934" s="234" t="s">
        <v>969</v>
      </c>
      <c r="F934" s="296" t="s">
        <v>200</v>
      </c>
    </row>
    <row r="935" spans="1:6" ht="17" x14ac:dyDescent="0.25">
      <c r="B935" s="233" t="s">
        <v>975</v>
      </c>
      <c r="D935" s="235">
        <v>130</v>
      </c>
      <c r="E935" s="234" t="s">
        <v>969</v>
      </c>
      <c r="F935" s="296" t="s">
        <v>189</v>
      </c>
    </row>
    <row r="936" spans="1:6" ht="17" x14ac:dyDescent="0.25">
      <c r="B936" s="233" t="s">
        <v>976</v>
      </c>
      <c r="D936" s="244">
        <f>GWP!AB24</f>
        <v>190.68042403831754</v>
      </c>
      <c r="E936" s="234" t="s">
        <v>969</v>
      </c>
      <c r="F936" s="296" t="s">
        <v>179</v>
      </c>
    </row>
    <row r="937" spans="1:6" x14ac:dyDescent="0.15">
      <c r="A937" s="232" t="s">
        <v>41</v>
      </c>
    </row>
    <row r="938" spans="1:6" ht="14" x14ac:dyDescent="0.15">
      <c r="A938" s="232"/>
      <c r="B938" s="233" t="s">
        <v>256</v>
      </c>
      <c r="D938" s="234">
        <v>300000</v>
      </c>
      <c r="E938" s="234" t="s">
        <v>835</v>
      </c>
      <c r="F938" s="296" t="s">
        <v>208</v>
      </c>
    </row>
    <row r="939" spans="1:6" ht="14" x14ac:dyDescent="0.15">
      <c r="A939" s="232"/>
      <c r="B939" s="233" t="s">
        <v>234</v>
      </c>
      <c r="D939" s="234">
        <v>320000</v>
      </c>
      <c r="E939" s="234" t="s">
        <v>835</v>
      </c>
      <c r="F939" s="296" t="s">
        <v>208</v>
      </c>
    </row>
    <row r="940" spans="1:6" ht="14" x14ac:dyDescent="0.15">
      <c r="B940" s="233" t="s">
        <v>194</v>
      </c>
      <c r="D940" s="245">
        <v>10000</v>
      </c>
      <c r="E940" s="234" t="s">
        <v>835</v>
      </c>
      <c r="F940" s="296" t="s">
        <v>208</v>
      </c>
    </row>
    <row r="941" spans="1:6" ht="14" x14ac:dyDescent="0.15">
      <c r="B941" s="233" t="s">
        <v>207</v>
      </c>
      <c r="D941" s="234">
        <f>SUM(D938:D940)</f>
        <v>630000</v>
      </c>
      <c r="E941" s="234" t="s">
        <v>835</v>
      </c>
      <c r="F941" s="296" t="s">
        <v>66</v>
      </c>
    </row>
    <row r="942" spans="1:6" ht="14" x14ac:dyDescent="0.15">
      <c r="B942" s="233" t="s">
        <v>796</v>
      </c>
      <c r="D942" s="246">
        <v>2.3E-2</v>
      </c>
      <c r="E942" s="234" t="s">
        <v>111</v>
      </c>
      <c r="F942" s="297" t="s">
        <v>797</v>
      </c>
    </row>
    <row r="943" spans="1:6" x14ac:dyDescent="0.15">
      <c r="B943" s="233" t="s">
        <v>799</v>
      </c>
      <c r="D943" s="242">
        <f>D941*(1+D942)</f>
        <v>644490</v>
      </c>
      <c r="E943" s="234" t="s">
        <v>404</v>
      </c>
      <c r="F943" s="297"/>
    </row>
    <row r="944" spans="1:6" x14ac:dyDescent="0.15">
      <c r="A944" s="232" t="s">
        <v>195</v>
      </c>
    </row>
    <row r="945" spans="1:6" x14ac:dyDescent="0.15">
      <c r="B945" s="233" t="s">
        <v>42</v>
      </c>
    </row>
    <row r="946" spans="1:6" ht="14" x14ac:dyDescent="0.15">
      <c r="C946" s="233" t="s">
        <v>256</v>
      </c>
      <c r="D946" s="234">
        <v>119</v>
      </c>
      <c r="E946" s="234" t="s">
        <v>824</v>
      </c>
      <c r="F946" s="296" t="s">
        <v>208</v>
      </c>
    </row>
    <row r="947" spans="1:6" ht="14" x14ac:dyDescent="0.15">
      <c r="C947" s="233" t="s">
        <v>234</v>
      </c>
      <c r="D947" s="234">
        <v>23</v>
      </c>
      <c r="E947" s="234" t="s">
        <v>824</v>
      </c>
      <c r="F947" s="296" t="s">
        <v>208</v>
      </c>
    </row>
    <row r="948" spans="1:6" ht="14" x14ac:dyDescent="0.15">
      <c r="C948" s="233" t="s">
        <v>227</v>
      </c>
      <c r="D948" s="234">
        <v>18</v>
      </c>
      <c r="E948" s="234" t="s">
        <v>824</v>
      </c>
      <c r="F948" s="296" t="s">
        <v>208</v>
      </c>
    </row>
    <row r="949" spans="1:6" x14ac:dyDescent="0.15">
      <c r="C949" s="233" t="s">
        <v>210</v>
      </c>
      <c r="D949" s="234">
        <f>SUM(D946:D948)</f>
        <v>160</v>
      </c>
      <c r="E949" s="234" t="s">
        <v>824</v>
      </c>
    </row>
    <row r="950" spans="1:6" ht="14" x14ac:dyDescent="0.15">
      <c r="B950" s="233" t="s">
        <v>796</v>
      </c>
      <c r="D950" s="246">
        <v>2.3E-2</v>
      </c>
      <c r="E950" s="234" t="s">
        <v>111</v>
      </c>
      <c r="F950" s="297" t="s">
        <v>797</v>
      </c>
    </row>
    <row r="951" spans="1:6" x14ac:dyDescent="0.15">
      <c r="B951" s="233" t="s">
        <v>798</v>
      </c>
      <c r="D951" s="249">
        <f>D949*(1+D950)</f>
        <v>163.67999999999998</v>
      </c>
      <c r="E951" s="234" t="s">
        <v>816</v>
      </c>
    </row>
    <row r="952" spans="1:6" ht="14" x14ac:dyDescent="0.15">
      <c r="B952" s="233" t="s">
        <v>197</v>
      </c>
      <c r="D952" s="244">
        <f>'Commercial Viability'!F27</f>
        <v>195.90566981246974</v>
      </c>
      <c r="E952" s="234" t="s">
        <v>199</v>
      </c>
      <c r="F952" s="296" t="s">
        <v>950</v>
      </c>
    </row>
    <row r="953" spans="1:6" x14ac:dyDescent="0.15">
      <c r="B953" s="233" t="s">
        <v>196</v>
      </c>
    </row>
    <row r="954" spans="1:6" ht="14" x14ac:dyDescent="0.15">
      <c r="C954" s="233" t="s">
        <v>801</v>
      </c>
      <c r="D954" s="234">
        <v>6.8099999999999994E-2</v>
      </c>
      <c r="E954" s="234" t="s">
        <v>217</v>
      </c>
      <c r="F954" s="299" t="s">
        <v>374</v>
      </c>
    </row>
    <row r="955" spans="1:6" x14ac:dyDescent="0.15">
      <c r="C955" s="233" t="s">
        <v>245</v>
      </c>
      <c r="D955" s="249">
        <f>D908*D954</f>
        <v>50.768549999999998</v>
      </c>
      <c r="E955" s="234" t="s">
        <v>199</v>
      </c>
    </row>
    <row r="956" spans="1:6" ht="14" x14ac:dyDescent="0.15">
      <c r="B956" s="233" t="s">
        <v>195</v>
      </c>
      <c r="D956" s="244">
        <v>0</v>
      </c>
      <c r="E956" s="234" t="s">
        <v>199</v>
      </c>
      <c r="F956" s="296" t="s">
        <v>951</v>
      </c>
    </row>
    <row r="957" spans="1:6" x14ac:dyDescent="0.15">
      <c r="A957" s="232" t="s">
        <v>201</v>
      </c>
    </row>
    <row r="958" spans="1:6" ht="28" x14ac:dyDescent="0.15">
      <c r="B958" s="233" t="s">
        <v>6</v>
      </c>
      <c r="D958" s="235">
        <v>9</v>
      </c>
      <c r="F958" s="296" t="s">
        <v>202</v>
      </c>
    </row>
    <row r="960" spans="1:6" s="228" customFormat="1" x14ac:dyDescent="0.15">
      <c r="A960" s="225" t="s">
        <v>989</v>
      </c>
      <c r="B960" s="226"/>
      <c r="C960" s="226"/>
      <c r="D960" s="227"/>
      <c r="E960" s="227"/>
      <c r="F960" s="294"/>
    </row>
    <row r="961" spans="1:6" ht="14" x14ac:dyDescent="0.15">
      <c r="B961" s="230" t="s">
        <v>171</v>
      </c>
      <c r="C961" s="230"/>
      <c r="D961" s="231" t="s">
        <v>170</v>
      </c>
      <c r="E961" s="231" t="s">
        <v>169</v>
      </c>
      <c r="F961" s="295" t="s">
        <v>168</v>
      </c>
    </row>
    <row r="962" spans="1:6" x14ac:dyDescent="0.15">
      <c r="A962" s="232" t="s">
        <v>167</v>
      </c>
    </row>
    <row r="963" spans="1:6" ht="17" x14ac:dyDescent="0.25">
      <c r="A963" s="232"/>
      <c r="B963" s="233" t="s">
        <v>979</v>
      </c>
      <c r="D963" s="234">
        <v>0.8</v>
      </c>
      <c r="E963" s="234" t="s">
        <v>172</v>
      </c>
      <c r="F963" s="296" t="s">
        <v>220</v>
      </c>
    </row>
    <row r="964" spans="1:6" ht="14" x14ac:dyDescent="0.15">
      <c r="A964" s="232"/>
      <c r="B964" s="233" t="s">
        <v>221</v>
      </c>
      <c r="D964" s="234">
        <v>0.6</v>
      </c>
      <c r="E964" s="234" t="s">
        <v>172</v>
      </c>
      <c r="F964" s="296" t="s">
        <v>220</v>
      </c>
    </row>
    <row r="965" spans="1:6" ht="17" x14ac:dyDescent="0.25">
      <c r="B965" s="233" t="s">
        <v>972</v>
      </c>
      <c r="D965" s="234">
        <f>(1-D963)+D963*D964</f>
        <v>0.67999999999999994</v>
      </c>
      <c r="E965" s="234" t="s">
        <v>172</v>
      </c>
      <c r="F965" s="296" t="s">
        <v>222</v>
      </c>
    </row>
    <row r="966" spans="1:6" ht="17" x14ac:dyDescent="0.25">
      <c r="B966" s="233" t="s">
        <v>955</v>
      </c>
      <c r="D966" s="235">
        <v>0.1</v>
      </c>
      <c r="E966" s="234" t="s">
        <v>172</v>
      </c>
      <c r="F966" s="296" t="s">
        <v>87</v>
      </c>
    </row>
    <row r="967" spans="1:6" ht="17" x14ac:dyDescent="0.25">
      <c r="B967" s="233" t="s">
        <v>956</v>
      </c>
      <c r="D967" s="236">
        <v>0.05</v>
      </c>
      <c r="E967" s="234" t="s">
        <v>172</v>
      </c>
      <c r="F967" s="296" t="s">
        <v>87</v>
      </c>
    </row>
    <row r="968" spans="1:6" ht="17" x14ac:dyDescent="0.25">
      <c r="B968" s="233" t="s">
        <v>957</v>
      </c>
      <c r="D968" s="237">
        <f>'Energy Balance'!Q27</f>
        <v>0.10526315789473684</v>
      </c>
      <c r="E968" s="234" t="s">
        <v>172</v>
      </c>
      <c r="F968" s="296" t="s">
        <v>173</v>
      </c>
    </row>
    <row r="969" spans="1:6" x14ac:dyDescent="0.15">
      <c r="A969" s="232" t="s">
        <v>174</v>
      </c>
    </row>
    <row r="970" spans="1:6" ht="17" x14ac:dyDescent="0.25">
      <c r="B970" s="233" t="s">
        <v>958</v>
      </c>
    </row>
    <row r="971" spans="1:6" ht="14" x14ac:dyDescent="0.15">
      <c r="A971" s="250"/>
      <c r="C971" s="250" t="s">
        <v>223</v>
      </c>
      <c r="D971" s="234">
        <v>2130</v>
      </c>
      <c r="E971" s="234" t="s">
        <v>175</v>
      </c>
      <c r="F971" s="296" t="s">
        <v>204</v>
      </c>
    </row>
    <row r="972" spans="1:6" ht="14" x14ac:dyDescent="0.15">
      <c r="A972" s="250"/>
      <c r="C972" s="250" t="s">
        <v>253</v>
      </c>
      <c r="D972" s="236">
        <v>0.35</v>
      </c>
      <c r="E972" s="234" t="s">
        <v>111</v>
      </c>
      <c r="F972" s="298" t="s">
        <v>1016</v>
      </c>
    </row>
    <row r="973" spans="1:6" ht="14" x14ac:dyDescent="0.15">
      <c r="A973" s="250"/>
      <c r="C973" s="250" t="s">
        <v>255</v>
      </c>
      <c r="D973" s="253">
        <f>D971*D972</f>
        <v>745.5</v>
      </c>
      <c r="E973" s="234" t="s">
        <v>175</v>
      </c>
      <c r="F973" s="296" t="s">
        <v>66</v>
      </c>
    </row>
    <row r="974" spans="1:6" ht="14" x14ac:dyDescent="0.15">
      <c r="A974" s="250"/>
      <c r="C974" s="250" t="s">
        <v>239</v>
      </c>
      <c r="D974" s="253">
        <v>1111</v>
      </c>
      <c r="E974" s="234" t="s">
        <v>175</v>
      </c>
      <c r="F974" s="296" t="s">
        <v>204</v>
      </c>
    </row>
    <row r="975" spans="1:6" ht="14" x14ac:dyDescent="0.15">
      <c r="A975" s="250"/>
      <c r="C975" s="250" t="s">
        <v>240</v>
      </c>
      <c r="D975" s="236">
        <v>0.83550000000000002</v>
      </c>
      <c r="E975" s="234" t="s">
        <v>111</v>
      </c>
      <c r="F975" s="296" t="s">
        <v>241</v>
      </c>
    </row>
    <row r="976" spans="1:6" ht="14" x14ac:dyDescent="0.15">
      <c r="A976" s="250"/>
      <c r="C976" s="250" t="s">
        <v>238</v>
      </c>
      <c r="D976" s="253">
        <f>D974*D975</f>
        <v>928.2405</v>
      </c>
      <c r="E976" s="234" t="s">
        <v>175</v>
      </c>
      <c r="F976" s="296" t="s">
        <v>66</v>
      </c>
    </row>
    <row r="977" spans="1:6" ht="14" x14ac:dyDescent="0.15">
      <c r="A977" s="250"/>
      <c r="C977" s="250" t="s">
        <v>231</v>
      </c>
      <c r="D977" s="238">
        <f>D973+D976</f>
        <v>1673.7404999999999</v>
      </c>
      <c r="E977" s="234" t="s">
        <v>175</v>
      </c>
      <c r="F977" s="296" t="s">
        <v>66</v>
      </c>
    </row>
    <row r="978" spans="1:6" ht="30" x14ac:dyDescent="0.25">
      <c r="B978" s="233" t="s">
        <v>959</v>
      </c>
      <c r="D978" s="239">
        <v>0</v>
      </c>
      <c r="E978" s="234" t="s">
        <v>111</v>
      </c>
      <c r="F978" s="296" t="s">
        <v>260</v>
      </c>
    </row>
    <row r="979" spans="1:6" ht="17" x14ac:dyDescent="0.25">
      <c r="B979" s="233" t="s">
        <v>960</v>
      </c>
      <c r="D979" s="239">
        <v>0</v>
      </c>
      <c r="E979" s="234" t="s">
        <v>111</v>
      </c>
      <c r="F979" s="296" t="s">
        <v>212</v>
      </c>
    </row>
    <row r="980" spans="1:6" ht="17" x14ac:dyDescent="0.25">
      <c r="B980" s="233" t="s">
        <v>961</v>
      </c>
      <c r="D980" s="240">
        <f>'Energy Balance'!D27</f>
        <v>0</v>
      </c>
      <c r="E980" s="234" t="s">
        <v>175</v>
      </c>
      <c r="F980" s="296" t="s">
        <v>947</v>
      </c>
    </row>
    <row r="981" spans="1:6" ht="17" x14ac:dyDescent="0.25">
      <c r="B981" s="233" t="s">
        <v>962</v>
      </c>
    </row>
    <row r="982" spans="1:6" x14ac:dyDescent="0.15">
      <c r="C982" s="233" t="s">
        <v>246</v>
      </c>
      <c r="D982" s="234">
        <v>60</v>
      </c>
    </row>
    <row r="983" spans="1:6" ht="14" x14ac:dyDescent="0.15">
      <c r="C983" s="233" t="s">
        <v>247</v>
      </c>
      <c r="D983" s="234">
        <v>60</v>
      </c>
      <c r="E983" s="234" t="s">
        <v>175</v>
      </c>
      <c r="F983" s="296" t="s">
        <v>204</v>
      </c>
    </row>
    <row r="984" spans="1:6" ht="14" x14ac:dyDescent="0.15">
      <c r="C984" s="233" t="s">
        <v>228</v>
      </c>
      <c r="D984" s="235">
        <f>SUM(D982:D983)</f>
        <v>120</v>
      </c>
      <c r="E984" s="234" t="s">
        <v>175</v>
      </c>
      <c r="F984" s="296" t="s">
        <v>66</v>
      </c>
    </row>
    <row r="985" spans="1:6" ht="17" x14ac:dyDescent="0.25">
      <c r="B985" s="233" t="s">
        <v>963</v>
      </c>
      <c r="D985" s="235">
        <v>0</v>
      </c>
      <c r="E985" s="234" t="s">
        <v>175</v>
      </c>
      <c r="F985" s="296" t="s">
        <v>186</v>
      </c>
    </row>
    <row r="986" spans="1:6" ht="17" x14ac:dyDescent="0.25">
      <c r="B986" s="233" t="s">
        <v>964</v>
      </c>
      <c r="D986" s="241">
        <f>'Energy Balance'!S27</f>
        <v>14.254215731199825</v>
      </c>
      <c r="E986" s="234" t="s">
        <v>175</v>
      </c>
      <c r="F986" s="296" t="s">
        <v>948</v>
      </c>
    </row>
    <row r="987" spans="1:6" ht="17" x14ac:dyDescent="0.25">
      <c r="B987" s="233" t="s">
        <v>965</v>
      </c>
    </row>
    <row r="988" spans="1:6" ht="14" x14ac:dyDescent="0.15">
      <c r="A988" s="250"/>
      <c r="C988" s="250" t="s">
        <v>248</v>
      </c>
      <c r="D988" s="234">
        <v>1278</v>
      </c>
      <c r="E988" s="234" t="s">
        <v>175</v>
      </c>
      <c r="F988" s="296" t="s">
        <v>204</v>
      </c>
    </row>
    <row r="989" spans="1:6" ht="14" x14ac:dyDescent="0.15">
      <c r="A989" s="250"/>
      <c r="C989" s="250" t="s">
        <v>249</v>
      </c>
      <c r="D989" s="251">
        <f>D988*3412/1000000</f>
        <v>4.3605359999999997</v>
      </c>
      <c r="E989" s="234" t="s">
        <v>178</v>
      </c>
      <c r="F989" s="296" t="s">
        <v>225</v>
      </c>
    </row>
    <row r="990" spans="1:6" ht="14" x14ac:dyDescent="0.15">
      <c r="A990" s="250"/>
      <c r="C990" s="250" t="s">
        <v>252</v>
      </c>
      <c r="D990" s="236">
        <v>0.38</v>
      </c>
      <c r="E990" s="234" t="s">
        <v>111</v>
      </c>
      <c r="F990" s="296" t="s">
        <v>1016</v>
      </c>
    </row>
    <row r="991" spans="1:6" ht="14" x14ac:dyDescent="0.15">
      <c r="A991" s="250"/>
      <c r="C991" s="250" t="s">
        <v>254</v>
      </c>
      <c r="D991" s="254">
        <f>D971*D990</f>
        <v>809.4</v>
      </c>
      <c r="E991" s="234" t="s">
        <v>175</v>
      </c>
      <c r="F991" s="296" t="s">
        <v>66</v>
      </c>
    </row>
    <row r="992" spans="1:6" ht="14" x14ac:dyDescent="0.15">
      <c r="A992" s="250"/>
      <c r="C992" s="250" t="s">
        <v>224</v>
      </c>
      <c r="D992" s="251">
        <f>D991*3412/1000000</f>
        <v>2.7616727999999999</v>
      </c>
      <c r="E992" s="234" t="s">
        <v>178</v>
      </c>
      <c r="F992" s="296" t="s">
        <v>225</v>
      </c>
    </row>
    <row r="993" spans="1:6" ht="14" x14ac:dyDescent="0.15">
      <c r="A993" s="250"/>
      <c r="C993" s="250" t="s">
        <v>250</v>
      </c>
      <c r="D993" s="254">
        <v>426</v>
      </c>
      <c r="E993" s="234" t="s">
        <v>175</v>
      </c>
      <c r="F993" s="296" t="s">
        <v>204</v>
      </c>
    </row>
    <row r="994" spans="1:6" ht="14" x14ac:dyDescent="0.15">
      <c r="A994" s="250"/>
      <c r="C994" s="250" t="s">
        <v>251</v>
      </c>
      <c r="D994" s="251">
        <f>D993*3412/1000000</f>
        <v>1.4535119999999999</v>
      </c>
      <c r="E994" s="234" t="s">
        <v>178</v>
      </c>
      <c r="F994" s="296" t="s">
        <v>225</v>
      </c>
    </row>
    <row r="995" spans="1:6" ht="14" x14ac:dyDescent="0.15">
      <c r="A995" s="250"/>
      <c r="C995" s="250" t="s">
        <v>243</v>
      </c>
      <c r="D995" s="236">
        <v>0.16450000000000001</v>
      </c>
      <c r="E995" s="234" t="s">
        <v>111</v>
      </c>
      <c r="F995" s="296" t="s">
        <v>241</v>
      </c>
    </row>
    <row r="996" spans="1:6" ht="14" x14ac:dyDescent="0.15">
      <c r="A996" s="250"/>
      <c r="C996" s="250" t="s">
        <v>244</v>
      </c>
      <c r="D996" s="254">
        <f>D974*D995</f>
        <v>182.7595</v>
      </c>
      <c r="E996" s="234" t="s">
        <v>175</v>
      </c>
      <c r="F996" s="296" t="s">
        <v>66</v>
      </c>
    </row>
    <row r="997" spans="1:6" ht="14" x14ac:dyDescent="0.15">
      <c r="A997" s="250"/>
      <c r="C997" s="250" t="s">
        <v>242</v>
      </c>
      <c r="D997" s="251">
        <f>D996*3412/1000000</f>
        <v>0.62357541399999994</v>
      </c>
      <c r="E997" s="234" t="s">
        <v>178</v>
      </c>
      <c r="F997" s="296" t="s">
        <v>225</v>
      </c>
    </row>
    <row r="998" spans="1:6" ht="14" x14ac:dyDescent="0.15">
      <c r="A998" s="250"/>
      <c r="C998" s="250" t="s">
        <v>236</v>
      </c>
      <c r="D998" s="254">
        <v>2153</v>
      </c>
      <c r="E998" s="234" t="s">
        <v>175</v>
      </c>
      <c r="F998" s="296" t="s">
        <v>204</v>
      </c>
    </row>
    <row r="999" spans="1:6" ht="14" x14ac:dyDescent="0.15">
      <c r="A999" s="250"/>
      <c r="C999" s="250" t="s">
        <v>236</v>
      </c>
      <c r="D999" s="251">
        <f>D998*3412/1000000</f>
        <v>7.3460359999999998</v>
      </c>
      <c r="E999" s="234" t="s">
        <v>178</v>
      </c>
      <c r="F999" s="296" t="s">
        <v>225</v>
      </c>
    </row>
    <row r="1000" spans="1:6" ht="14" x14ac:dyDescent="0.15">
      <c r="A1000" s="250"/>
      <c r="C1000" s="250" t="s">
        <v>258</v>
      </c>
      <c r="D1000" s="254">
        <v>429</v>
      </c>
      <c r="E1000" s="234" t="s">
        <v>175</v>
      </c>
      <c r="F1000" s="296" t="s">
        <v>204</v>
      </c>
    </row>
    <row r="1001" spans="1:6" ht="14" x14ac:dyDescent="0.15">
      <c r="A1001" s="250"/>
      <c r="C1001" s="250" t="s">
        <v>258</v>
      </c>
      <c r="D1001" s="251">
        <f>D1000*3412/1000000</f>
        <v>1.463748</v>
      </c>
      <c r="E1001" s="234" t="s">
        <v>178</v>
      </c>
      <c r="F1001" s="296" t="s">
        <v>225</v>
      </c>
    </row>
    <row r="1002" spans="1:6" ht="14" x14ac:dyDescent="0.15">
      <c r="A1002" s="250"/>
      <c r="C1002" s="250" t="s">
        <v>232</v>
      </c>
      <c r="D1002" s="247">
        <f>D989+D999+D1001-D992-D994-D997</f>
        <v>8.3315597860000015</v>
      </c>
      <c r="E1002" s="234" t="s">
        <v>178</v>
      </c>
      <c r="F1002" s="296" t="s">
        <v>66</v>
      </c>
    </row>
    <row r="1003" spans="1:6" ht="17" x14ac:dyDescent="0.25">
      <c r="B1003" s="233" t="s">
        <v>966</v>
      </c>
      <c r="D1003" s="241">
        <f>'Energy Balance'!Y27</f>
        <v>-952.03345780044128</v>
      </c>
      <c r="E1003" s="234" t="s">
        <v>175</v>
      </c>
      <c r="F1003" s="296" t="s">
        <v>176</v>
      </c>
    </row>
    <row r="1004" spans="1:6" ht="17" x14ac:dyDescent="0.25">
      <c r="A1004" s="232" t="s">
        <v>967</v>
      </c>
    </row>
    <row r="1005" spans="1:6" ht="17" x14ac:dyDescent="0.25">
      <c r="B1005" s="233" t="s">
        <v>968</v>
      </c>
      <c r="D1005" s="241">
        <f>GWP!P25</f>
        <v>0</v>
      </c>
      <c r="E1005" s="234" t="s">
        <v>969</v>
      </c>
      <c r="F1005" s="296" t="s">
        <v>949</v>
      </c>
    </row>
    <row r="1006" spans="1:6" ht="17" x14ac:dyDescent="0.25">
      <c r="B1006" s="233" t="s">
        <v>970</v>
      </c>
      <c r="D1006" s="252">
        <v>0</v>
      </c>
      <c r="E1006" s="234" t="s">
        <v>172</v>
      </c>
      <c r="F1006" s="296" t="s">
        <v>190</v>
      </c>
    </row>
    <row r="1007" spans="1:6" ht="17" x14ac:dyDescent="0.25">
      <c r="B1007" s="233" t="s">
        <v>971</v>
      </c>
      <c r="D1007" s="244">
        <f>GWP!R25</f>
        <v>0</v>
      </c>
      <c r="E1007" s="234" t="s">
        <v>969</v>
      </c>
      <c r="F1007" s="296" t="s">
        <v>193</v>
      </c>
    </row>
    <row r="1008" spans="1:6" ht="17" x14ac:dyDescent="0.25">
      <c r="B1008" s="233" t="s">
        <v>972</v>
      </c>
      <c r="D1008" s="235">
        <f>D965</f>
        <v>0.67999999999999994</v>
      </c>
      <c r="E1008" s="234" t="s">
        <v>172</v>
      </c>
      <c r="F1008" s="296" t="s">
        <v>192</v>
      </c>
    </row>
    <row r="1009" spans="1:6" ht="17" x14ac:dyDescent="0.25">
      <c r="B1009" s="233" t="s">
        <v>973</v>
      </c>
      <c r="D1009" s="244">
        <f>GWP!T25</f>
        <v>4942.1001142857131</v>
      </c>
      <c r="E1009" s="234" t="s">
        <v>969</v>
      </c>
      <c r="F1009" s="296" t="s">
        <v>919</v>
      </c>
    </row>
    <row r="1010" spans="1:6" ht="17" x14ac:dyDescent="0.25">
      <c r="B1010" s="233" t="s">
        <v>974</v>
      </c>
      <c r="D1010" s="235">
        <v>0</v>
      </c>
      <c r="E1010" s="234" t="s">
        <v>969</v>
      </c>
      <c r="F1010" s="296" t="s">
        <v>200</v>
      </c>
    </row>
    <row r="1011" spans="1:6" ht="17" x14ac:dyDescent="0.25">
      <c r="B1011" s="233" t="s">
        <v>975</v>
      </c>
      <c r="D1011" s="235">
        <v>0</v>
      </c>
      <c r="E1011" s="234" t="s">
        <v>969</v>
      </c>
      <c r="F1011" s="296" t="s">
        <v>190</v>
      </c>
    </row>
    <row r="1012" spans="1:6" ht="17" x14ac:dyDescent="0.25">
      <c r="B1012" s="233" t="s">
        <v>976</v>
      </c>
      <c r="D1012" s="244">
        <f>GWP!AB25</f>
        <v>5365.2342223203477</v>
      </c>
      <c r="E1012" s="234" t="s">
        <v>969</v>
      </c>
      <c r="F1012" s="296" t="s">
        <v>179</v>
      </c>
    </row>
    <row r="1013" spans="1:6" x14ac:dyDescent="0.15">
      <c r="A1013" s="232" t="s">
        <v>41</v>
      </c>
    </row>
    <row r="1014" spans="1:6" ht="14" x14ac:dyDescent="0.15">
      <c r="A1014" s="232"/>
      <c r="B1014" s="233" t="s">
        <v>256</v>
      </c>
      <c r="D1014" s="234">
        <v>300000</v>
      </c>
      <c r="E1014" s="234" t="s">
        <v>835</v>
      </c>
      <c r="F1014" s="296" t="s">
        <v>208</v>
      </c>
    </row>
    <row r="1015" spans="1:6" ht="14" x14ac:dyDescent="0.15">
      <c r="A1015" s="232"/>
      <c r="B1015" s="233" t="s">
        <v>234</v>
      </c>
      <c r="D1015" s="234">
        <v>320000</v>
      </c>
      <c r="E1015" s="234" t="s">
        <v>835</v>
      </c>
      <c r="F1015" s="296" t="s">
        <v>208</v>
      </c>
    </row>
    <row r="1016" spans="1:6" ht="14" x14ac:dyDescent="0.15">
      <c r="B1016" s="233" t="s">
        <v>227</v>
      </c>
      <c r="D1016" s="245">
        <v>10000</v>
      </c>
      <c r="E1016" s="234" t="s">
        <v>835</v>
      </c>
      <c r="F1016" s="296" t="s">
        <v>208</v>
      </c>
    </row>
    <row r="1017" spans="1:6" ht="14" x14ac:dyDescent="0.15">
      <c r="B1017" s="233" t="s">
        <v>259</v>
      </c>
      <c r="D1017" s="245">
        <v>100000</v>
      </c>
      <c r="E1017" s="234" t="s">
        <v>835</v>
      </c>
      <c r="F1017" s="296" t="s">
        <v>208</v>
      </c>
    </row>
    <row r="1018" spans="1:6" ht="14" x14ac:dyDescent="0.15">
      <c r="B1018" s="233" t="s">
        <v>216</v>
      </c>
      <c r="D1018" s="245">
        <v>170000</v>
      </c>
      <c r="E1018" s="234" t="s">
        <v>835</v>
      </c>
      <c r="F1018" s="296" t="s">
        <v>208</v>
      </c>
    </row>
    <row r="1019" spans="1:6" ht="14" x14ac:dyDescent="0.15">
      <c r="B1019" s="233" t="s">
        <v>207</v>
      </c>
      <c r="D1019" s="234">
        <f>SUM(D1014:D1018)</f>
        <v>900000</v>
      </c>
      <c r="E1019" s="234" t="s">
        <v>835</v>
      </c>
      <c r="F1019" s="296" t="s">
        <v>66</v>
      </c>
    </row>
    <row r="1020" spans="1:6" ht="14" x14ac:dyDescent="0.15">
      <c r="B1020" s="233" t="s">
        <v>796</v>
      </c>
      <c r="D1020" s="246">
        <v>2.3E-2</v>
      </c>
      <c r="E1020" s="234" t="s">
        <v>111</v>
      </c>
      <c r="F1020" s="297" t="s">
        <v>797</v>
      </c>
    </row>
    <row r="1021" spans="1:6" x14ac:dyDescent="0.15">
      <c r="B1021" s="233" t="s">
        <v>799</v>
      </c>
      <c r="D1021" s="242">
        <f>D1019*(1+D1020)</f>
        <v>920699.99999999988</v>
      </c>
      <c r="E1021" s="234" t="s">
        <v>404</v>
      </c>
      <c r="F1021" s="297"/>
    </row>
    <row r="1022" spans="1:6" x14ac:dyDescent="0.15">
      <c r="A1022" s="232" t="s">
        <v>195</v>
      </c>
    </row>
    <row r="1023" spans="1:6" x14ac:dyDescent="0.15">
      <c r="B1023" s="233" t="s">
        <v>42</v>
      </c>
    </row>
    <row r="1024" spans="1:6" ht="14" x14ac:dyDescent="0.15">
      <c r="C1024" s="233" t="s">
        <v>256</v>
      </c>
      <c r="D1024" s="234">
        <v>119</v>
      </c>
      <c r="E1024" s="234" t="s">
        <v>824</v>
      </c>
      <c r="F1024" s="296" t="s">
        <v>208</v>
      </c>
    </row>
    <row r="1025" spans="1:6" ht="14" x14ac:dyDescent="0.15">
      <c r="C1025" s="233" t="s">
        <v>234</v>
      </c>
      <c r="D1025" s="234">
        <v>23</v>
      </c>
      <c r="E1025" s="234" t="s">
        <v>824</v>
      </c>
      <c r="F1025" s="296" t="s">
        <v>208</v>
      </c>
    </row>
    <row r="1026" spans="1:6" ht="14" x14ac:dyDescent="0.15">
      <c r="C1026" s="233" t="s">
        <v>227</v>
      </c>
      <c r="D1026" s="234">
        <v>18</v>
      </c>
      <c r="E1026" s="234" t="s">
        <v>824</v>
      </c>
      <c r="F1026" s="296" t="s">
        <v>208</v>
      </c>
    </row>
    <row r="1027" spans="1:6" ht="14" x14ac:dyDescent="0.15">
      <c r="C1027" s="233" t="s">
        <v>259</v>
      </c>
      <c r="D1027" s="234">
        <v>112</v>
      </c>
      <c r="E1027" s="234" t="s">
        <v>824</v>
      </c>
      <c r="F1027" s="296" t="s">
        <v>208</v>
      </c>
    </row>
    <row r="1028" spans="1:6" ht="14" x14ac:dyDescent="0.15">
      <c r="C1028" s="233" t="s">
        <v>216</v>
      </c>
      <c r="D1028" s="234">
        <v>173</v>
      </c>
      <c r="E1028" s="234" t="s">
        <v>824</v>
      </c>
      <c r="F1028" s="296" t="s">
        <v>208</v>
      </c>
    </row>
    <row r="1029" spans="1:6" x14ac:dyDescent="0.15">
      <c r="C1029" s="233" t="s">
        <v>210</v>
      </c>
      <c r="D1029" s="234">
        <f>SUM(D1024:D1028)</f>
        <v>445</v>
      </c>
      <c r="E1029" s="234" t="s">
        <v>824</v>
      </c>
    </row>
    <row r="1030" spans="1:6" ht="14" x14ac:dyDescent="0.15">
      <c r="B1030" s="233" t="s">
        <v>796</v>
      </c>
      <c r="D1030" s="246">
        <v>2.3E-2</v>
      </c>
      <c r="E1030" s="234" t="s">
        <v>111</v>
      </c>
      <c r="F1030" s="297" t="s">
        <v>797</v>
      </c>
    </row>
    <row r="1031" spans="1:6" x14ac:dyDescent="0.15">
      <c r="B1031" s="233" t="s">
        <v>798</v>
      </c>
      <c r="D1031" s="249">
        <f>D1029*(1+D1030)</f>
        <v>455.23499999999996</v>
      </c>
      <c r="E1031" s="234" t="s">
        <v>816</v>
      </c>
    </row>
    <row r="1032" spans="1:6" ht="14" x14ac:dyDescent="0.15">
      <c r="B1032" s="233" t="s">
        <v>197</v>
      </c>
      <c r="D1032" s="244">
        <f>'Commercial Viability'!F28</f>
        <v>6.0651910158659348</v>
      </c>
      <c r="E1032" s="234" t="s">
        <v>199</v>
      </c>
      <c r="F1032" s="296" t="s">
        <v>950</v>
      </c>
    </row>
    <row r="1033" spans="1:6" x14ac:dyDescent="0.15">
      <c r="B1033" s="233" t="s">
        <v>196</v>
      </c>
    </row>
    <row r="1034" spans="1:6" ht="14" x14ac:dyDescent="0.15">
      <c r="C1034" s="233" t="s">
        <v>801</v>
      </c>
      <c r="D1034" s="234">
        <v>6.8099999999999994E-2</v>
      </c>
      <c r="E1034" s="234" t="s">
        <v>217</v>
      </c>
      <c r="F1034" s="299" t="s">
        <v>374</v>
      </c>
    </row>
    <row r="1035" spans="1:6" x14ac:dyDescent="0.15">
      <c r="C1035" s="233" t="s">
        <v>219</v>
      </c>
      <c r="D1035" s="249">
        <f>D1034*D977</f>
        <v>113.98172804999999</v>
      </c>
      <c r="E1035" s="234" t="s">
        <v>199</v>
      </c>
    </row>
    <row r="1036" spans="1:6" ht="14" x14ac:dyDescent="0.15">
      <c r="B1036" s="233" t="s">
        <v>195</v>
      </c>
      <c r="D1036" s="244">
        <f>'Commercial Viability'!H28</f>
        <v>-347.31846296586593</v>
      </c>
      <c r="E1036" s="234" t="s">
        <v>199</v>
      </c>
      <c r="F1036" s="296" t="s">
        <v>951</v>
      </c>
    </row>
    <row r="1037" spans="1:6" x14ac:dyDescent="0.15">
      <c r="A1037" s="232" t="s">
        <v>201</v>
      </c>
    </row>
    <row r="1038" spans="1:6" ht="28" x14ac:dyDescent="0.15">
      <c r="B1038" s="233" t="s">
        <v>6</v>
      </c>
      <c r="D1038" s="249">
        <v>9</v>
      </c>
      <c r="F1038" s="296" t="s">
        <v>202</v>
      </c>
    </row>
    <row r="1040" spans="1:6" s="228" customFormat="1" x14ac:dyDescent="0.15">
      <c r="A1040" s="225" t="s">
        <v>990</v>
      </c>
      <c r="B1040" s="226"/>
      <c r="C1040" s="226"/>
      <c r="D1040" s="227"/>
      <c r="E1040" s="227"/>
      <c r="F1040" s="294"/>
    </row>
    <row r="1041" spans="1:6" ht="14" x14ac:dyDescent="0.15">
      <c r="B1041" s="230" t="s">
        <v>171</v>
      </c>
      <c r="C1041" s="230"/>
      <c r="D1041" s="231" t="s">
        <v>170</v>
      </c>
      <c r="E1041" s="231" t="s">
        <v>169</v>
      </c>
      <c r="F1041" s="295" t="s">
        <v>168</v>
      </c>
    </row>
    <row r="1042" spans="1:6" ht="14" x14ac:dyDescent="0.15">
      <c r="A1042" s="250"/>
      <c r="B1042" s="250" t="s">
        <v>273</v>
      </c>
      <c r="C1042" s="250"/>
      <c r="D1042" s="234">
        <v>110</v>
      </c>
      <c r="E1042" s="234" t="s">
        <v>269</v>
      </c>
      <c r="F1042" s="296" t="s">
        <v>262</v>
      </c>
    </row>
    <row r="1043" spans="1:6" ht="14" x14ac:dyDescent="0.15">
      <c r="A1043" s="250"/>
      <c r="B1043" s="250" t="s">
        <v>273</v>
      </c>
      <c r="C1043" s="250"/>
      <c r="D1043" s="254">
        <f>D1042/1.10231</f>
        <v>99.790440075840749</v>
      </c>
      <c r="E1043" s="234" t="s">
        <v>270</v>
      </c>
      <c r="F1043" s="296" t="s">
        <v>263</v>
      </c>
    </row>
    <row r="1044" spans="1:6" ht="14" x14ac:dyDescent="0.15">
      <c r="A1044" s="250"/>
      <c r="B1044" s="250" t="s">
        <v>274</v>
      </c>
      <c r="C1044" s="250"/>
      <c r="D1044" s="254">
        <f>D1043*D1049</f>
        <v>32930.845225027449</v>
      </c>
      <c r="E1044" s="234" t="s">
        <v>271</v>
      </c>
      <c r="F1044" s="296" t="s">
        <v>264</v>
      </c>
    </row>
    <row r="1045" spans="1:6" ht="14" x14ac:dyDescent="0.15">
      <c r="A1045" s="250"/>
      <c r="B1045" s="250" t="s">
        <v>275</v>
      </c>
      <c r="C1045" s="250"/>
      <c r="D1045" s="255">
        <v>0.15</v>
      </c>
      <c r="E1045" s="234" t="s">
        <v>272</v>
      </c>
      <c r="F1045" s="296" t="s">
        <v>262</v>
      </c>
    </row>
    <row r="1046" spans="1:6" ht="14" x14ac:dyDescent="0.15">
      <c r="A1046" s="250"/>
      <c r="B1046" s="250" t="s">
        <v>273</v>
      </c>
      <c r="C1046" s="250"/>
      <c r="D1046" s="234">
        <f>D1042-D1042*D1045</f>
        <v>93.5</v>
      </c>
      <c r="E1046" s="234" t="s">
        <v>795</v>
      </c>
      <c r="F1046" s="296" t="s">
        <v>262</v>
      </c>
    </row>
    <row r="1047" spans="1:6" ht="14" x14ac:dyDescent="0.15">
      <c r="A1047" s="250"/>
      <c r="B1047" s="250" t="s">
        <v>266</v>
      </c>
      <c r="C1047" s="250"/>
      <c r="D1047" s="234">
        <v>7920</v>
      </c>
      <c r="E1047" s="234" t="s">
        <v>276</v>
      </c>
      <c r="F1047" s="296" t="s">
        <v>262</v>
      </c>
    </row>
    <row r="1048" spans="1:6" ht="14" x14ac:dyDescent="0.15">
      <c r="A1048" s="250"/>
      <c r="B1048" s="250" t="s">
        <v>267</v>
      </c>
      <c r="C1048" s="250"/>
      <c r="D1048" s="234">
        <v>24</v>
      </c>
      <c r="E1048" s="234" t="s">
        <v>277</v>
      </c>
      <c r="F1048" s="296" t="s">
        <v>87</v>
      </c>
    </row>
    <row r="1049" spans="1:6" ht="14" x14ac:dyDescent="0.15">
      <c r="A1049" s="250"/>
      <c r="B1049" s="250" t="s">
        <v>268</v>
      </c>
      <c r="C1049" s="250"/>
      <c r="D1049" s="234">
        <f>D1047/D1048</f>
        <v>330</v>
      </c>
      <c r="E1049" s="234" t="s">
        <v>278</v>
      </c>
      <c r="F1049" s="296" t="s">
        <v>66</v>
      </c>
    </row>
    <row r="1050" spans="1:6" x14ac:dyDescent="0.15">
      <c r="A1050" s="232" t="s">
        <v>167</v>
      </c>
    </row>
    <row r="1051" spans="1:6" ht="14" x14ac:dyDescent="0.15">
      <c r="A1051" s="250"/>
      <c r="B1051" s="250" t="s">
        <v>455</v>
      </c>
      <c r="C1051" s="250"/>
      <c r="D1051" s="255">
        <v>0.09</v>
      </c>
      <c r="E1051" s="234" t="s">
        <v>111</v>
      </c>
      <c r="F1051" s="296" t="s">
        <v>296</v>
      </c>
    </row>
    <row r="1052" spans="1:6" ht="17" x14ac:dyDescent="0.25">
      <c r="B1052" s="250" t="s">
        <v>991</v>
      </c>
      <c r="D1052" s="256">
        <f>D1051*D1046/D1042</f>
        <v>7.6499999999999999E-2</v>
      </c>
      <c r="E1052" s="234" t="s">
        <v>111</v>
      </c>
      <c r="F1052" s="296" t="s">
        <v>279</v>
      </c>
    </row>
    <row r="1053" spans="1:6" ht="17" x14ac:dyDescent="0.25">
      <c r="B1053" s="233" t="s">
        <v>956</v>
      </c>
      <c r="D1053" s="236">
        <v>0.7</v>
      </c>
      <c r="E1053" s="234" t="s">
        <v>111</v>
      </c>
      <c r="F1053" s="296" t="s">
        <v>261</v>
      </c>
    </row>
    <row r="1054" spans="1:6" ht="17" x14ac:dyDescent="0.25">
      <c r="B1054" s="233" t="s">
        <v>957</v>
      </c>
      <c r="D1054" s="237">
        <f>'Energy Balance'!Q28</f>
        <v>0.25499999999999995</v>
      </c>
      <c r="E1054" s="234" t="s">
        <v>172</v>
      </c>
      <c r="F1054" s="296" t="s">
        <v>173</v>
      </c>
    </row>
    <row r="1055" spans="1:6" x14ac:dyDescent="0.15">
      <c r="A1055" s="232" t="s">
        <v>174</v>
      </c>
    </row>
    <row r="1056" spans="1:6" ht="17" x14ac:dyDescent="0.25">
      <c r="B1056" s="233" t="s">
        <v>958</v>
      </c>
      <c r="D1056" s="235">
        <v>0</v>
      </c>
      <c r="E1056" s="234" t="s">
        <v>175</v>
      </c>
      <c r="F1056" s="296" t="s">
        <v>295</v>
      </c>
    </row>
    <row r="1057" spans="1:6" ht="30" x14ac:dyDescent="0.25">
      <c r="B1057" s="233" t="s">
        <v>959</v>
      </c>
      <c r="C1057" s="229"/>
      <c r="D1057" s="236">
        <v>0</v>
      </c>
      <c r="E1057" s="234" t="s">
        <v>111</v>
      </c>
      <c r="F1057" s="296" t="s">
        <v>280</v>
      </c>
    </row>
    <row r="1058" spans="1:6" ht="17" x14ac:dyDescent="0.25">
      <c r="B1058" s="233" t="s">
        <v>960</v>
      </c>
      <c r="C1058" s="229"/>
      <c r="D1058" s="236">
        <v>0</v>
      </c>
      <c r="E1058" s="234" t="s">
        <v>111</v>
      </c>
      <c r="F1058" s="296" t="s">
        <v>87</v>
      </c>
    </row>
    <row r="1059" spans="1:6" ht="17" x14ac:dyDescent="0.25">
      <c r="B1059" s="233" t="s">
        <v>961</v>
      </c>
      <c r="C1059" s="229"/>
      <c r="D1059" s="240">
        <f>'Energy Balance'!D28</f>
        <v>0</v>
      </c>
      <c r="E1059" s="234" t="s">
        <v>175</v>
      </c>
      <c r="F1059" s="296" t="s">
        <v>947</v>
      </c>
    </row>
    <row r="1060" spans="1:6" ht="17" x14ac:dyDescent="0.25">
      <c r="B1060" s="233" t="s">
        <v>962</v>
      </c>
      <c r="C1060" s="229"/>
      <c r="D1060" s="229"/>
    </row>
    <row r="1061" spans="1:6" ht="14" x14ac:dyDescent="0.15">
      <c r="A1061" s="250"/>
      <c r="B1061" s="229"/>
      <c r="C1061" s="250" t="s">
        <v>290</v>
      </c>
      <c r="D1061" s="234">
        <v>100000</v>
      </c>
      <c r="E1061" s="234" t="s">
        <v>281</v>
      </c>
      <c r="F1061" s="296" t="s">
        <v>265</v>
      </c>
    </row>
    <row r="1062" spans="1:6" x14ac:dyDescent="0.15">
      <c r="A1062" s="250"/>
      <c r="B1062" s="229"/>
      <c r="C1062" s="250" t="s">
        <v>289</v>
      </c>
      <c r="D1062" s="234">
        <v>360000</v>
      </c>
      <c r="E1062" s="234" t="s">
        <v>281</v>
      </c>
    </row>
    <row r="1063" spans="1:6" ht="14" x14ac:dyDescent="0.15">
      <c r="A1063" s="250"/>
      <c r="B1063" s="229"/>
      <c r="C1063" s="250" t="s">
        <v>291</v>
      </c>
      <c r="D1063" s="234">
        <v>7.0900000000000005E-2</v>
      </c>
      <c r="E1063" s="234" t="s">
        <v>217</v>
      </c>
      <c r="F1063" s="296" t="s">
        <v>265</v>
      </c>
    </row>
    <row r="1064" spans="1:6" x14ac:dyDescent="0.15">
      <c r="A1064" s="250"/>
      <c r="B1064" s="229"/>
      <c r="C1064" s="250" t="s">
        <v>293</v>
      </c>
      <c r="D1064" s="254">
        <f>SUM(D1061:D1062)/D1063/D1044</f>
        <v>197.01927597555238</v>
      </c>
      <c r="E1064" s="234" t="s">
        <v>175</v>
      </c>
    </row>
    <row r="1065" spans="1:6" ht="14" x14ac:dyDescent="0.15">
      <c r="A1065" s="250"/>
      <c r="B1065" s="229"/>
      <c r="C1065" s="250" t="s">
        <v>292</v>
      </c>
      <c r="D1065" s="234">
        <v>60</v>
      </c>
      <c r="E1065" s="234" t="s">
        <v>175</v>
      </c>
      <c r="F1065" s="298" t="s">
        <v>162</v>
      </c>
    </row>
    <row r="1066" spans="1:6" ht="14" x14ac:dyDescent="0.15">
      <c r="A1066" s="250"/>
      <c r="B1066" s="229"/>
      <c r="C1066" s="250" t="s">
        <v>294</v>
      </c>
      <c r="D1066" s="247">
        <f>SUM(D1064:D1065)</f>
        <v>257.01927597555238</v>
      </c>
      <c r="E1066" s="234" t="s">
        <v>175</v>
      </c>
      <c r="F1066" s="296" t="s">
        <v>66</v>
      </c>
    </row>
    <row r="1067" spans="1:6" ht="17" x14ac:dyDescent="0.25">
      <c r="B1067" s="233" t="s">
        <v>963</v>
      </c>
      <c r="C1067" s="229"/>
    </row>
    <row r="1068" spans="1:6" ht="14" x14ac:dyDescent="0.15">
      <c r="A1068" s="250"/>
      <c r="B1068" s="229"/>
      <c r="C1068" s="250" t="s">
        <v>299</v>
      </c>
      <c r="D1068" s="255">
        <v>0.44</v>
      </c>
      <c r="E1068" s="234" t="s">
        <v>298</v>
      </c>
      <c r="F1068" s="296" t="s">
        <v>296</v>
      </c>
    </row>
    <row r="1069" spans="1:6" ht="14" x14ac:dyDescent="0.15">
      <c r="A1069" s="250"/>
      <c r="B1069" s="229"/>
      <c r="C1069" s="250" t="s">
        <v>299</v>
      </c>
      <c r="D1069" s="246">
        <f>D1068*D1046/D1042</f>
        <v>0.374</v>
      </c>
      <c r="E1069" s="234" t="s">
        <v>300</v>
      </c>
      <c r="F1069" s="296" t="s">
        <v>297</v>
      </c>
    </row>
    <row r="1070" spans="1:6" ht="14" x14ac:dyDescent="0.15">
      <c r="A1070" s="250"/>
      <c r="B1070" s="229"/>
      <c r="C1070" s="250" t="s">
        <v>302</v>
      </c>
      <c r="D1070" s="234">
        <v>0.98</v>
      </c>
      <c r="E1070" s="234" t="s">
        <v>301</v>
      </c>
      <c r="F1070" s="296" t="s">
        <v>296</v>
      </c>
    </row>
    <row r="1071" spans="1:6" x14ac:dyDescent="0.15">
      <c r="A1071" s="250"/>
      <c r="B1071" s="229"/>
      <c r="C1071" s="250" t="s">
        <v>304</v>
      </c>
      <c r="D1071" s="234">
        <v>999.97400000000005</v>
      </c>
      <c r="E1071" s="234" t="s">
        <v>301</v>
      </c>
    </row>
    <row r="1072" spans="1:6" ht="14" x14ac:dyDescent="0.15">
      <c r="A1072" s="250"/>
      <c r="B1072" s="229"/>
      <c r="C1072" s="250" t="s">
        <v>303</v>
      </c>
      <c r="D1072" s="257">
        <f>D1070*D1071</f>
        <v>979.97451999999998</v>
      </c>
      <c r="E1072" s="234" t="s">
        <v>301</v>
      </c>
      <c r="F1072" s="296" t="s">
        <v>66</v>
      </c>
    </row>
    <row r="1073" spans="1:6" ht="14" x14ac:dyDescent="0.15">
      <c r="A1073" s="250"/>
      <c r="B1073" s="229"/>
      <c r="C1073" s="250" t="s">
        <v>303</v>
      </c>
      <c r="D1073" s="257">
        <f>D1072*2.2046/264.172</f>
        <v>8.1782014247989956</v>
      </c>
      <c r="E1073" s="234" t="s">
        <v>313</v>
      </c>
      <c r="F1073" s="296" t="s">
        <v>312</v>
      </c>
    </row>
    <row r="1074" spans="1:6" ht="14" x14ac:dyDescent="0.15">
      <c r="A1074" s="250"/>
      <c r="B1074" s="229"/>
      <c r="C1074" s="250" t="s">
        <v>308</v>
      </c>
      <c r="D1074" s="234">
        <v>124990</v>
      </c>
      <c r="E1074" s="234" t="s">
        <v>309</v>
      </c>
      <c r="F1074" s="296" t="s">
        <v>311</v>
      </c>
    </row>
    <row r="1075" spans="1:6" ht="14" x14ac:dyDescent="0.15">
      <c r="A1075" s="250"/>
      <c r="B1075" s="229"/>
      <c r="C1075" s="250" t="s">
        <v>307</v>
      </c>
      <c r="D1075" s="254">
        <f>D1074/D1072*264.172/3412*1000</f>
        <v>9875.0259565987435</v>
      </c>
      <c r="E1075" s="234" t="s">
        <v>310</v>
      </c>
      <c r="F1075" s="296" t="s">
        <v>305</v>
      </c>
    </row>
    <row r="1076" spans="1:6" ht="14" x14ac:dyDescent="0.15">
      <c r="A1076" s="250"/>
      <c r="B1076" s="229"/>
      <c r="C1076" s="250" t="s">
        <v>306</v>
      </c>
      <c r="D1076" s="249">
        <f>D1069*D1075</f>
        <v>3693.2597077679302</v>
      </c>
      <c r="E1076" s="234" t="s">
        <v>175</v>
      </c>
      <c r="F1076" s="296" t="s">
        <v>66</v>
      </c>
    </row>
    <row r="1077" spans="1:6" ht="14" x14ac:dyDescent="0.15">
      <c r="A1077" s="250"/>
      <c r="B1077" s="229"/>
      <c r="C1077" s="250" t="s">
        <v>529</v>
      </c>
      <c r="D1077" s="234">
        <v>5.8</v>
      </c>
      <c r="E1077" s="234" t="s">
        <v>528</v>
      </c>
      <c r="F1077" s="297" t="s">
        <v>110</v>
      </c>
    </row>
    <row r="1078" spans="1:6" x14ac:dyDescent="0.15">
      <c r="A1078" s="250"/>
      <c r="B1078" s="229"/>
      <c r="C1078" s="250" t="s">
        <v>530</v>
      </c>
      <c r="D1078" s="234">
        <v>124990</v>
      </c>
      <c r="E1078" s="234" t="s">
        <v>309</v>
      </c>
      <c r="F1078" s="297"/>
    </row>
    <row r="1079" spans="1:6" x14ac:dyDescent="0.15">
      <c r="A1079" s="250"/>
      <c r="B1079" s="229"/>
      <c r="C1079" s="250" t="s">
        <v>530</v>
      </c>
      <c r="D1079" s="258">
        <f>D1078/1000000*42</f>
        <v>5.2495799999999999</v>
      </c>
      <c r="E1079" s="234" t="s">
        <v>528</v>
      </c>
      <c r="F1079" s="297"/>
    </row>
    <row r="1080" spans="1:6" x14ac:dyDescent="0.15">
      <c r="A1080" s="250"/>
      <c r="B1080" s="229"/>
      <c r="C1080" s="250" t="s">
        <v>888</v>
      </c>
      <c r="D1080" s="247">
        <f>D1079/D1077</f>
        <v>0.90510000000000002</v>
      </c>
      <c r="E1080" s="234" t="s">
        <v>12</v>
      </c>
      <c r="F1080" s="297"/>
    </row>
    <row r="1081" spans="1:6" ht="17" x14ac:dyDescent="0.25">
      <c r="A1081" s="250"/>
      <c r="B1081" s="233" t="s">
        <v>964</v>
      </c>
      <c r="C1081" s="259"/>
      <c r="D1081" s="244">
        <f>'Energy Balance'!S28</f>
        <v>34.530837608831568</v>
      </c>
      <c r="E1081" s="234" t="s">
        <v>175</v>
      </c>
      <c r="F1081" s="296" t="s">
        <v>948</v>
      </c>
    </row>
    <row r="1082" spans="1:6" ht="17" x14ac:dyDescent="0.25">
      <c r="B1082" s="233" t="s">
        <v>965</v>
      </c>
      <c r="C1082" s="229"/>
      <c r="D1082" s="229"/>
    </row>
    <row r="1083" spans="1:6" ht="14" x14ac:dyDescent="0.15">
      <c r="B1083" s="229"/>
      <c r="C1083" s="250" t="s">
        <v>285</v>
      </c>
      <c r="D1083" s="234">
        <v>390000</v>
      </c>
      <c r="E1083" s="234" t="s">
        <v>281</v>
      </c>
      <c r="F1083" s="296" t="s">
        <v>265</v>
      </c>
    </row>
    <row r="1084" spans="1:6" ht="14" x14ac:dyDescent="0.15">
      <c r="B1084" s="229"/>
      <c r="C1084" s="250" t="s">
        <v>284</v>
      </c>
      <c r="D1084" s="234">
        <v>180000</v>
      </c>
      <c r="E1084" s="234" t="s">
        <v>281</v>
      </c>
      <c r="F1084" s="296" t="s">
        <v>265</v>
      </c>
    </row>
    <row r="1085" spans="1:6" ht="14" x14ac:dyDescent="0.15">
      <c r="B1085" s="229"/>
      <c r="C1085" s="250" t="s">
        <v>286</v>
      </c>
      <c r="D1085" s="234">
        <f>SUM(D1083:D1084)</f>
        <v>570000</v>
      </c>
      <c r="E1085" s="234" t="s">
        <v>281</v>
      </c>
      <c r="F1085" s="296" t="s">
        <v>66</v>
      </c>
    </row>
    <row r="1086" spans="1:6" ht="14" x14ac:dyDescent="0.15">
      <c r="B1086" s="229"/>
      <c r="C1086" s="250" t="s">
        <v>287</v>
      </c>
      <c r="D1086" s="234">
        <v>5.62</v>
      </c>
      <c r="E1086" s="234" t="s">
        <v>282</v>
      </c>
      <c r="F1086" s="296" t="s">
        <v>265</v>
      </c>
    </row>
    <row r="1087" spans="1:6" ht="14" x14ac:dyDescent="0.15">
      <c r="B1087" s="229"/>
      <c r="C1087" s="250" t="s">
        <v>407</v>
      </c>
      <c r="D1087" s="254">
        <f>D1085/D1086/D1044*1000</f>
        <v>3079.8932384341629</v>
      </c>
      <c r="E1087" s="234" t="s">
        <v>283</v>
      </c>
      <c r="F1087" s="296" t="s">
        <v>66</v>
      </c>
    </row>
    <row r="1088" spans="1:6" ht="14" x14ac:dyDescent="0.15">
      <c r="B1088" s="229"/>
      <c r="C1088" s="250" t="s">
        <v>407</v>
      </c>
      <c r="D1088" s="247">
        <f>D1087*1037/1000000</f>
        <v>3.193849288256227</v>
      </c>
      <c r="E1088" s="234" t="s">
        <v>178</v>
      </c>
      <c r="F1088" s="296" t="s">
        <v>288</v>
      </c>
    </row>
    <row r="1089" spans="1:8" ht="17" x14ac:dyDescent="0.25">
      <c r="B1089" s="233" t="s">
        <v>966</v>
      </c>
      <c r="C1089" s="229"/>
      <c r="D1089" s="240">
        <f>'Energy Balance'!Y28</f>
        <v>2541.5488337152001</v>
      </c>
      <c r="E1089" s="234" t="s">
        <v>175</v>
      </c>
      <c r="F1089" s="296" t="s">
        <v>176</v>
      </c>
    </row>
    <row r="1090" spans="1:8" ht="17" x14ac:dyDescent="0.25">
      <c r="A1090" s="232" t="s">
        <v>967</v>
      </c>
      <c r="C1090" s="229"/>
    </row>
    <row r="1091" spans="1:8" ht="17" x14ac:dyDescent="0.25">
      <c r="B1091" s="233" t="s">
        <v>968</v>
      </c>
      <c r="C1091" s="229"/>
      <c r="D1091" s="241">
        <f>GWP!P26</f>
        <v>0</v>
      </c>
      <c r="E1091" s="234" t="s">
        <v>969</v>
      </c>
      <c r="F1091" s="296" t="s">
        <v>949</v>
      </c>
    </row>
    <row r="1092" spans="1:8" ht="17" x14ac:dyDescent="0.25">
      <c r="B1092" s="233" t="s">
        <v>970</v>
      </c>
      <c r="C1092" s="229"/>
      <c r="D1092" s="235">
        <v>0</v>
      </c>
      <c r="E1092" s="234" t="s">
        <v>172</v>
      </c>
      <c r="F1092" s="296" t="s">
        <v>190</v>
      </c>
      <c r="G1092" s="234"/>
      <c r="H1092" s="234"/>
    </row>
    <row r="1093" spans="1:8" ht="17" x14ac:dyDescent="0.25">
      <c r="B1093" s="233" t="s">
        <v>971</v>
      </c>
      <c r="C1093" s="229"/>
      <c r="D1093" s="244">
        <f>GWP!R26</f>
        <v>0</v>
      </c>
      <c r="E1093" s="234" t="s">
        <v>969</v>
      </c>
      <c r="F1093" s="296" t="s">
        <v>193</v>
      </c>
    </row>
    <row r="1094" spans="1:8" ht="17" x14ac:dyDescent="0.25">
      <c r="B1094" s="233" t="s">
        <v>972</v>
      </c>
      <c r="C1094" s="229"/>
      <c r="D1094" s="235">
        <v>0</v>
      </c>
      <c r="E1094" s="234" t="s">
        <v>172</v>
      </c>
      <c r="F1094" s="296" t="s">
        <v>192</v>
      </c>
      <c r="G1094" s="234"/>
      <c r="H1094" s="234"/>
    </row>
    <row r="1095" spans="1:8" ht="17" x14ac:dyDescent="0.25">
      <c r="B1095" s="233" t="s">
        <v>973</v>
      </c>
      <c r="C1095" s="229"/>
      <c r="D1095" s="243">
        <f>GWP!T26</f>
        <v>0</v>
      </c>
      <c r="E1095" s="234" t="s">
        <v>969</v>
      </c>
      <c r="F1095" s="296" t="s">
        <v>919</v>
      </c>
    </row>
    <row r="1096" spans="1:8" ht="17" x14ac:dyDescent="0.25">
      <c r="B1096" s="233" t="s">
        <v>974</v>
      </c>
      <c r="C1096" s="229"/>
      <c r="G1096" s="234"/>
      <c r="H1096" s="234"/>
    </row>
    <row r="1097" spans="1:8" x14ac:dyDescent="0.15">
      <c r="A1097" s="250"/>
      <c r="B1097" s="229"/>
      <c r="C1097" s="250" t="s">
        <v>888</v>
      </c>
      <c r="D1097" s="247">
        <f>D1079/D1077</f>
        <v>0.90510000000000002</v>
      </c>
      <c r="E1097" s="234" t="s">
        <v>12</v>
      </c>
      <c r="G1097" s="234"/>
      <c r="H1097" s="234"/>
    </row>
    <row r="1098" spans="1:8" ht="14" x14ac:dyDescent="0.15">
      <c r="A1098" s="250"/>
      <c r="B1098" s="229"/>
      <c r="C1098" s="250" t="s">
        <v>917</v>
      </c>
      <c r="D1098" s="244">
        <v>319</v>
      </c>
      <c r="E1098" s="234" t="s">
        <v>314</v>
      </c>
      <c r="F1098" s="296" t="s">
        <v>918</v>
      </c>
      <c r="G1098" s="234"/>
      <c r="H1098" s="234"/>
    </row>
    <row r="1099" spans="1:8" ht="14" x14ac:dyDescent="0.15">
      <c r="A1099" s="250"/>
      <c r="B1099" s="229"/>
      <c r="C1099" s="250" t="s">
        <v>103</v>
      </c>
      <c r="D1099" s="249">
        <f>D1076*D1097*D1098/1000</f>
        <v>1066.3434263187405</v>
      </c>
      <c r="E1099" s="234" t="s">
        <v>314</v>
      </c>
      <c r="F1099" s="296" t="s">
        <v>200</v>
      </c>
    </row>
    <row r="1100" spans="1:8" ht="17" x14ac:dyDescent="0.25">
      <c r="B1100" s="233" t="s">
        <v>975</v>
      </c>
      <c r="C1100" s="229"/>
      <c r="D1100" s="235">
        <v>0</v>
      </c>
      <c r="E1100" s="234" t="s">
        <v>314</v>
      </c>
      <c r="F1100" s="296" t="s">
        <v>190</v>
      </c>
    </row>
    <row r="1101" spans="1:8" ht="17" x14ac:dyDescent="0.25">
      <c r="B1101" s="233" t="s">
        <v>976</v>
      </c>
      <c r="C1101" s="229"/>
      <c r="D1101" s="244">
        <f>GWP!AB26</f>
        <v>-649.84045146280835</v>
      </c>
      <c r="E1101" s="234" t="s">
        <v>314</v>
      </c>
      <c r="F1101" s="296" t="s">
        <v>179</v>
      </c>
    </row>
    <row r="1102" spans="1:8" x14ac:dyDescent="0.15">
      <c r="A1102" s="232" t="s">
        <v>41</v>
      </c>
      <c r="C1102" s="229"/>
    </row>
    <row r="1103" spans="1:8" ht="14" x14ac:dyDescent="0.15">
      <c r="A1103" s="250"/>
      <c r="B1103" s="250" t="s">
        <v>317</v>
      </c>
      <c r="C1103" s="250"/>
      <c r="D1103" s="234">
        <v>18200000</v>
      </c>
      <c r="E1103" s="234" t="s">
        <v>315</v>
      </c>
      <c r="F1103" s="296" t="s">
        <v>316</v>
      </c>
    </row>
    <row r="1104" spans="1:8" ht="14" x14ac:dyDescent="0.15">
      <c r="A1104" s="250"/>
      <c r="B1104" s="250" t="s">
        <v>317</v>
      </c>
      <c r="C1104" s="250"/>
      <c r="D1104" s="254">
        <f>D1103/D1043</f>
        <v>182382.19999999998</v>
      </c>
      <c r="E1104" s="234" t="s">
        <v>822</v>
      </c>
      <c r="F1104" s="296" t="s">
        <v>66</v>
      </c>
    </row>
    <row r="1105" spans="1:6" ht="14" x14ac:dyDescent="0.15">
      <c r="B1105" s="233" t="s">
        <v>802</v>
      </c>
      <c r="D1105" s="260">
        <v>7.6899999999999996E-2</v>
      </c>
      <c r="E1105" s="234" t="s">
        <v>111</v>
      </c>
      <c r="F1105" s="297" t="s">
        <v>797</v>
      </c>
    </row>
    <row r="1106" spans="1:6" x14ac:dyDescent="0.15">
      <c r="B1106" s="233" t="s">
        <v>799</v>
      </c>
      <c r="D1106" s="242">
        <f>D1104*(1+D1105)</f>
        <v>196407.39117999998</v>
      </c>
      <c r="E1106" s="234" t="s">
        <v>404</v>
      </c>
      <c r="F1106" s="297"/>
    </row>
    <row r="1107" spans="1:6" x14ac:dyDescent="0.15">
      <c r="A1107" s="232" t="s">
        <v>195</v>
      </c>
      <c r="C1107" s="229"/>
    </row>
    <row r="1108" spans="1:6" x14ac:dyDescent="0.15">
      <c r="B1108" s="233" t="s">
        <v>42</v>
      </c>
      <c r="C1108" s="229"/>
    </row>
    <row r="1109" spans="1:6" ht="14" x14ac:dyDescent="0.15">
      <c r="A1109" s="250"/>
      <c r="B1109" s="229"/>
      <c r="C1109" s="250" t="s">
        <v>45</v>
      </c>
      <c r="D1109" s="234">
        <v>1780000</v>
      </c>
      <c r="E1109" s="234" t="s">
        <v>318</v>
      </c>
      <c r="F1109" s="296" t="s">
        <v>320</v>
      </c>
    </row>
    <row r="1110" spans="1:6" ht="14" x14ac:dyDescent="0.15">
      <c r="A1110" s="250"/>
      <c r="B1110" s="229"/>
      <c r="C1110" s="250" t="s">
        <v>46</v>
      </c>
      <c r="D1110" s="234">
        <v>2760000</v>
      </c>
      <c r="E1110" s="234" t="s">
        <v>318</v>
      </c>
      <c r="F1110" s="296" t="s">
        <v>320</v>
      </c>
    </row>
    <row r="1111" spans="1:6" x14ac:dyDescent="0.15">
      <c r="A1111" s="250"/>
      <c r="B1111" s="229"/>
      <c r="C1111" s="250" t="s">
        <v>319</v>
      </c>
      <c r="D1111" s="254">
        <f>SUM(D1109:D1110)/D1044</f>
        <v>137.86466666666664</v>
      </c>
      <c r="E1111" s="234" t="s">
        <v>324</v>
      </c>
    </row>
    <row r="1112" spans="1:6" ht="14" x14ac:dyDescent="0.15">
      <c r="B1112" s="233" t="s">
        <v>802</v>
      </c>
      <c r="D1112" s="260">
        <v>7.6899999999999996E-2</v>
      </c>
      <c r="E1112" s="234" t="s">
        <v>111</v>
      </c>
      <c r="F1112" s="297" t="s">
        <v>797</v>
      </c>
    </row>
    <row r="1113" spans="1:6" x14ac:dyDescent="0.15">
      <c r="B1113" s="233" t="s">
        <v>798</v>
      </c>
      <c r="D1113" s="276">
        <f>D1111*(1+D1112)</f>
        <v>148.46645953333331</v>
      </c>
      <c r="E1113" s="234" t="s">
        <v>816</v>
      </c>
    </row>
    <row r="1114" spans="1:6" ht="14" x14ac:dyDescent="0.15">
      <c r="B1114" s="233" t="s">
        <v>197</v>
      </c>
      <c r="C1114" s="229"/>
      <c r="D1114" s="237">
        <f>'Commercial Viability'!F29</f>
        <v>14.692925235935226</v>
      </c>
      <c r="E1114" s="234" t="s">
        <v>199</v>
      </c>
      <c r="F1114" s="296" t="s">
        <v>950</v>
      </c>
    </row>
    <row r="1115" spans="1:6" x14ac:dyDescent="0.15">
      <c r="B1115" s="233" t="s">
        <v>196</v>
      </c>
      <c r="C1115" s="229"/>
    </row>
    <row r="1116" spans="1:6" ht="14" x14ac:dyDescent="0.15">
      <c r="A1116" s="250"/>
      <c r="B1116" s="229"/>
      <c r="C1116" s="250" t="s">
        <v>57</v>
      </c>
      <c r="D1116" s="234">
        <v>50</v>
      </c>
      <c r="E1116" s="234" t="s">
        <v>322</v>
      </c>
      <c r="F1116" s="297" t="s">
        <v>321</v>
      </c>
    </row>
    <row r="1117" spans="1:6" ht="14" x14ac:dyDescent="0.15">
      <c r="A1117" s="250"/>
      <c r="B1117" s="229"/>
      <c r="C1117" s="250" t="s">
        <v>47</v>
      </c>
      <c r="D1117" s="261">
        <f>D1116/42/D1073*2.2046</f>
        <v>0.3209169930157737</v>
      </c>
      <c r="E1117" s="234" t="s">
        <v>323</v>
      </c>
      <c r="F1117" s="296" t="s">
        <v>325</v>
      </c>
    </row>
    <row r="1118" spans="1:6" ht="14" x14ac:dyDescent="0.15">
      <c r="A1118" s="250"/>
      <c r="B1118" s="229"/>
      <c r="C1118" s="250" t="s">
        <v>836</v>
      </c>
      <c r="D1118" s="276">
        <f>D1069*1000*D1117</f>
        <v>120.02295538789936</v>
      </c>
      <c r="E1118" s="234" t="s">
        <v>199</v>
      </c>
      <c r="F1118" s="296" t="s">
        <v>66</v>
      </c>
    </row>
    <row r="1119" spans="1:6" ht="14" x14ac:dyDescent="0.15">
      <c r="B1119" s="233" t="s">
        <v>195</v>
      </c>
      <c r="C1119" s="229"/>
      <c r="D1119" s="244">
        <f>'Commercial Viability'!H29</f>
        <v>-43.136429381369169</v>
      </c>
      <c r="E1119" s="234" t="s">
        <v>199</v>
      </c>
      <c r="F1119" s="296" t="s">
        <v>951</v>
      </c>
    </row>
    <row r="1120" spans="1:6" x14ac:dyDescent="0.15">
      <c r="A1120" s="232" t="s">
        <v>201</v>
      </c>
      <c r="C1120" s="229"/>
    </row>
    <row r="1121" spans="1:6" ht="28" x14ac:dyDescent="0.15">
      <c r="B1121" s="233" t="s">
        <v>6</v>
      </c>
      <c r="D1121" s="235">
        <v>7</v>
      </c>
      <c r="F1121" s="296" t="s">
        <v>326</v>
      </c>
    </row>
    <row r="1122" spans="1:6" x14ac:dyDescent="0.15">
      <c r="A1122" s="250"/>
      <c r="B1122" s="229"/>
      <c r="C1122" s="250"/>
      <c r="E1122" s="246"/>
    </row>
    <row r="1123" spans="1:6" s="228" customFormat="1" x14ac:dyDescent="0.15">
      <c r="A1123" s="225" t="s">
        <v>992</v>
      </c>
      <c r="B1123" s="226"/>
      <c r="C1123" s="226"/>
      <c r="D1123" s="227"/>
      <c r="E1123" s="227"/>
      <c r="F1123" s="294"/>
    </row>
    <row r="1124" spans="1:6" ht="14" x14ac:dyDescent="0.15">
      <c r="B1124" s="230" t="s">
        <v>171</v>
      </c>
      <c r="C1124" s="230"/>
      <c r="D1124" s="231" t="s">
        <v>170</v>
      </c>
      <c r="E1124" s="231" t="s">
        <v>169</v>
      </c>
      <c r="F1124" s="295" t="s">
        <v>168</v>
      </c>
    </row>
    <row r="1125" spans="1:6" ht="14" x14ac:dyDescent="0.15">
      <c r="A1125" s="250"/>
      <c r="B1125" s="250" t="s">
        <v>327</v>
      </c>
      <c r="D1125" s="254">
        <v>296200000</v>
      </c>
      <c r="E1125" s="234" t="s">
        <v>329</v>
      </c>
      <c r="F1125" s="296" t="s">
        <v>328</v>
      </c>
    </row>
    <row r="1126" spans="1:6" ht="28" x14ac:dyDescent="0.15">
      <c r="A1126" s="250"/>
      <c r="B1126" s="250" t="s">
        <v>333</v>
      </c>
      <c r="D1126" s="254">
        <f>D1125/D1131/2000/D1069</f>
        <v>1199.967590341922</v>
      </c>
      <c r="E1126" s="234" t="s">
        <v>330</v>
      </c>
      <c r="F1126" s="296" t="s">
        <v>331</v>
      </c>
    </row>
    <row r="1127" spans="1:6" ht="14" x14ac:dyDescent="0.15">
      <c r="A1127" s="250"/>
      <c r="B1127" s="250" t="s">
        <v>333</v>
      </c>
      <c r="D1127" s="254">
        <f>D1126/1.10231</f>
        <v>1088.5935810633325</v>
      </c>
      <c r="E1127" s="234" t="s">
        <v>270</v>
      </c>
      <c r="F1127" s="296" t="s">
        <v>332</v>
      </c>
    </row>
    <row r="1128" spans="1:6" ht="14" x14ac:dyDescent="0.15">
      <c r="A1128" s="250"/>
      <c r="B1128" s="250" t="s">
        <v>333</v>
      </c>
      <c r="D1128" s="254">
        <f>D1127*D1131</f>
        <v>359235.88175089972</v>
      </c>
      <c r="E1128" s="234" t="s">
        <v>271</v>
      </c>
      <c r="F1128" s="296" t="s">
        <v>334</v>
      </c>
    </row>
    <row r="1129" spans="1:6" ht="14" x14ac:dyDescent="0.15">
      <c r="A1129" s="250"/>
      <c r="B1129" s="250" t="s">
        <v>43</v>
      </c>
      <c r="D1129" s="234">
        <v>7920</v>
      </c>
      <c r="E1129" s="234" t="s">
        <v>276</v>
      </c>
      <c r="F1129" s="296" t="s">
        <v>262</v>
      </c>
    </row>
    <row r="1130" spans="1:6" ht="14" x14ac:dyDescent="0.15">
      <c r="A1130" s="250"/>
      <c r="B1130" s="250" t="s">
        <v>40</v>
      </c>
      <c r="D1130" s="234">
        <v>24</v>
      </c>
      <c r="E1130" s="234" t="s">
        <v>277</v>
      </c>
      <c r="F1130" s="296" t="s">
        <v>87</v>
      </c>
    </row>
    <row r="1131" spans="1:6" ht="14" x14ac:dyDescent="0.15">
      <c r="A1131" s="250"/>
      <c r="B1131" s="250" t="s">
        <v>44</v>
      </c>
      <c r="D1131" s="234">
        <f>D1129/D1130</f>
        <v>330</v>
      </c>
      <c r="E1131" s="234" t="s">
        <v>278</v>
      </c>
      <c r="F1131" s="296" t="s">
        <v>66</v>
      </c>
    </row>
    <row r="1132" spans="1:6" x14ac:dyDescent="0.15">
      <c r="A1132" s="232" t="s">
        <v>167</v>
      </c>
    </row>
    <row r="1133" spans="1:6" ht="14" x14ac:dyDescent="0.15">
      <c r="A1133" s="250"/>
      <c r="B1133" s="250" t="s">
        <v>115</v>
      </c>
      <c r="C1133" s="250"/>
      <c r="D1133" s="255">
        <v>0.09</v>
      </c>
      <c r="E1133" s="234" t="s">
        <v>111</v>
      </c>
      <c r="F1133" s="296" t="s">
        <v>296</v>
      </c>
    </row>
    <row r="1134" spans="1:6" ht="17" x14ac:dyDescent="0.25">
      <c r="B1134" s="250" t="s">
        <v>993</v>
      </c>
      <c r="D1134" s="256">
        <f>D1052</f>
        <v>7.6499999999999999E-2</v>
      </c>
      <c r="E1134" s="234" t="s">
        <v>111</v>
      </c>
      <c r="F1134" s="296" t="s">
        <v>279</v>
      </c>
    </row>
    <row r="1135" spans="1:6" ht="17" x14ac:dyDescent="0.25">
      <c r="B1135" s="233" t="s">
        <v>956</v>
      </c>
      <c r="D1135" s="236">
        <v>0.7</v>
      </c>
      <c r="E1135" s="234" t="s">
        <v>111</v>
      </c>
      <c r="F1135" s="296" t="s">
        <v>261</v>
      </c>
    </row>
    <row r="1136" spans="1:6" ht="17" x14ac:dyDescent="0.25">
      <c r="B1136" s="233" t="s">
        <v>957</v>
      </c>
      <c r="D1136" s="237">
        <f>'Energy Balance'!Q29</f>
        <v>0.25499999999999995</v>
      </c>
      <c r="E1136" s="234" t="s">
        <v>172</v>
      </c>
      <c r="F1136" s="296" t="s">
        <v>173</v>
      </c>
    </row>
    <row r="1137" spans="1:6" x14ac:dyDescent="0.15">
      <c r="A1137" s="232" t="s">
        <v>174</v>
      </c>
    </row>
    <row r="1138" spans="1:6" ht="17" x14ac:dyDescent="0.25">
      <c r="B1138" s="233" t="s">
        <v>958</v>
      </c>
      <c r="D1138" s="235">
        <v>0</v>
      </c>
      <c r="E1138" s="234" t="s">
        <v>175</v>
      </c>
      <c r="F1138" s="296" t="s">
        <v>295</v>
      </c>
    </row>
    <row r="1139" spans="1:6" ht="30" x14ac:dyDescent="0.25">
      <c r="B1139" s="233" t="s">
        <v>959</v>
      </c>
      <c r="C1139" s="229"/>
      <c r="D1139" s="236">
        <v>0</v>
      </c>
      <c r="E1139" s="234" t="s">
        <v>111</v>
      </c>
      <c r="F1139" s="296" t="s">
        <v>280</v>
      </c>
    </row>
    <row r="1140" spans="1:6" ht="17" x14ac:dyDescent="0.25">
      <c r="B1140" s="233" t="s">
        <v>960</v>
      </c>
      <c r="C1140" s="229"/>
      <c r="D1140" s="236">
        <v>0</v>
      </c>
      <c r="E1140" s="234" t="s">
        <v>111</v>
      </c>
      <c r="F1140" s="296" t="s">
        <v>87</v>
      </c>
    </row>
    <row r="1141" spans="1:6" ht="17" x14ac:dyDescent="0.25">
      <c r="B1141" s="233" t="s">
        <v>961</v>
      </c>
      <c r="C1141" s="229"/>
      <c r="D1141" s="240">
        <f>'Energy Balance'!D29</f>
        <v>0</v>
      </c>
      <c r="E1141" s="234" t="s">
        <v>175</v>
      </c>
      <c r="F1141" s="296" t="s">
        <v>947</v>
      </c>
    </row>
    <row r="1142" spans="1:6" ht="17" x14ac:dyDescent="0.25">
      <c r="B1142" s="233" t="s">
        <v>962</v>
      </c>
      <c r="C1142" s="229"/>
      <c r="D1142" s="229"/>
    </row>
    <row r="1143" spans="1:6" ht="14" x14ac:dyDescent="0.15">
      <c r="A1143" s="250"/>
      <c r="B1143" s="229"/>
      <c r="C1143" s="233" t="s">
        <v>339</v>
      </c>
      <c r="D1143" s="234">
        <v>920000</v>
      </c>
      <c r="E1143" s="234" t="s">
        <v>318</v>
      </c>
      <c r="F1143" s="296" t="s">
        <v>335</v>
      </c>
    </row>
    <row r="1144" spans="1:6" ht="14" x14ac:dyDescent="0.15">
      <c r="A1144" s="250"/>
      <c r="B1144" s="229"/>
      <c r="C1144" s="233" t="s">
        <v>340</v>
      </c>
      <c r="D1144" s="234">
        <v>7.0900000000000005E-2</v>
      </c>
      <c r="E1144" s="234" t="s">
        <v>217</v>
      </c>
      <c r="F1144" s="296" t="s">
        <v>335</v>
      </c>
    </row>
    <row r="1145" spans="1:6" ht="14" x14ac:dyDescent="0.15">
      <c r="A1145" s="250"/>
      <c r="B1145" s="229"/>
      <c r="C1145" s="233" t="s">
        <v>341</v>
      </c>
      <c r="D1145" s="254">
        <f>D1143/D1144/D1131/D1127</f>
        <v>36.121176157991819</v>
      </c>
      <c r="E1145" s="234" t="s">
        <v>175</v>
      </c>
      <c r="F1145" s="296" t="s">
        <v>66</v>
      </c>
    </row>
    <row r="1146" spans="1:6" ht="14" x14ac:dyDescent="0.15">
      <c r="A1146" s="250"/>
      <c r="B1146" s="229"/>
      <c r="C1146" s="233" t="s">
        <v>337</v>
      </c>
      <c r="D1146" s="254">
        <f>D1066</f>
        <v>257.01927597555238</v>
      </c>
      <c r="E1146" s="234" t="s">
        <v>175</v>
      </c>
      <c r="F1146" s="296" t="s">
        <v>336</v>
      </c>
    </row>
    <row r="1147" spans="1:6" ht="14" x14ac:dyDescent="0.15">
      <c r="A1147" s="250"/>
      <c r="B1147" s="229"/>
      <c r="C1147" s="250" t="s">
        <v>348</v>
      </c>
      <c r="D1147" s="249">
        <f>D1146+D1145</f>
        <v>293.14045213354422</v>
      </c>
      <c r="E1147" s="234" t="s">
        <v>175</v>
      </c>
      <c r="F1147" s="296" t="s">
        <v>66</v>
      </c>
    </row>
    <row r="1148" spans="1:6" ht="17" x14ac:dyDescent="0.25">
      <c r="B1148" s="233" t="s">
        <v>963</v>
      </c>
      <c r="C1148" s="229"/>
    </row>
    <row r="1149" spans="1:6" ht="28" x14ac:dyDescent="0.15">
      <c r="A1149" s="250"/>
      <c r="B1149" s="229"/>
      <c r="C1149" s="250" t="s">
        <v>351</v>
      </c>
      <c r="D1149" s="246">
        <f>D1069</f>
        <v>0.374</v>
      </c>
      <c r="E1149" s="234" t="s">
        <v>350</v>
      </c>
      <c r="F1149" s="296" t="s">
        <v>352</v>
      </c>
    </row>
    <row r="1150" spans="1:6" ht="14" x14ac:dyDescent="0.15">
      <c r="A1150" s="250"/>
      <c r="B1150" s="229"/>
      <c r="C1150" s="250" t="s">
        <v>354</v>
      </c>
      <c r="D1150" s="262">
        <v>183800000</v>
      </c>
      <c r="E1150" s="234" t="s">
        <v>353</v>
      </c>
      <c r="F1150" s="296" t="s">
        <v>328</v>
      </c>
    </row>
    <row r="1151" spans="1:6" ht="14" x14ac:dyDescent="0.15">
      <c r="A1151" s="250"/>
      <c r="B1151" s="229"/>
      <c r="C1151" s="250" t="s">
        <v>356</v>
      </c>
      <c r="D1151" s="260">
        <f>D1150/D1125</f>
        <v>0.62052667116812965</v>
      </c>
      <c r="E1151" s="234" t="s">
        <v>355</v>
      </c>
      <c r="F1151" s="296" t="s">
        <v>357</v>
      </c>
    </row>
    <row r="1152" spans="1:6" ht="14" x14ac:dyDescent="0.15">
      <c r="A1152" s="250"/>
      <c r="B1152" s="229"/>
      <c r="C1152" s="250" t="s">
        <v>356</v>
      </c>
      <c r="D1152" s="260">
        <f>D1149*D1151</f>
        <v>0.23207697501688049</v>
      </c>
      <c r="E1152" s="234" t="s">
        <v>350</v>
      </c>
      <c r="F1152" s="296" t="s">
        <v>358</v>
      </c>
    </row>
    <row r="1153" spans="1:6" ht="14" x14ac:dyDescent="0.15">
      <c r="A1153" s="250"/>
      <c r="B1153" s="229"/>
      <c r="C1153" s="250" t="s">
        <v>49</v>
      </c>
      <c r="D1153" s="234">
        <v>124394</v>
      </c>
      <c r="E1153" s="234" t="s">
        <v>309</v>
      </c>
      <c r="F1153" s="296" t="s">
        <v>18</v>
      </c>
    </row>
    <row r="1154" spans="1:6" ht="14" x14ac:dyDescent="0.15">
      <c r="A1154" s="250"/>
      <c r="B1154" s="229"/>
      <c r="C1154" s="250" t="s">
        <v>50</v>
      </c>
      <c r="D1154" s="234">
        <v>6.66</v>
      </c>
      <c r="E1154" s="234" t="s">
        <v>313</v>
      </c>
      <c r="F1154" s="296" t="s">
        <v>18</v>
      </c>
    </row>
    <row r="1155" spans="1:6" ht="14" x14ac:dyDescent="0.15">
      <c r="A1155" s="250"/>
      <c r="B1155" s="229"/>
      <c r="C1155" s="250" t="s">
        <v>48</v>
      </c>
      <c r="D1155" s="251">
        <f>D1153/D1154/3412*2.20462</f>
        <v>12.068406343623812</v>
      </c>
      <c r="E1155" s="234" t="s">
        <v>361</v>
      </c>
      <c r="F1155" s="296" t="s">
        <v>66</v>
      </c>
    </row>
    <row r="1156" spans="1:6" ht="14" x14ac:dyDescent="0.15">
      <c r="A1156" s="250"/>
      <c r="B1156" s="229"/>
      <c r="C1156" s="250" t="s">
        <v>837</v>
      </c>
      <c r="D1156" s="247">
        <f>D1152*1000*D1155</f>
        <v>2800.7992375027452</v>
      </c>
      <c r="E1156" s="234" t="s">
        <v>175</v>
      </c>
      <c r="F1156" s="296" t="s">
        <v>66</v>
      </c>
    </row>
    <row r="1157" spans="1:6" ht="14" x14ac:dyDescent="0.15">
      <c r="A1157" s="250"/>
      <c r="B1157" s="229"/>
      <c r="C1157" s="250" t="s">
        <v>359</v>
      </c>
      <c r="D1157" s="234">
        <v>56500000</v>
      </c>
      <c r="E1157" s="234" t="s">
        <v>353</v>
      </c>
      <c r="F1157" s="296" t="s">
        <v>328</v>
      </c>
    </row>
    <row r="1158" spans="1:6" ht="14" x14ac:dyDescent="0.15">
      <c r="A1158" s="250"/>
      <c r="B1158" s="229"/>
      <c r="C1158" s="250" t="s">
        <v>360</v>
      </c>
      <c r="D1158" s="260">
        <f>D1157/D1125</f>
        <v>0.19074949358541526</v>
      </c>
      <c r="E1158" s="234" t="s">
        <v>355</v>
      </c>
      <c r="F1158" s="296" t="s">
        <v>357</v>
      </c>
    </row>
    <row r="1159" spans="1:6" ht="14" x14ac:dyDescent="0.15">
      <c r="A1159" s="250"/>
      <c r="B1159" s="229"/>
      <c r="C1159" s="250" t="s">
        <v>360</v>
      </c>
      <c r="D1159" s="260">
        <f>D1149*D1158</f>
        <v>7.1340310600945311E-2</v>
      </c>
      <c r="E1159" s="234" t="s">
        <v>350</v>
      </c>
      <c r="F1159" s="296" t="s">
        <v>358</v>
      </c>
    </row>
    <row r="1160" spans="1:6" ht="14" x14ac:dyDescent="0.15">
      <c r="A1160" s="250"/>
      <c r="B1160" s="229"/>
      <c r="C1160" s="250" t="s">
        <v>363</v>
      </c>
      <c r="D1160" s="234">
        <v>114650</v>
      </c>
      <c r="E1160" s="234" t="s">
        <v>309</v>
      </c>
      <c r="F1160" s="296" t="s">
        <v>18</v>
      </c>
    </row>
    <row r="1161" spans="1:6" ht="14" x14ac:dyDescent="0.15">
      <c r="A1161" s="250"/>
      <c r="B1161" s="229"/>
      <c r="C1161" s="250" t="s">
        <v>364</v>
      </c>
      <c r="D1161" s="234">
        <v>6.13</v>
      </c>
      <c r="E1161" s="234" t="s">
        <v>313</v>
      </c>
      <c r="F1161" s="296" t="s">
        <v>18</v>
      </c>
    </row>
    <row r="1162" spans="1:6" ht="14" x14ac:dyDescent="0.15">
      <c r="A1162" s="250"/>
      <c r="B1162" s="229"/>
      <c r="C1162" s="250" t="s">
        <v>365</v>
      </c>
      <c r="D1162" s="251">
        <f>D1160/D1161/3412*2.20462</f>
        <v>12.084767656232966</v>
      </c>
      <c r="E1162" s="234" t="s">
        <v>361</v>
      </c>
      <c r="F1162" s="296" t="s">
        <v>66</v>
      </c>
    </row>
    <row r="1163" spans="1:6" ht="14" x14ac:dyDescent="0.15">
      <c r="A1163" s="250"/>
      <c r="B1163" s="229"/>
      <c r="C1163" s="250" t="s">
        <v>366</v>
      </c>
      <c r="D1163" s="247">
        <f>D1159*1000*D1162</f>
        <v>862.13107813591773</v>
      </c>
      <c r="E1163" s="234" t="s">
        <v>175</v>
      </c>
      <c r="F1163" s="296" t="s">
        <v>66</v>
      </c>
    </row>
    <row r="1164" spans="1:6" ht="14" x14ac:dyDescent="0.15">
      <c r="A1164" s="250"/>
      <c r="B1164" s="229"/>
      <c r="C1164" s="250" t="s">
        <v>362</v>
      </c>
      <c r="D1164" s="249">
        <f>D1156+D1163</f>
        <v>3662.9303156386632</v>
      </c>
      <c r="E1164" s="234" t="s">
        <v>175</v>
      </c>
      <c r="F1164" s="296" t="s">
        <v>66</v>
      </c>
    </row>
    <row r="1165" spans="1:6" ht="17" x14ac:dyDescent="0.25">
      <c r="A1165" s="250"/>
      <c r="B1165" s="233" t="s">
        <v>964</v>
      </c>
      <c r="C1165" s="259"/>
      <c r="D1165" s="244">
        <f>'Energy Balance'!S29</f>
        <v>34.530837608831568</v>
      </c>
      <c r="E1165" s="234" t="s">
        <v>175</v>
      </c>
      <c r="F1165" s="296" t="s">
        <v>948</v>
      </c>
    </row>
    <row r="1166" spans="1:6" ht="17" x14ac:dyDescent="0.25">
      <c r="B1166" s="233" t="s">
        <v>965</v>
      </c>
      <c r="C1166" s="229"/>
    </row>
    <row r="1167" spans="1:6" ht="14" x14ac:dyDescent="0.15">
      <c r="A1167" s="250"/>
      <c r="B1167" s="229"/>
      <c r="C1167" s="250" t="s">
        <v>342</v>
      </c>
      <c r="D1167" s="254">
        <v>2790000</v>
      </c>
      <c r="E1167" s="234" t="s">
        <v>318</v>
      </c>
      <c r="F1167" s="296" t="s">
        <v>335</v>
      </c>
    </row>
    <row r="1168" spans="1:6" ht="14" x14ac:dyDescent="0.15">
      <c r="A1168" s="250"/>
      <c r="B1168" s="229"/>
      <c r="C1168" s="250" t="s">
        <v>344</v>
      </c>
      <c r="D1168" s="251">
        <v>5.62</v>
      </c>
      <c r="E1168" s="234" t="s">
        <v>343</v>
      </c>
      <c r="F1168" s="296" t="s">
        <v>335</v>
      </c>
    </row>
    <row r="1169" spans="1:8" ht="14" x14ac:dyDescent="0.15">
      <c r="A1169" s="250"/>
      <c r="B1169" s="229"/>
      <c r="C1169" s="250" t="s">
        <v>347</v>
      </c>
      <c r="D1169" s="254">
        <f>D1167/D1168/D1128*1000</f>
        <v>1381.9367896078679</v>
      </c>
      <c r="E1169" s="234" t="s">
        <v>283</v>
      </c>
      <c r="F1169" s="296" t="s">
        <v>66</v>
      </c>
    </row>
    <row r="1170" spans="1:8" ht="14" x14ac:dyDescent="0.15">
      <c r="B1170" s="229"/>
      <c r="C1170" s="250" t="s">
        <v>338</v>
      </c>
      <c r="D1170" s="254">
        <f>D1087</f>
        <v>3079.8932384341629</v>
      </c>
      <c r="E1170" s="234" t="s">
        <v>283</v>
      </c>
      <c r="F1170" s="296" t="s">
        <v>336</v>
      </c>
    </row>
    <row r="1171" spans="1:8" ht="14" x14ac:dyDescent="0.15">
      <c r="B1171" s="229"/>
      <c r="C1171" s="250" t="s">
        <v>346</v>
      </c>
      <c r="D1171" s="254">
        <f>D1170+D1169</f>
        <v>4461.8300280420308</v>
      </c>
      <c r="E1171" s="234" t="s">
        <v>283</v>
      </c>
      <c r="F1171" s="296" t="s">
        <v>66</v>
      </c>
    </row>
    <row r="1172" spans="1:8" ht="14" x14ac:dyDescent="0.15">
      <c r="B1172" s="229"/>
      <c r="C1172" s="250" t="s">
        <v>349</v>
      </c>
      <c r="D1172" s="247">
        <f>D1171*1037/1000000</f>
        <v>4.6269177390795866</v>
      </c>
      <c r="E1172" s="234" t="s">
        <v>178</v>
      </c>
      <c r="F1172" s="296" t="s">
        <v>288</v>
      </c>
    </row>
    <row r="1173" spans="1:8" ht="17" x14ac:dyDescent="0.25">
      <c r="B1173" s="233" t="s">
        <v>966</v>
      </c>
      <c r="C1173" s="229"/>
      <c r="D1173" s="240">
        <f>'Energy Balance'!Y29</f>
        <v>2477.5135236852966</v>
      </c>
      <c r="E1173" s="234" t="s">
        <v>175</v>
      </c>
      <c r="F1173" s="296" t="s">
        <v>176</v>
      </c>
    </row>
    <row r="1174" spans="1:8" ht="17" x14ac:dyDescent="0.25">
      <c r="A1174" s="232" t="s">
        <v>967</v>
      </c>
      <c r="C1174" s="229"/>
    </row>
    <row r="1175" spans="1:8" ht="17" x14ac:dyDescent="0.25">
      <c r="B1175" s="233" t="s">
        <v>968</v>
      </c>
      <c r="C1175" s="229"/>
      <c r="D1175" s="241">
        <f>GWP!P27</f>
        <v>0</v>
      </c>
      <c r="E1175" s="234" t="s">
        <v>969</v>
      </c>
      <c r="F1175" s="296" t="s">
        <v>949</v>
      </c>
    </row>
    <row r="1176" spans="1:8" ht="17" x14ac:dyDescent="0.25">
      <c r="B1176" s="233" t="s">
        <v>970</v>
      </c>
      <c r="C1176" s="229"/>
      <c r="D1176" s="235">
        <v>0</v>
      </c>
      <c r="E1176" s="234" t="s">
        <v>172</v>
      </c>
      <c r="F1176" s="296" t="s">
        <v>190</v>
      </c>
      <c r="G1176" s="234"/>
      <c r="H1176" s="234"/>
    </row>
    <row r="1177" spans="1:8" ht="17" x14ac:dyDescent="0.25">
      <c r="B1177" s="233" t="s">
        <v>971</v>
      </c>
      <c r="C1177" s="229"/>
      <c r="D1177" s="244">
        <f>GWP!R27</f>
        <v>0</v>
      </c>
      <c r="E1177" s="234" t="s">
        <v>969</v>
      </c>
      <c r="F1177" s="296" t="s">
        <v>193</v>
      </c>
    </row>
    <row r="1178" spans="1:8" ht="17" x14ac:dyDescent="0.25">
      <c r="B1178" s="233" t="s">
        <v>972</v>
      </c>
      <c r="C1178" s="229"/>
      <c r="D1178" s="235">
        <v>0</v>
      </c>
      <c r="E1178" s="234" t="s">
        <v>172</v>
      </c>
      <c r="F1178" s="296" t="s">
        <v>192</v>
      </c>
      <c r="G1178" s="234"/>
      <c r="H1178" s="234"/>
    </row>
    <row r="1179" spans="1:8" ht="17" x14ac:dyDescent="0.25">
      <c r="B1179" s="233" t="s">
        <v>973</v>
      </c>
      <c r="C1179" s="229"/>
      <c r="D1179" s="243">
        <f>GWP!T27</f>
        <v>0</v>
      </c>
      <c r="E1179" s="234" t="s">
        <v>969</v>
      </c>
      <c r="F1179" s="296" t="s">
        <v>919</v>
      </c>
    </row>
    <row r="1180" spans="1:8" ht="17" x14ac:dyDescent="0.25">
      <c r="B1180" s="233" t="s">
        <v>974</v>
      </c>
      <c r="C1180" s="229"/>
      <c r="F1180" s="296" t="s">
        <v>200</v>
      </c>
      <c r="G1180" s="234"/>
      <c r="H1180" s="234"/>
    </row>
    <row r="1181" spans="1:8" ht="14" x14ac:dyDescent="0.15">
      <c r="A1181" s="250"/>
      <c r="B1181" s="229"/>
      <c r="C1181" s="233" t="s">
        <v>369</v>
      </c>
      <c r="D1181" s="251">
        <v>10.16</v>
      </c>
      <c r="E1181" s="234" t="s">
        <v>367</v>
      </c>
      <c r="F1181" s="297" t="s">
        <v>374</v>
      </c>
    </row>
    <row r="1182" spans="1:8" ht="14" x14ac:dyDescent="0.15">
      <c r="A1182" s="250"/>
      <c r="B1182" s="229"/>
      <c r="C1182" s="233" t="s">
        <v>370</v>
      </c>
      <c r="D1182" s="234">
        <v>6.66</v>
      </c>
      <c r="E1182" s="234" t="s">
        <v>313</v>
      </c>
      <c r="F1182" s="296" t="s">
        <v>18</v>
      </c>
    </row>
    <row r="1183" spans="1:8" ht="14" x14ac:dyDescent="0.15">
      <c r="A1183" s="250"/>
      <c r="B1183" s="229"/>
      <c r="C1183" s="233" t="s">
        <v>371</v>
      </c>
      <c r="D1183" s="251">
        <f>D1181/D1182*2.20462</f>
        <v>3.3632040840840838</v>
      </c>
      <c r="E1183" s="234" t="s">
        <v>368</v>
      </c>
      <c r="F1183" s="296" t="s">
        <v>66</v>
      </c>
    </row>
    <row r="1184" spans="1:8" ht="14" x14ac:dyDescent="0.15">
      <c r="A1184" s="250"/>
      <c r="B1184" s="229"/>
      <c r="C1184" s="233" t="s">
        <v>371</v>
      </c>
      <c r="D1184" s="254">
        <f>D1183*D1152*1000</f>
        <v>780.52223019865232</v>
      </c>
      <c r="E1184" s="234" t="s">
        <v>314</v>
      </c>
      <c r="F1184" s="296" t="s">
        <v>66</v>
      </c>
    </row>
    <row r="1185" spans="1:6" ht="14" x14ac:dyDescent="0.15">
      <c r="A1185" s="250"/>
      <c r="B1185" s="229"/>
      <c r="C1185" s="233" t="s">
        <v>445</v>
      </c>
      <c r="D1185" s="251">
        <v>9.1</v>
      </c>
      <c r="E1185" s="234" t="s">
        <v>367</v>
      </c>
      <c r="F1185" s="297" t="s">
        <v>374</v>
      </c>
    </row>
    <row r="1186" spans="1:6" ht="14" x14ac:dyDescent="0.15">
      <c r="A1186" s="250"/>
      <c r="B1186" s="229"/>
      <c r="C1186" s="233" t="s">
        <v>364</v>
      </c>
      <c r="D1186" s="234">
        <v>6.13</v>
      </c>
      <c r="E1186" s="234" t="s">
        <v>313</v>
      </c>
      <c r="F1186" s="296" t="s">
        <v>18</v>
      </c>
    </row>
    <row r="1187" spans="1:6" ht="14" x14ac:dyDescent="0.15">
      <c r="A1187" s="250"/>
      <c r="B1187" s="229"/>
      <c r="C1187" s="233" t="s">
        <v>372</v>
      </c>
      <c r="D1187" s="251">
        <f>D1185/D1186*2.20462</f>
        <v>3.2727637846655786</v>
      </c>
      <c r="E1187" s="234" t="s">
        <v>368</v>
      </c>
      <c r="F1187" s="296" t="s">
        <v>66</v>
      </c>
    </row>
    <row r="1188" spans="1:6" ht="14" x14ac:dyDescent="0.15">
      <c r="A1188" s="250"/>
      <c r="B1188" s="229"/>
      <c r="C1188" s="233" t="s">
        <v>373</v>
      </c>
      <c r="D1188" s="254">
        <f>D1187*D1159*1000</f>
        <v>233.47998492156768</v>
      </c>
      <c r="E1188" s="234" t="s">
        <v>314</v>
      </c>
      <c r="F1188" s="296" t="s">
        <v>66</v>
      </c>
    </row>
    <row r="1189" spans="1:6" ht="14" x14ac:dyDescent="0.15">
      <c r="A1189" s="250"/>
      <c r="B1189" s="229"/>
      <c r="C1189" s="233" t="s">
        <v>408</v>
      </c>
      <c r="D1189" s="249">
        <f>SUM(D1188,D1184)</f>
        <v>1014.0022151202199</v>
      </c>
      <c r="E1189" s="234" t="s">
        <v>314</v>
      </c>
      <c r="F1189" s="296" t="s">
        <v>66</v>
      </c>
    </row>
    <row r="1190" spans="1:6" ht="17" x14ac:dyDescent="0.25">
      <c r="B1190" s="233" t="s">
        <v>975</v>
      </c>
      <c r="C1190" s="229"/>
      <c r="D1190" s="235">
        <v>0</v>
      </c>
      <c r="E1190" s="234" t="s">
        <v>314</v>
      </c>
      <c r="F1190" s="296" t="s">
        <v>190</v>
      </c>
    </row>
    <row r="1191" spans="1:6" ht="17" x14ac:dyDescent="0.25">
      <c r="B1191" s="233" t="s">
        <v>976</v>
      </c>
      <c r="C1191" s="229"/>
      <c r="D1191" s="244">
        <f>GWP!AB27</f>
        <v>-942.59951356506133</v>
      </c>
      <c r="E1191" s="234" t="s">
        <v>314</v>
      </c>
      <c r="F1191" s="296" t="s">
        <v>179</v>
      </c>
    </row>
    <row r="1192" spans="1:6" x14ac:dyDescent="0.15">
      <c r="A1192" s="232" t="s">
        <v>41</v>
      </c>
      <c r="C1192" s="229"/>
    </row>
    <row r="1193" spans="1:6" ht="14" x14ac:dyDescent="0.15">
      <c r="A1193" s="250"/>
      <c r="B1193" s="250" t="s">
        <v>376</v>
      </c>
      <c r="C1193" s="250"/>
      <c r="D1193" s="234">
        <v>75600000</v>
      </c>
      <c r="E1193" s="234" t="s">
        <v>315</v>
      </c>
      <c r="F1193" s="296" t="s">
        <v>377</v>
      </c>
    </row>
    <row r="1194" spans="1:6" ht="14" x14ac:dyDescent="0.15">
      <c r="A1194" s="250"/>
      <c r="B1194" s="250" t="s">
        <v>376</v>
      </c>
      <c r="C1194" s="250"/>
      <c r="D1194" s="254">
        <f>D1193/D1127</f>
        <v>69447.405638892626</v>
      </c>
      <c r="E1194" s="234" t="s">
        <v>822</v>
      </c>
      <c r="F1194" s="296" t="s">
        <v>357</v>
      </c>
    </row>
    <row r="1195" spans="1:6" ht="14" x14ac:dyDescent="0.15">
      <c r="A1195" s="250"/>
      <c r="B1195" s="250" t="s">
        <v>375</v>
      </c>
      <c r="C1195" s="250"/>
      <c r="D1195" s="254">
        <f>D1104</f>
        <v>182382.19999999998</v>
      </c>
      <c r="E1195" s="234" t="s">
        <v>822</v>
      </c>
      <c r="F1195" s="296" t="s">
        <v>336</v>
      </c>
    </row>
    <row r="1196" spans="1:6" ht="14" x14ac:dyDescent="0.15">
      <c r="A1196" s="250"/>
      <c r="B1196" s="250" t="s">
        <v>378</v>
      </c>
      <c r="C1196" s="250"/>
      <c r="D1196" s="254">
        <f>SUM(D1194:D1195)</f>
        <v>251829.60563889262</v>
      </c>
      <c r="E1196" s="234" t="s">
        <v>822</v>
      </c>
      <c r="F1196" s="296" t="s">
        <v>66</v>
      </c>
    </row>
    <row r="1197" spans="1:6" ht="14" x14ac:dyDescent="0.15">
      <c r="B1197" s="233" t="s">
        <v>802</v>
      </c>
      <c r="D1197" s="260">
        <v>7.6899999999999996E-2</v>
      </c>
      <c r="E1197" s="234" t="s">
        <v>111</v>
      </c>
      <c r="F1197" s="297" t="s">
        <v>797</v>
      </c>
    </row>
    <row r="1198" spans="1:6" x14ac:dyDescent="0.15">
      <c r="B1198" s="233" t="s">
        <v>799</v>
      </c>
      <c r="D1198" s="242">
        <f>D1196*(1+D1197)</f>
        <v>271195.30231252348</v>
      </c>
      <c r="E1198" s="234" t="s">
        <v>404</v>
      </c>
      <c r="F1198" s="297"/>
    </row>
    <row r="1199" spans="1:6" x14ac:dyDescent="0.15">
      <c r="A1199" s="232" t="s">
        <v>195</v>
      </c>
      <c r="C1199" s="229"/>
    </row>
    <row r="1200" spans="1:6" x14ac:dyDescent="0.15">
      <c r="B1200" s="233" t="s">
        <v>42</v>
      </c>
      <c r="C1200" s="229"/>
    </row>
    <row r="1201" spans="1:6" ht="14" x14ac:dyDescent="0.15">
      <c r="A1201" s="250"/>
      <c r="B1201" s="229"/>
      <c r="C1201" s="250" t="s">
        <v>379</v>
      </c>
      <c r="D1201" s="234">
        <v>4300000</v>
      </c>
      <c r="E1201" s="234" t="s">
        <v>318</v>
      </c>
      <c r="F1201" s="296" t="s">
        <v>335</v>
      </c>
    </row>
    <row r="1202" spans="1:6" ht="14" x14ac:dyDescent="0.15">
      <c r="A1202" s="250"/>
      <c r="B1202" s="229"/>
      <c r="C1202" s="250" t="s">
        <v>380</v>
      </c>
      <c r="D1202" s="234">
        <v>9180000</v>
      </c>
      <c r="E1202" s="234" t="s">
        <v>318</v>
      </c>
      <c r="F1202" s="296" t="s">
        <v>335</v>
      </c>
    </row>
    <row r="1203" spans="1:6" ht="14" x14ac:dyDescent="0.15">
      <c r="A1203" s="250"/>
      <c r="B1203" s="229"/>
      <c r="C1203" s="250" t="s">
        <v>381</v>
      </c>
      <c r="D1203" s="254">
        <f>SUM(D1201:D1202)/D1128</f>
        <v>37.52409123024983</v>
      </c>
      <c r="E1203" s="234" t="s">
        <v>199</v>
      </c>
      <c r="F1203" s="296" t="s">
        <v>382</v>
      </c>
    </row>
    <row r="1204" spans="1:6" ht="14" x14ac:dyDescent="0.15">
      <c r="A1204" s="250"/>
      <c r="B1204" s="229"/>
      <c r="C1204" s="250" t="s">
        <v>319</v>
      </c>
      <c r="D1204" s="254">
        <f>D1111</f>
        <v>137.86466666666664</v>
      </c>
      <c r="E1204" s="234" t="s">
        <v>199</v>
      </c>
      <c r="F1204" s="296" t="s">
        <v>336</v>
      </c>
    </row>
    <row r="1205" spans="1:6" ht="14" x14ac:dyDescent="0.15">
      <c r="A1205" s="250"/>
      <c r="B1205" s="229"/>
      <c r="C1205" s="250" t="s">
        <v>383</v>
      </c>
      <c r="D1205" s="254">
        <f>SUM(D1203:D1204)</f>
        <v>175.38875789691647</v>
      </c>
      <c r="E1205" s="234" t="s">
        <v>199</v>
      </c>
      <c r="F1205" s="296" t="s">
        <v>66</v>
      </c>
    </row>
    <row r="1206" spans="1:6" ht="14" x14ac:dyDescent="0.15">
      <c r="B1206" s="233" t="s">
        <v>802</v>
      </c>
      <c r="D1206" s="260">
        <v>7.6899999999999996E-2</v>
      </c>
      <c r="E1206" s="234" t="s">
        <v>111</v>
      </c>
      <c r="F1206" s="297" t="s">
        <v>797</v>
      </c>
    </row>
    <row r="1207" spans="1:6" x14ac:dyDescent="0.15">
      <c r="B1207" s="233" t="s">
        <v>798</v>
      </c>
      <c r="D1207" s="247">
        <f>D1205*(1+D1206)</f>
        <v>188.87615337918933</v>
      </c>
      <c r="E1207" s="234" t="s">
        <v>816</v>
      </c>
    </row>
    <row r="1208" spans="1:6" ht="14" x14ac:dyDescent="0.15">
      <c r="B1208" s="233" t="s">
        <v>197</v>
      </c>
      <c r="C1208" s="229"/>
      <c r="D1208" s="263">
        <f>'Commercial Viability'!F30</f>
        <v>14.692925235935226</v>
      </c>
      <c r="F1208" s="296" t="s">
        <v>950</v>
      </c>
    </row>
    <row r="1209" spans="1:6" x14ac:dyDescent="0.15">
      <c r="B1209" s="233" t="s">
        <v>196</v>
      </c>
      <c r="C1209" s="229"/>
    </row>
    <row r="1210" spans="1:6" ht="14" x14ac:dyDescent="0.15">
      <c r="A1210" s="250"/>
      <c r="B1210" s="229"/>
      <c r="C1210" s="250" t="s">
        <v>51</v>
      </c>
      <c r="D1210" s="234">
        <v>3.1240000000000001</v>
      </c>
      <c r="E1210" s="234" t="s">
        <v>384</v>
      </c>
      <c r="F1210" s="297" t="s">
        <v>53</v>
      </c>
    </row>
    <row r="1211" spans="1:6" ht="14" x14ac:dyDescent="0.15">
      <c r="A1211" s="250"/>
      <c r="B1211" s="229"/>
      <c r="C1211" s="250" t="s">
        <v>52</v>
      </c>
      <c r="D1211" s="251">
        <f>D1210/D1154*2.20462</f>
        <v>1.034119051051051</v>
      </c>
      <c r="E1211" s="234" t="s">
        <v>323</v>
      </c>
      <c r="F1211" s="296" t="s">
        <v>385</v>
      </c>
    </row>
    <row r="1212" spans="1:6" ht="14" x14ac:dyDescent="0.15">
      <c r="A1212" s="250"/>
      <c r="B1212" s="229"/>
      <c r="C1212" s="250" t="s">
        <v>838</v>
      </c>
      <c r="D1212" s="251">
        <f>D1152*1000*D1211</f>
        <v>239.9952211752549</v>
      </c>
      <c r="E1212" s="234" t="s">
        <v>199</v>
      </c>
      <c r="F1212" s="296" t="s">
        <v>66</v>
      </c>
    </row>
    <row r="1213" spans="1:6" ht="14" x14ac:dyDescent="0.15">
      <c r="A1213" s="250"/>
      <c r="B1213" s="229"/>
      <c r="C1213" s="250" t="s">
        <v>54</v>
      </c>
      <c r="D1213" s="234">
        <v>550</v>
      </c>
      <c r="E1213" s="234" t="s">
        <v>386</v>
      </c>
      <c r="F1213" s="297" t="s">
        <v>55</v>
      </c>
    </row>
    <row r="1214" spans="1:6" ht="14" x14ac:dyDescent="0.15">
      <c r="A1214" s="250"/>
      <c r="B1214" s="229"/>
      <c r="C1214" s="250" t="s">
        <v>56</v>
      </c>
      <c r="D1214" s="234">
        <f>D1213/1000</f>
        <v>0.55000000000000004</v>
      </c>
      <c r="E1214" s="234" t="s">
        <v>323</v>
      </c>
      <c r="F1214" s="296" t="s">
        <v>387</v>
      </c>
    </row>
    <row r="1215" spans="1:6" ht="14" x14ac:dyDescent="0.15">
      <c r="A1215" s="250"/>
      <c r="B1215" s="229"/>
      <c r="C1215" s="250" t="s">
        <v>839</v>
      </c>
      <c r="D1215" s="251">
        <f>D1159*1000*D1214</f>
        <v>39.237170830519929</v>
      </c>
      <c r="E1215" s="234" t="s">
        <v>199</v>
      </c>
      <c r="F1215" s="296" t="s">
        <v>66</v>
      </c>
    </row>
    <row r="1216" spans="1:6" x14ac:dyDescent="0.15">
      <c r="A1216" s="250"/>
      <c r="B1216" s="229"/>
      <c r="C1216" s="250" t="s">
        <v>388</v>
      </c>
      <c r="D1216" s="264">
        <f>D1212+D1215</f>
        <v>279.23239200577484</v>
      </c>
    </row>
    <row r="1217" spans="1:6" ht="14" x14ac:dyDescent="0.15">
      <c r="B1217" s="233" t="s">
        <v>195</v>
      </c>
      <c r="C1217" s="229"/>
      <c r="D1217" s="244">
        <f>'Commercial Viability'!H30</f>
        <v>75.663313390650302</v>
      </c>
      <c r="E1217" s="234" t="s">
        <v>199</v>
      </c>
      <c r="F1217" s="296" t="s">
        <v>951</v>
      </c>
    </row>
    <row r="1218" spans="1:6" x14ac:dyDescent="0.15">
      <c r="A1218" s="232" t="s">
        <v>201</v>
      </c>
      <c r="C1218" s="229"/>
    </row>
    <row r="1219" spans="1:6" ht="28" x14ac:dyDescent="0.15">
      <c r="B1219" s="233" t="s">
        <v>6</v>
      </c>
      <c r="D1219" s="235">
        <v>6</v>
      </c>
      <c r="F1219" s="296" t="s">
        <v>389</v>
      </c>
    </row>
    <row r="1221" spans="1:6" s="228" customFormat="1" x14ac:dyDescent="0.15">
      <c r="A1221" s="225" t="s">
        <v>994</v>
      </c>
      <c r="B1221" s="226"/>
      <c r="C1221" s="226"/>
      <c r="D1221" s="227"/>
      <c r="E1221" s="227"/>
      <c r="F1221" s="294"/>
    </row>
    <row r="1222" spans="1:6" ht="14" x14ac:dyDescent="0.15">
      <c r="B1222" s="230" t="s">
        <v>171</v>
      </c>
      <c r="C1222" s="230"/>
      <c r="D1222" s="231" t="s">
        <v>170</v>
      </c>
      <c r="E1222" s="231" t="s">
        <v>169</v>
      </c>
      <c r="F1222" s="295" t="s">
        <v>168</v>
      </c>
    </row>
    <row r="1223" spans="1:6" ht="14" x14ac:dyDescent="0.15">
      <c r="A1223" s="250"/>
      <c r="B1223" s="229"/>
      <c r="C1223" s="250" t="s">
        <v>273</v>
      </c>
      <c r="D1223" s="234">
        <v>110</v>
      </c>
      <c r="E1223" s="234" t="s">
        <v>269</v>
      </c>
      <c r="F1223" s="296" t="s">
        <v>18</v>
      </c>
    </row>
    <row r="1224" spans="1:6" ht="14" x14ac:dyDescent="0.15">
      <c r="A1224" s="250"/>
      <c r="B1224" s="229"/>
      <c r="C1224" s="250" t="s">
        <v>273</v>
      </c>
      <c r="D1224" s="254">
        <f>D1223/1.10231</f>
        <v>99.790440075840749</v>
      </c>
      <c r="E1224" s="234" t="s">
        <v>270</v>
      </c>
      <c r="F1224" s="296" t="s">
        <v>399</v>
      </c>
    </row>
    <row r="1225" spans="1:6" ht="14" x14ac:dyDescent="0.15">
      <c r="A1225" s="250"/>
      <c r="B1225" s="229"/>
      <c r="C1225" s="250" t="s">
        <v>273</v>
      </c>
      <c r="D1225" s="254">
        <f>D1224*D1230</f>
        <v>32930.845225027449</v>
      </c>
      <c r="E1225" s="234" t="s">
        <v>271</v>
      </c>
      <c r="F1225" s="296" t="s">
        <v>18</v>
      </c>
    </row>
    <row r="1226" spans="1:6" ht="14" x14ac:dyDescent="0.15">
      <c r="A1226" s="250"/>
      <c r="B1226" s="229"/>
      <c r="C1226" s="250" t="s">
        <v>275</v>
      </c>
      <c r="D1226" s="255">
        <v>0.15</v>
      </c>
      <c r="E1226" s="234" t="s">
        <v>272</v>
      </c>
      <c r="F1226" s="296" t="s">
        <v>18</v>
      </c>
    </row>
    <row r="1227" spans="1:6" ht="14" x14ac:dyDescent="0.15">
      <c r="A1227" s="250"/>
      <c r="B1227" s="229"/>
      <c r="C1227" s="250" t="s">
        <v>273</v>
      </c>
      <c r="D1227" s="234">
        <f>D1223-D1223*D1226</f>
        <v>93.5</v>
      </c>
      <c r="E1227" s="234" t="s">
        <v>795</v>
      </c>
      <c r="F1227" s="296" t="s">
        <v>18</v>
      </c>
    </row>
    <row r="1228" spans="1:6" ht="14" x14ac:dyDescent="0.15">
      <c r="A1228" s="250"/>
      <c r="B1228" s="229"/>
      <c r="C1228" s="250" t="s">
        <v>266</v>
      </c>
      <c r="D1228" s="234">
        <v>7920</v>
      </c>
      <c r="E1228" s="234" t="s">
        <v>412</v>
      </c>
      <c r="F1228" s="296" t="s">
        <v>18</v>
      </c>
    </row>
    <row r="1229" spans="1:6" ht="14" x14ac:dyDescent="0.15">
      <c r="A1229" s="250"/>
      <c r="B1229" s="229"/>
      <c r="C1229" s="250" t="s">
        <v>267</v>
      </c>
      <c r="D1229" s="234">
        <v>24</v>
      </c>
      <c r="E1229" s="234" t="s">
        <v>413</v>
      </c>
      <c r="F1229" s="296" t="s">
        <v>18</v>
      </c>
    </row>
    <row r="1230" spans="1:6" ht="14" x14ac:dyDescent="0.15">
      <c r="A1230" s="250"/>
      <c r="B1230" s="229"/>
      <c r="C1230" s="250" t="s">
        <v>268</v>
      </c>
      <c r="D1230" s="234">
        <f>D1228/D1229</f>
        <v>330</v>
      </c>
      <c r="E1230" s="234" t="s">
        <v>414</v>
      </c>
      <c r="F1230" s="296" t="s">
        <v>18</v>
      </c>
    </row>
    <row r="1231" spans="1:6" x14ac:dyDescent="0.15">
      <c r="A1231" s="232" t="s">
        <v>167</v>
      </c>
    </row>
    <row r="1232" spans="1:6" ht="14" x14ac:dyDescent="0.15">
      <c r="A1232" s="250"/>
      <c r="B1232" s="250" t="s">
        <v>455</v>
      </c>
      <c r="C1232" s="250"/>
      <c r="D1232" s="255">
        <v>0.12</v>
      </c>
      <c r="E1232" s="234" t="s">
        <v>111</v>
      </c>
      <c r="F1232" s="296" t="s">
        <v>390</v>
      </c>
    </row>
    <row r="1233" spans="1:6" ht="17" x14ac:dyDescent="0.25">
      <c r="B1233" s="250" t="s">
        <v>991</v>
      </c>
      <c r="D1233" s="256">
        <f>D1232*D1227/D1223</f>
        <v>0.10199999999999999</v>
      </c>
      <c r="E1233" s="234" t="s">
        <v>111</v>
      </c>
      <c r="F1233" s="296" t="s">
        <v>279</v>
      </c>
    </row>
    <row r="1234" spans="1:6" ht="17" x14ac:dyDescent="0.25">
      <c r="B1234" s="233" t="s">
        <v>956</v>
      </c>
      <c r="D1234" s="236">
        <v>0.6</v>
      </c>
      <c r="E1234" s="234" t="s">
        <v>111</v>
      </c>
      <c r="F1234" s="296" t="s">
        <v>391</v>
      </c>
    </row>
    <row r="1235" spans="1:6" ht="17" x14ac:dyDescent="0.25">
      <c r="B1235" s="233" t="s">
        <v>957</v>
      </c>
      <c r="D1235" s="237">
        <f>'Energy Balance'!Q30</f>
        <v>0.255</v>
      </c>
      <c r="E1235" s="234" t="s">
        <v>172</v>
      </c>
      <c r="F1235" s="296" t="s">
        <v>173</v>
      </c>
    </row>
    <row r="1236" spans="1:6" x14ac:dyDescent="0.15">
      <c r="A1236" s="232" t="s">
        <v>174</v>
      </c>
    </row>
    <row r="1237" spans="1:6" ht="17" x14ac:dyDescent="0.25">
      <c r="B1237" s="233" t="s">
        <v>958</v>
      </c>
      <c r="D1237" s="235">
        <v>0</v>
      </c>
      <c r="E1237" s="234" t="s">
        <v>175</v>
      </c>
      <c r="F1237" s="296" t="s">
        <v>295</v>
      </c>
    </row>
    <row r="1238" spans="1:6" ht="30" x14ac:dyDescent="0.25">
      <c r="B1238" s="233" t="s">
        <v>959</v>
      </c>
      <c r="C1238" s="229"/>
      <c r="D1238" s="236">
        <v>0</v>
      </c>
      <c r="E1238" s="234" t="s">
        <v>111</v>
      </c>
      <c r="F1238" s="296" t="s">
        <v>280</v>
      </c>
    </row>
    <row r="1239" spans="1:6" ht="17" x14ac:dyDescent="0.25">
      <c r="B1239" s="233" t="s">
        <v>960</v>
      </c>
      <c r="C1239" s="229"/>
      <c r="D1239" s="236">
        <v>0</v>
      </c>
      <c r="E1239" s="234" t="s">
        <v>111</v>
      </c>
      <c r="F1239" s="296" t="s">
        <v>87</v>
      </c>
    </row>
    <row r="1240" spans="1:6" ht="17" x14ac:dyDescent="0.25">
      <c r="B1240" s="233" t="s">
        <v>961</v>
      </c>
      <c r="C1240" s="229"/>
      <c r="D1240" s="240">
        <f>'Energy Balance'!D30</f>
        <v>0</v>
      </c>
      <c r="E1240" s="234" t="s">
        <v>175</v>
      </c>
      <c r="F1240" s="296" t="s">
        <v>947</v>
      </c>
    </row>
    <row r="1241" spans="1:6" ht="17" x14ac:dyDescent="0.25">
      <c r="B1241" s="233" t="s">
        <v>962</v>
      </c>
      <c r="C1241" s="229"/>
      <c r="D1241" s="229"/>
    </row>
    <row r="1242" spans="1:6" ht="14" x14ac:dyDescent="0.15">
      <c r="A1242" s="250"/>
      <c r="B1242" s="229"/>
      <c r="C1242" s="250" t="s">
        <v>393</v>
      </c>
      <c r="D1242" s="234">
        <v>297</v>
      </c>
      <c r="E1242" s="234" t="s">
        <v>392</v>
      </c>
      <c r="F1242" s="296" t="s">
        <v>391</v>
      </c>
    </row>
    <row r="1243" spans="1:6" ht="14" x14ac:dyDescent="0.15">
      <c r="A1243" s="250"/>
      <c r="B1243" s="229"/>
      <c r="C1243" s="250" t="s">
        <v>394</v>
      </c>
      <c r="D1243" s="234">
        <v>849</v>
      </c>
      <c r="E1243" s="234" t="s">
        <v>392</v>
      </c>
      <c r="F1243" s="296" t="s">
        <v>391</v>
      </c>
    </row>
    <row r="1244" spans="1:6" x14ac:dyDescent="0.15">
      <c r="A1244" s="250"/>
      <c r="B1244" s="229"/>
      <c r="C1244" s="250" t="s">
        <v>395</v>
      </c>
      <c r="D1244" s="251">
        <f>(D1243+D1242)*D1229/D1223*1.10231</f>
        <v>275.61758399999997</v>
      </c>
      <c r="E1244" s="234" t="s">
        <v>175</v>
      </c>
      <c r="F1244" s="300"/>
    </row>
    <row r="1245" spans="1:6" ht="14" x14ac:dyDescent="0.15">
      <c r="A1245" s="250"/>
      <c r="B1245" s="229"/>
      <c r="C1245" s="250" t="s">
        <v>409</v>
      </c>
      <c r="D1245" s="249">
        <f>SUM(D1244:D1244)</f>
        <v>275.61758399999997</v>
      </c>
      <c r="E1245" s="234" t="s">
        <v>175</v>
      </c>
      <c r="F1245" s="296" t="s">
        <v>66</v>
      </c>
    </row>
    <row r="1246" spans="1:6" ht="17" x14ac:dyDescent="0.25">
      <c r="B1246" s="233" t="s">
        <v>963</v>
      </c>
      <c r="C1246" s="229"/>
    </row>
    <row r="1247" spans="1:6" ht="14" x14ac:dyDescent="0.15">
      <c r="A1247" s="250"/>
      <c r="B1247" s="229"/>
      <c r="C1247" s="250" t="s">
        <v>299</v>
      </c>
      <c r="D1247" s="255">
        <v>0.44</v>
      </c>
      <c r="E1247" s="234" t="s">
        <v>298</v>
      </c>
      <c r="F1247" s="296" t="s">
        <v>390</v>
      </c>
    </row>
    <row r="1248" spans="1:6" ht="14" x14ac:dyDescent="0.15">
      <c r="A1248" s="250"/>
      <c r="B1248" s="229"/>
      <c r="C1248" s="250" t="s">
        <v>299</v>
      </c>
      <c r="D1248" s="246">
        <f>D1247*D1227/D1223</f>
        <v>0.374</v>
      </c>
      <c r="E1248" s="234" t="s">
        <v>300</v>
      </c>
      <c r="F1248" s="296" t="s">
        <v>297</v>
      </c>
    </row>
    <row r="1249" spans="1:8" ht="14" x14ac:dyDescent="0.15">
      <c r="A1249" s="250"/>
      <c r="B1249" s="229"/>
      <c r="C1249" s="250" t="s">
        <v>303</v>
      </c>
      <c r="D1249" s="257">
        <v>8.15</v>
      </c>
      <c r="E1249" s="234" t="s">
        <v>313</v>
      </c>
      <c r="F1249" s="296" t="s">
        <v>391</v>
      </c>
    </row>
    <row r="1250" spans="1:8" ht="14" x14ac:dyDescent="0.15">
      <c r="A1250" s="250"/>
      <c r="B1250" s="229"/>
      <c r="C1250" s="250" t="s">
        <v>308</v>
      </c>
      <c r="D1250" s="234">
        <v>124943</v>
      </c>
      <c r="E1250" s="234" t="s">
        <v>309</v>
      </c>
      <c r="F1250" s="296" t="s">
        <v>391</v>
      </c>
    </row>
    <row r="1251" spans="1:8" ht="14" x14ac:dyDescent="0.15">
      <c r="A1251" s="250"/>
      <c r="B1251" s="229"/>
      <c r="C1251" s="250" t="s">
        <v>307</v>
      </c>
      <c r="D1251" s="257">
        <f>D1250/D1249/3412*2.2046</f>
        <v>9.9054703284689918</v>
      </c>
      <c r="E1251" s="234" t="s">
        <v>361</v>
      </c>
      <c r="F1251" s="296" t="s">
        <v>66</v>
      </c>
    </row>
    <row r="1252" spans="1:8" ht="14" x14ac:dyDescent="0.15">
      <c r="A1252" s="250"/>
      <c r="B1252" s="229"/>
      <c r="C1252" s="250" t="s">
        <v>306</v>
      </c>
      <c r="D1252" s="249">
        <f>D1248*D1251*1000</f>
        <v>3704.6459028474028</v>
      </c>
      <c r="E1252" s="234" t="s">
        <v>175</v>
      </c>
      <c r="F1252" s="296" t="s">
        <v>66</v>
      </c>
    </row>
    <row r="1253" spans="1:8" ht="14" x14ac:dyDescent="0.15">
      <c r="A1253" s="250"/>
      <c r="B1253" s="229"/>
      <c r="C1253" s="250" t="s">
        <v>529</v>
      </c>
      <c r="D1253" s="234">
        <v>5.8</v>
      </c>
      <c r="E1253" s="234" t="s">
        <v>528</v>
      </c>
      <c r="F1253" s="297" t="s">
        <v>110</v>
      </c>
    </row>
    <row r="1254" spans="1:8" ht="14" x14ac:dyDescent="0.15">
      <c r="A1254" s="250"/>
      <c r="B1254" s="229"/>
      <c r="C1254" s="250" t="s">
        <v>530</v>
      </c>
      <c r="D1254" s="234">
        <v>124943</v>
      </c>
      <c r="E1254" s="234" t="s">
        <v>309</v>
      </c>
      <c r="F1254" s="301" t="s">
        <v>892</v>
      </c>
    </row>
    <row r="1255" spans="1:8" x14ac:dyDescent="0.15">
      <c r="A1255" s="250"/>
      <c r="B1255" s="229"/>
      <c r="C1255" s="250" t="s">
        <v>530</v>
      </c>
      <c r="D1255" s="258">
        <f>D1254/1000000*42</f>
        <v>5.2476060000000002</v>
      </c>
      <c r="E1255" s="234" t="s">
        <v>528</v>
      </c>
      <c r="F1255" s="297"/>
    </row>
    <row r="1256" spans="1:8" ht="17" x14ac:dyDescent="0.25">
      <c r="A1256" s="250"/>
      <c r="B1256" s="233" t="s">
        <v>964</v>
      </c>
      <c r="C1256" s="259"/>
      <c r="D1256" s="244">
        <f>'Energy Balance'!S30</f>
        <v>34.530837608831575</v>
      </c>
      <c r="E1256" s="234" t="s">
        <v>175</v>
      </c>
      <c r="F1256" s="296" t="s">
        <v>948</v>
      </c>
    </row>
    <row r="1257" spans="1:8" ht="17" x14ac:dyDescent="0.25">
      <c r="B1257" s="233" t="s">
        <v>965</v>
      </c>
      <c r="C1257" s="229"/>
      <c r="D1257" s="229"/>
    </row>
    <row r="1258" spans="1:8" ht="14" x14ac:dyDescent="0.15">
      <c r="A1258" s="250"/>
      <c r="B1258" s="229"/>
      <c r="C1258" s="250" t="s">
        <v>397</v>
      </c>
      <c r="D1258" s="234">
        <v>3760</v>
      </c>
      <c r="E1258" s="234" t="s">
        <v>794</v>
      </c>
      <c r="F1258" s="296" t="s">
        <v>398</v>
      </c>
    </row>
    <row r="1259" spans="1:8" ht="28" x14ac:dyDescent="0.15">
      <c r="A1259" s="250"/>
      <c r="B1259" s="229"/>
      <c r="C1259" s="250" t="s">
        <v>345</v>
      </c>
      <c r="D1259" s="254">
        <f>D1258*D1227/D1223*1.10231</f>
        <v>3522.9827599999999</v>
      </c>
      <c r="E1259" s="234" t="s">
        <v>283</v>
      </c>
      <c r="F1259" s="296" t="s">
        <v>400</v>
      </c>
    </row>
    <row r="1260" spans="1:8" ht="14" x14ac:dyDescent="0.15">
      <c r="A1260" s="250"/>
      <c r="B1260" s="229"/>
      <c r="C1260" s="250" t="s">
        <v>401</v>
      </c>
      <c r="D1260" s="247">
        <f>D1259*1037/1000000</f>
        <v>3.6533331221199998</v>
      </c>
      <c r="E1260" s="234" t="s">
        <v>178</v>
      </c>
      <c r="F1260" s="296" t="s">
        <v>288</v>
      </c>
    </row>
    <row r="1261" spans="1:8" ht="17" x14ac:dyDescent="0.25">
      <c r="B1261" s="233" t="s">
        <v>966</v>
      </c>
      <c r="C1261" s="229"/>
      <c r="D1261" s="240">
        <f>'Energy Balance'!Y30</f>
        <v>2391.063738876871</v>
      </c>
      <c r="E1261" s="234" t="s">
        <v>175</v>
      </c>
      <c r="F1261" s="296" t="s">
        <v>176</v>
      </c>
    </row>
    <row r="1262" spans="1:8" ht="17" x14ac:dyDescent="0.25">
      <c r="A1262" s="232" t="s">
        <v>967</v>
      </c>
      <c r="C1262" s="229"/>
    </row>
    <row r="1263" spans="1:8" ht="17" x14ac:dyDescent="0.25">
      <c r="B1263" s="233" t="s">
        <v>968</v>
      </c>
      <c r="C1263" s="229"/>
      <c r="D1263" s="241">
        <f>GWP!P28</f>
        <v>0</v>
      </c>
      <c r="E1263" s="234" t="s">
        <v>969</v>
      </c>
      <c r="F1263" s="296" t="s">
        <v>949</v>
      </c>
    </row>
    <row r="1264" spans="1:8" ht="17" x14ac:dyDescent="0.25">
      <c r="B1264" s="233" t="s">
        <v>970</v>
      </c>
      <c r="C1264" s="229"/>
      <c r="D1264" s="235">
        <v>0</v>
      </c>
      <c r="E1264" s="234" t="s">
        <v>172</v>
      </c>
      <c r="F1264" s="296" t="s">
        <v>190</v>
      </c>
      <c r="G1264" s="234"/>
      <c r="H1264" s="234"/>
    </row>
    <row r="1265" spans="1:8" ht="17" x14ac:dyDescent="0.25">
      <c r="B1265" s="233" t="s">
        <v>971</v>
      </c>
      <c r="C1265" s="229"/>
      <c r="D1265" s="244">
        <f>GWP!R28</f>
        <v>0</v>
      </c>
      <c r="E1265" s="234" t="s">
        <v>969</v>
      </c>
      <c r="F1265" s="296" t="s">
        <v>193</v>
      </c>
    </row>
    <row r="1266" spans="1:8" ht="17" x14ac:dyDescent="0.25">
      <c r="B1266" s="233" t="s">
        <v>972</v>
      </c>
      <c r="C1266" s="229"/>
      <c r="D1266" s="235">
        <v>0</v>
      </c>
      <c r="E1266" s="234" t="s">
        <v>172</v>
      </c>
      <c r="F1266" s="296" t="s">
        <v>192</v>
      </c>
      <c r="G1266" s="234"/>
      <c r="H1266" s="234"/>
    </row>
    <row r="1267" spans="1:8" ht="17" x14ac:dyDescent="0.25">
      <c r="B1267" s="233" t="s">
        <v>973</v>
      </c>
      <c r="C1267" s="229"/>
      <c r="D1267" s="243">
        <f>GWP!T28</f>
        <v>0</v>
      </c>
      <c r="E1267" s="234" t="s">
        <v>969</v>
      </c>
      <c r="F1267" s="296" t="s">
        <v>919</v>
      </c>
    </row>
    <row r="1268" spans="1:8" ht="17" x14ac:dyDescent="0.25">
      <c r="B1268" s="233" t="s">
        <v>974</v>
      </c>
      <c r="C1268" s="250"/>
      <c r="D1268" s="244">
        <f>GWP!Z28</f>
        <v>1181.7820430083214</v>
      </c>
      <c r="E1268" s="234" t="s">
        <v>314</v>
      </c>
      <c r="F1268" s="296" t="s">
        <v>200</v>
      </c>
      <c r="G1268" s="234"/>
      <c r="H1268" s="234"/>
    </row>
    <row r="1269" spans="1:8" ht="17" x14ac:dyDescent="0.25">
      <c r="B1269" s="233" t="s">
        <v>975</v>
      </c>
      <c r="C1269" s="229"/>
      <c r="D1269" s="235">
        <v>0</v>
      </c>
      <c r="E1269" s="234" t="s">
        <v>314</v>
      </c>
      <c r="F1269" s="296" t="s">
        <v>190</v>
      </c>
    </row>
    <row r="1270" spans="1:8" ht="17" x14ac:dyDescent="0.25">
      <c r="B1270" s="233" t="s">
        <v>976</v>
      </c>
      <c r="C1270" s="229"/>
      <c r="D1270" s="244">
        <f>GWP!AB28</f>
        <v>-587.32929161037225</v>
      </c>
      <c r="E1270" s="234" t="s">
        <v>314</v>
      </c>
      <c r="F1270" s="296" t="s">
        <v>179</v>
      </c>
    </row>
    <row r="1271" spans="1:8" x14ac:dyDescent="0.15">
      <c r="A1271" s="232" t="s">
        <v>41</v>
      </c>
      <c r="C1271" s="229"/>
    </row>
    <row r="1272" spans="1:8" ht="14" x14ac:dyDescent="0.15">
      <c r="A1272" s="250"/>
      <c r="B1272" s="250" t="s">
        <v>317</v>
      </c>
      <c r="C1272" s="250"/>
      <c r="D1272" s="234">
        <v>24200000</v>
      </c>
      <c r="E1272" s="234" t="s">
        <v>402</v>
      </c>
      <c r="F1272" s="296" t="s">
        <v>405</v>
      </c>
    </row>
    <row r="1273" spans="1:8" ht="14" x14ac:dyDescent="0.15">
      <c r="A1273" s="250"/>
      <c r="B1273" s="250" t="s">
        <v>317</v>
      </c>
      <c r="C1273" s="250"/>
      <c r="D1273" s="249">
        <f>D1272/D1224</f>
        <v>242508.19999999995</v>
      </c>
      <c r="E1273" s="234" t="s">
        <v>404</v>
      </c>
      <c r="F1273" s="296" t="s">
        <v>66</v>
      </c>
    </row>
    <row r="1274" spans="1:8" x14ac:dyDescent="0.15">
      <c r="A1274" s="232" t="s">
        <v>195</v>
      </c>
      <c r="C1274" s="229"/>
    </row>
    <row r="1275" spans="1:8" x14ac:dyDescent="0.15">
      <c r="B1275" s="233" t="s">
        <v>42</v>
      </c>
      <c r="C1275" s="229"/>
    </row>
    <row r="1276" spans="1:8" ht="14" x14ac:dyDescent="0.15">
      <c r="A1276" s="250"/>
      <c r="B1276" s="229"/>
      <c r="C1276" s="250" t="s">
        <v>449</v>
      </c>
      <c r="D1276" s="234">
        <v>4900000</v>
      </c>
      <c r="E1276" s="234" t="s">
        <v>450</v>
      </c>
      <c r="F1276" s="296" t="s">
        <v>405</v>
      </c>
    </row>
    <row r="1277" spans="1:8" ht="14" x14ac:dyDescent="0.15">
      <c r="A1277" s="250"/>
      <c r="B1277" s="229"/>
      <c r="C1277" s="250" t="s">
        <v>319</v>
      </c>
      <c r="D1277" s="249">
        <f>D1276/D1225</f>
        <v>148.79666666666662</v>
      </c>
      <c r="E1277" s="234" t="s">
        <v>199</v>
      </c>
      <c r="F1277" s="296" t="s">
        <v>406</v>
      </c>
    </row>
    <row r="1278" spans="1:8" ht="14" x14ac:dyDescent="0.15">
      <c r="B1278" s="233" t="s">
        <v>197</v>
      </c>
      <c r="C1278" s="229"/>
      <c r="D1278" s="237">
        <f>'Commercial Viability'!F31</f>
        <v>14.692925235935229</v>
      </c>
      <c r="E1278" s="234" t="s">
        <v>199</v>
      </c>
      <c r="F1278" s="296" t="s">
        <v>950</v>
      </c>
    </row>
    <row r="1279" spans="1:8" x14ac:dyDescent="0.15">
      <c r="B1279" s="233" t="s">
        <v>196</v>
      </c>
      <c r="C1279" s="229"/>
    </row>
    <row r="1280" spans="1:8" ht="14" x14ac:dyDescent="0.15">
      <c r="A1280" s="250"/>
      <c r="B1280" s="229"/>
      <c r="C1280" s="250" t="s">
        <v>410</v>
      </c>
      <c r="D1280" s="234">
        <v>50</v>
      </c>
      <c r="E1280" s="234" t="s">
        <v>322</v>
      </c>
      <c r="F1280" s="297" t="s">
        <v>321</v>
      </c>
    </row>
    <row r="1281" spans="1:6" ht="14" x14ac:dyDescent="0.15">
      <c r="A1281" s="250"/>
      <c r="B1281" s="229"/>
      <c r="C1281" s="250" t="s">
        <v>410</v>
      </c>
      <c r="D1281" s="261">
        <f>D1280/42/D1249*2.2046</f>
        <v>0.32202746129126497</v>
      </c>
      <c r="E1281" s="234" t="s">
        <v>323</v>
      </c>
      <c r="F1281" s="296" t="s">
        <v>325</v>
      </c>
    </row>
    <row r="1282" spans="1:6" ht="14" x14ac:dyDescent="0.15">
      <c r="A1282" s="250"/>
      <c r="B1282" s="229"/>
      <c r="C1282" s="250" t="s">
        <v>411</v>
      </c>
      <c r="D1282" s="249">
        <f>D1248*1000*D1281</f>
        <v>120.4382705229331</v>
      </c>
      <c r="E1282" s="234" t="s">
        <v>199</v>
      </c>
      <c r="F1282" s="296" t="s">
        <v>66</v>
      </c>
    </row>
    <row r="1283" spans="1:6" ht="14" x14ac:dyDescent="0.15">
      <c r="B1283" s="233" t="s">
        <v>195</v>
      </c>
      <c r="C1283" s="229"/>
      <c r="D1283" s="244">
        <f>'Commercial Viability'!H31</f>
        <v>-43.051321379668764</v>
      </c>
      <c r="E1283" s="234" t="s">
        <v>199</v>
      </c>
      <c r="F1283" s="296" t="s">
        <v>951</v>
      </c>
    </row>
    <row r="1284" spans="1:6" x14ac:dyDescent="0.15">
      <c r="A1284" s="232" t="s">
        <v>201</v>
      </c>
      <c r="C1284" s="229"/>
    </row>
    <row r="1285" spans="1:6" ht="28" x14ac:dyDescent="0.15">
      <c r="B1285" s="233" t="s">
        <v>6</v>
      </c>
      <c r="D1285" s="235">
        <v>6</v>
      </c>
      <c r="F1285" s="296" t="s">
        <v>389</v>
      </c>
    </row>
    <row r="1286" spans="1:6" x14ac:dyDescent="0.15">
      <c r="A1286" s="250"/>
      <c r="B1286" s="229"/>
      <c r="C1286" s="250"/>
      <c r="E1286" s="246"/>
    </row>
    <row r="1287" spans="1:6" s="228" customFormat="1" x14ac:dyDescent="0.15">
      <c r="A1287" s="285" t="s">
        <v>1017</v>
      </c>
      <c r="B1287" s="226"/>
      <c r="C1287" s="226"/>
      <c r="D1287" s="227"/>
      <c r="E1287" s="227"/>
      <c r="F1287" s="294"/>
    </row>
    <row r="1288" spans="1:6" ht="14" x14ac:dyDescent="0.15">
      <c r="B1288" s="230" t="s">
        <v>171</v>
      </c>
      <c r="C1288" s="230"/>
      <c r="D1288" s="231" t="s">
        <v>170</v>
      </c>
      <c r="E1288" s="231" t="s">
        <v>169</v>
      </c>
      <c r="F1288" s="295" t="s">
        <v>168</v>
      </c>
    </row>
    <row r="1289" spans="1:6" ht="14" x14ac:dyDescent="0.15">
      <c r="A1289" s="250"/>
      <c r="B1289" s="229"/>
      <c r="C1289" s="250" t="s">
        <v>417</v>
      </c>
      <c r="D1289" s="234">
        <v>7920</v>
      </c>
      <c r="E1289" s="234" t="s">
        <v>415</v>
      </c>
      <c r="F1289" s="296" t="s">
        <v>18</v>
      </c>
    </row>
    <row r="1290" spans="1:6" ht="14" x14ac:dyDescent="0.15">
      <c r="A1290" s="250"/>
      <c r="B1290" s="229"/>
      <c r="C1290" s="250" t="s">
        <v>267</v>
      </c>
      <c r="D1290" s="234">
        <v>24</v>
      </c>
      <c r="E1290" s="234" t="s">
        <v>416</v>
      </c>
      <c r="F1290" s="296" t="s">
        <v>18</v>
      </c>
    </row>
    <row r="1291" spans="1:6" ht="14" x14ac:dyDescent="0.15">
      <c r="A1291" s="250"/>
      <c r="B1291" s="229"/>
      <c r="C1291" s="250" t="s">
        <v>268</v>
      </c>
      <c r="D1291" s="234">
        <f>D1289/D1290</f>
        <v>330</v>
      </c>
      <c r="E1291" s="234" t="s">
        <v>414</v>
      </c>
      <c r="F1291" s="296" t="s">
        <v>18</v>
      </c>
    </row>
    <row r="1292" spans="1:6" ht="14" x14ac:dyDescent="0.15">
      <c r="A1292" s="250"/>
      <c r="B1292" s="229"/>
      <c r="C1292" s="250" t="s">
        <v>419</v>
      </c>
      <c r="D1292" s="234">
        <v>38961</v>
      </c>
      <c r="E1292" s="234" t="s">
        <v>418</v>
      </c>
      <c r="F1292" s="296" t="s">
        <v>420</v>
      </c>
    </row>
    <row r="1293" spans="1:6" ht="14" x14ac:dyDescent="0.15">
      <c r="A1293" s="250"/>
      <c r="B1293" s="229"/>
      <c r="C1293" s="250" t="s">
        <v>435</v>
      </c>
      <c r="D1293" s="254">
        <f>D1292/D1311*D1290/1.10231/2000</f>
        <v>1134.0598937661152</v>
      </c>
      <c r="E1293" s="234" t="s">
        <v>270</v>
      </c>
      <c r="F1293" s="296" t="s">
        <v>358</v>
      </c>
    </row>
    <row r="1294" spans="1:6" x14ac:dyDescent="0.15">
      <c r="A1294" s="250"/>
      <c r="B1294" s="229"/>
      <c r="C1294" s="250"/>
    </row>
    <row r="1295" spans="1:6" x14ac:dyDescent="0.15">
      <c r="A1295" s="232" t="s">
        <v>167</v>
      </c>
    </row>
    <row r="1296" spans="1:6" ht="14" x14ac:dyDescent="0.15">
      <c r="A1296" s="250"/>
      <c r="B1296" s="250" t="s">
        <v>455</v>
      </c>
      <c r="C1296" s="250"/>
      <c r="D1296" s="255">
        <f>D1232</f>
        <v>0.12</v>
      </c>
      <c r="E1296" s="234" t="s">
        <v>111</v>
      </c>
      <c r="F1296" s="296" t="s">
        <v>390</v>
      </c>
    </row>
    <row r="1297" spans="1:6" ht="14" x14ac:dyDescent="0.15">
      <c r="B1297" s="250" t="s">
        <v>456</v>
      </c>
      <c r="D1297" s="256">
        <f>D1233</f>
        <v>0.10199999999999999</v>
      </c>
      <c r="E1297" s="234" t="s">
        <v>111</v>
      </c>
      <c r="F1297" s="296" t="s">
        <v>279</v>
      </c>
    </row>
    <row r="1298" spans="1:6" ht="17" x14ac:dyDescent="0.25">
      <c r="B1298" s="233" t="s">
        <v>956</v>
      </c>
      <c r="D1298" s="236">
        <v>0.6</v>
      </c>
      <c r="E1298" s="234" t="s">
        <v>111</v>
      </c>
      <c r="F1298" s="296" t="s">
        <v>391</v>
      </c>
    </row>
    <row r="1299" spans="1:6" ht="17" x14ac:dyDescent="0.25">
      <c r="B1299" s="233" t="s">
        <v>957</v>
      </c>
      <c r="D1299" s="237">
        <f>'Energy Balance'!Q31</f>
        <v>0.255</v>
      </c>
      <c r="E1299" s="234" t="s">
        <v>172</v>
      </c>
      <c r="F1299" s="296" t="s">
        <v>173</v>
      </c>
    </row>
    <row r="1300" spans="1:6" x14ac:dyDescent="0.15">
      <c r="A1300" s="232" t="s">
        <v>174</v>
      </c>
    </row>
    <row r="1301" spans="1:6" ht="17" x14ac:dyDescent="0.25">
      <c r="B1301" s="233" t="s">
        <v>958</v>
      </c>
      <c r="D1301" s="235">
        <v>0</v>
      </c>
      <c r="E1301" s="234" t="s">
        <v>175</v>
      </c>
      <c r="F1301" s="296" t="s">
        <v>295</v>
      </c>
    </row>
    <row r="1302" spans="1:6" ht="30" x14ac:dyDescent="0.25">
      <c r="B1302" s="233" t="s">
        <v>959</v>
      </c>
      <c r="C1302" s="229"/>
      <c r="D1302" s="236">
        <v>0</v>
      </c>
      <c r="E1302" s="234" t="s">
        <v>111</v>
      </c>
      <c r="F1302" s="296" t="s">
        <v>280</v>
      </c>
    </row>
    <row r="1303" spans="1:6" ht="17" x14ac:dyDescent="0.25">
      <c r="B1303" s="233" t="s">
        <v>960</v>
      </c>
      <c r="C1303" s="229"/>
      <c r="D1303" s="236">
        <v>0</v>
      </c>
      <c r="E1303" s="234" t="s">
        <v>111</v>
      </c>
      <c r="F1303" s="296" t="s">
        <v>87</v>
      </c>
    </row>
    <row r="1304" spans="1:6" ht="17" x14ac:dyDescent="0.25">
      <c r="B1304" s="233" t="s">
        <v>961</v>
      </c>
      <c r="C1304" s="229"/>
      <c r="D1304" s="240">
        <f>'Energy Balance'!D31</f>
        <v>0</v>
      </c>
      <c r="E1304" s="234" t="s">
        <v>175</v>
      </c>
      <c r="F1304" s="296" t="s">
        <v>947</v>
      </c>
    </row>
    <row r="1305" spans="1:6" ht="17" x14ac:dyDescent="0.25">
      <c r="B1305" s="233" t="s">
        <v>962</v>
      </c>
      <c r="C1305" s="229"/>
      <c r="D1305" s="229"/>
    </row>
    <row r="1306" spans="1:6" ht="14" x14ac:dyDescent="0.15">
      <c r="A1306" s="250"/>
      <c r="B1306" s="229"/>
      <c r="C1306" s="250" t="s">
        <v>436</v>
      </c>
      <c r="D1306" s="254">
        <v>1673</v>
      </c>
      <c r="E1306" s="234" t="s">
        <v>392</v>
      </c>
      <c r="F1306" s="296" t="s">
        <v>420</v>
      </c>
    </row>
    <row r="1307" spans="1:6" ht="14" x14ac:dyDescent="0.15">
      <c r="A1307" s="250"/>
      <c r="B1307" s="229"/>
      <c r="C1307" s="250" t="s">
        <v>436</v>
      </c>
      <c r="D1307" s="254">
        <f>D1306*D1290/D1293</f>
        <v>35.405537415364073</v>
      </c>
      <c r="E1307" s="234" t="s">
        <v>175</v>
      </c>
      <c r="F1307" s="296" t="s">
        <v>426</v>
      </c>
    </row>
    <row r="1308" spans="1:6" ht="28" x14ac:dyDescent="0.15">
      <c r="A1308" s="250"/>
      <c r="B1308" s="229"/>
      <c r="C1308" s="250" t="s">
        <v>437</v>
      </c>
      <c r="D1308" s="254">
        <f>D1245</f>
        <v>275.61758399999997</v>
      </c>
      <c r="E1308" s="234" t="s">
        <v>175</v>
      </c>
      <c r="F1308" s="296" t="s">
        <v>438</v>
      </c>
    </row>
    <row r="1309" spans="1:6" ht="14" x14ac:dyDescent="0.15">
      <c r="A1309" s="250"/>
      <c r="B1309" s="229"/>
      <c r="C1309" s="250" t="s">
        <v>791</v>
      </c>
      <c r="D1309" s="249">
        <f>SUM(D1307:D1308)</f>
        <v>311.02312141536402</v>
      </c>
      <c r="E1309" s="234" t="s">
        <v>175</v>
      </c>
      <c r="F1309" s="296" t="s">
        <v>66</v>
      </c>
    </row>
    <row r="1310" spans="1:6" ht="17" x14ac:dyDescent="0.25">
      <c r="B1310" s="233" t="s">
        <v>963</v>
      </c>
      <c r="C1310" s="229"/>
    </row>
    <row r="1311" spans="1:6" ht="14" x14ac:dyDescent="0.15">
      <c r="A1311" s="250"/>
      <c r="B1311" s="229"/>
      <c r="C1311" s="250" t="s">
        <v>351</v>
      </c>
      <c r="D1311" s="246">
        <f>D1248</f>
        <v>0.374</v>
      </c>
      <c r="E1311" s="234" t="s">
        <v>272</v>
      </c>
      <c r="F1311" s="296" t="s">
        <v>421</v>
      </c>
    </row>
    <row r="1312" spans="1:6" ht="14" x14ac:dyDescent="0.15">
      <c r="A1312" s="250"/>
      <c r="B1312" s="229"/>
      <c r="C1312" s="250" t="s">
        <v>354</v>
      </c>
      <c r="D1312" s="262">
        <v>22577</v>
      </c>
      <c r="E1312" s="234" t="s">
        <v>418</v>
      </c>
      <c r="F1312" s="296" t="s">
        <v>420</v>
      </c>
    </row>
    <row r="1313" spans="1:6" ht="14" x14ac:dyDescent="0.15">
      <c r="A1313" s="250"/>
      <c r="B1313" s="229"/>
      <c r="C1313" s="250" t="s">
        <v>423</v>
      </c>
      <c r="D1313" s="260">
        <f>D1312/D1292</f>
        <v>0.57947691281024616</v>
      </c>
      <c r="E1313" s="234" t="s">
        <v>422</v>
      </c>
      <c r="F1313" s="296" t="s">
        <v>428</v>
      </c>
    </row>
    <row r="1314" spans="1:6" ht="14" x14ac:dyDescent="0.15">
      <c r="A1314" s="250"/>
      <c r="B1314" s="229"/>
      <c r="C1314" s="250" t="s">
        <v>424</v>
      </c>
      <c r="D1314" s="260">
        <f>D1311*D1313</f>
        <v>0.21672436539103207</v>
      </c>
      <c r="E1314" s="234" t="s">
        <v>425</v>
      </c>
      <c r="F1314" s="296" t="s">
        <v>426</v>
      </c>
    </row>
    <row r="1315" spans="1:6" ht="14" x14ac:dyDescent="0.15">
      <c r="A1315" s="250"/>
      <c r="B1315" s="229"/>
      <c r="C1315" s="250" t="s">
        <v>431</v>
      </c>
      <c r="D1315" s="234">
        <v>124394</v>
      </c>
      <c r="E1315" s="234" t="s">
        <v>309</v>
      </c>
      <c r="F1315" s="296" t="s">
        <v>18</v>
      </c>
    </row>
    <row r="1316" spans="1:6" ht="14" x14ac:dyDescent="0.15">
      <c r="A1316" s="250"/>
      <c r="B1316" s="229"/>
      <c r="C1316" s="250" t="s">
        <v>370</v>
      </c>
      <c r="D1316" s="234">
        <v>6.66</v>
      </c>
      <c r="E1316" s="234" t="s">
        <v>313</v>
      </c>
      <c r="F1316" s="296" t="s">
        <v>18</v>
      </c>
    </row>
    <row r="1317" spans="1:6" ht="14" x14ac:dyDescent="0.15">
      <c r="A1317" s="250"/>
      <c r="B1317" s="229"/>
      <c r="C1317" s="250" t="s">
        <v>432</v>
      </c>
      <c r="D1317" s="251">
        <f>D1315/D1316/3412*2.2046</f>
        <v>12.0682968607529</v>
      </c>
      <c r="E1317" s="234" t="s">
        <v>361</v>
      </c>
      <c r="F1317" s="296" t="s">
        <v>434</v>
      </c>
    </row>
    <row r="1318" spans="1:6" ht="14" x14ac:dyDescent="0.15">
      <c r="A1318" s="250"/>
      <c r="B1318" s="229"/>
      <c r="C1318" s="250" t="s">
        <v>433</v>
      </c>
      <c r="D1318" s="249">
        <f>D1314*1000*D1317</f>
        <v>2615.4939784972571</v>
      </c>
      <c r="E1318" s="234" t="s">
        <v>175</v>
      </c>
      <c r="F1318" s="296" t="s">
        <v>66</v>
      </c>
    </row>
    <row r="1319" spans="1:6" ht="14" x14ac:dyDescent="0.15">
      <c r="A1319" s="250"/>
      <c r="B1319" s="229"/>
      <c r="C1319" s="250" t="s">
        <v>359</v>
      </c>
      <c r="D1319" s="234">
        <v>7124</v>
      </c>
      <c r="E1319" s="234" t="s">
        <v>418</v>
      </c>
      <c r="F1319" s="296" t="s">
        <v>420</v>
      </c>
    </row>
    <row r="1320" spans="1:6" ht="14" x14ac:dyDescent="0.15">
      <c r="A1320" s="250"/>
      <c r="B1320" s="229"/>
      <c r="C1320" s="250" t="s">
        <v>360</v>
      </c>
      <c r="D1320" s="260">
        <f>D1319/D1292</f>
        <v>0.1828495161828495</v>
      </c>
      <c r="E1320" s="234" t="s">
        <v>422</v>
      </c>
      <c r="F1320" s="296" t="s">
        <v>427</v>
      </c>
    </row>
    <row r="1321" spans="1:6" ht="14" x14ac:dyDescent="0.15">
      <c r="A1321" s="250"/>
      <c r="B1321" s="229"/>
      <c r="C1321" s="250" t="s">
        <v>360</v>
      </c>
      <c r="D1321" s="260">
        <f>D1311*D1320</f>
        <v>6.8385719052385718E-2</v>
      </c>
      <c r="E1321" s="234" t="s">
        <v>429</v>
      </c>
      <c r="F1321" s="296" t="s">
        <v>426</v>
      </c>
    </row>
    <row r="1322" spans="1:6" ht="14" x14ac:dyDescent="0.15">
      <c r="A1322" s="250"/>
      <c r="B1322" s="229"/>
      <c r="C1322" s="250" t="s">
        <v>363</v>
      </c>
      <c r="D1322" s="234">
        <v>114650</v>
      </c>
      <c r="E1322" s="234" t="s">
        <v>309</v>
      </c>
      <c r="F1322" s="296" t="s">
        <v>18</v>
      </c>
    </row>
    <row r="1323" spans="1:6" ht="14" x14ac:dyDescent="0.15">
      <c r="A1323" s="250"/>
      <c r="B1323" s="229"/>
      <c r="C1323" s="250" t="s">
        <v>364</v>
      </c>
      <c r="D1323" s="234">
        <v>6.13</v>
      </c>
      <c r="E1323" s="234" t="s">
        <v>313</v>
      </c>
      <c r="F1323" s="296" t="s">
        <v>18</v>
      </c>
    </row>
    <row r="1324" spans="1:6" ht="14" x14ac:dyDescent="0.15">
      <c r="A1324" s="250"/>
      <c r="B1324" s="229"/>
      <c r="C1324" s="250" t="s">
        <v>365</v>
      </c>
      <c r="D1324" s="254">
        <f>D1322/D1323/3412*2.2046</f>
        <v>12.084658024934546</v>
      </c>
      <c r="E1324" s="234" t="s">
        <v>361</v>
      </c>
      <c r="F1324" s="296" t="s">
        <v>434</v>
      </c>
    </row>
    <row r="1325" spans="1:6" ht="14" x14ac:dyDescent="0.15">
      <c r="A1325" s="250"/>
      <c r="B1325" s="229"/>
      <c r="C1325" s="250" t="s">
        <v>366</v>
      </c>
      <c r="D1325" s="249">
        <f>D1321*1000*D1324</f>
        <v>826.41802853733248</v>
      </c>
      <c r="E1325" s="234" t="s">
        <v>175</v>
      </c>
      <c r="F1325" s="296" t="s">
        <v>66</v>
      </c>
    </row>
    <row r="1326" spans="1:6" ht="14" x14ac:dyDescent="0.15">
      <c r="A1326" s="250"/>
      <c r="B1326" s="229"/>
      <c r="C1326" s="250" t="s">
        <v>430</v>
      </c>
      <c r="D1326" s="249">
        <f>D1325+D1318</f>
        <v>3441.9120070345898</v>
      </c>
      <c r="E1326" s="234" t="s">
        <v>175</v>
      </c>
      <c r="F1326" s="296" t="s">
        <v>66</v>
      </c>
    </row>
    <row r="1327" spans="1:6" ht="17" x14ac:dyDescent="0.25">
      <c r="A1327" s="250"/>
      <c r="B1327" s="233" t="s">
        <v>964</v>
      </c>
      <c r="C1327" s="259"/>
      <c r="D1327" s="244">
        <f>'Energy Balance'!S31</f>
        <v>34.530837608831575</v>
      </c>
      <c r="E1327" s="234" t="s">
        <v>175</v>
      </c>
      <c r="F1327" s="296" t="s">
        <v>948</v>
      </c>
    </row>
    <row r="1328" spans="1:6" ht="17" x14ac:dyDescent="0.25">
      <c r="B1328" s="233" t="s">
        <v>965</v>
      </c>
      <c r="C1328" s="229"/>
    </row>
    <row r="1329" spans="1:8" ht="14" x14ac:dyDescent="0.15">
      <c r="A1329" s="250"/>
      <c r="B1329" s="229"/>
      <c r="C1329" s="250" t="s">
        <v>443</v>
      </c>
      <c r="D1329" s="234">
        <v>1191</v>
      </c>
      <c r="E1329" s="234" t="s">
        <v>794</v>
      </c>
      <c r="F1329" s="296" t="s">
        <v>439</v>
      </c>
    </row>
    <row r="1330" spans="1:8" ht="14" x14ac:dyDescent="0.15">
      <c r="A1330" s="250"/>
      <c r="B1330" s="229"/>
      <c r="C1330" s="250" t="s">
        <v>443</v>
      </c>
      <c r="D1330" s="254">
        <f>D1329*D1227/D1223*1.10231</f>
        <v>1115.9235285</v>
      </c>
      <c r="E1330" s="234" t="s">
        <v>283</v>
      </c>
      <c r="F1330" s="296" t="s">
        <v>440</v>
      </c>
    </row>
    <row r="1331" spans="1:8" ht="14" x14ac:dyDescent="0.15">
      <c r="A1331" s="250"/>
      <c r="B1331" s="229"/>
      <c r="C1331" s="250" t="s">
        <v>442</v>
      </c>
      <c r="D1331" s="251">
        <f>D1330*1037/1000000</f>
        <v>1.1572126990545002</v>
      </c>
      <c r="E1331" s="234" t="s">
        <v>178</v>
      </c>
      <c r="F1331" s="296" t="s">
        <v>441</v>
      </c>
    </row>
    <row r="1332" spans="1:8" ht="28" x14ac:dyDescent="0.15">
      <c r="B1332" s="229"/>
      <c r="C1332" s="250" t="s">
        <v>444</v>
      </c>
      <c r="D1332" s="251">
        <f>D1260</f>
        <v>3.6533331221199998</v>
      </c>
      <c r="E1332" s="234" t="s">
        <v>178</v>
      </c>
      <c r="F1332" s="296" t="s">
        <v>438</v>
      </c>
    </row>
    <row r="1333" spans="1:8" ht="14" x14ac:dyDescent="0.15">
      <c r="B1333" s="229"/>
      <c r="C1333" s="250" t="s">
        <v>792</v>
      </c>
      <c r="D1333" s="247">
        <f>SUM(D1331:D1332)</f>
        <v>4.8105458211745002</v>
      </c>
      <c r="E1333" s="234" t="s">
        <v>178</v>
      </c>
      <c r="F1333" s="296" t="s">
        <v>66</v>
      </c>
    </row>
    <row r="1334" spans="1:8" x14ac:dyDescent="0.15">
      <c r="B1334" s="229"/>
      <c r="C1334" s="250"/>
      <c r="D1334" s="251"/>
    </row>
    <row r="1335" spans="1:8" ht="17" x14ac:dyDescent="0.25">
      <c r="B1335" s="233" t="s">
        <v>966</v>
      </c>
      <c r="C1335" s="229"/>
      <c r="D1335" s="240">
        <f>'Energy Balance'!Y31</f>
        <v>2141.6675262653916</v>
      </c>
      <c r="E1335" s="234" t="s">
        <v>175</v>
      </c>
      <c r="F1335" s="296" t="s">
        <v>176</v>
      </c>
    </row>
    <row r="1336" spans="1:8" ht="17" x14ac:dyDescent="0.25">
      <c r="A1336" s="232" t="s">
        <v>967</v>
      </c>
      <c r="C1336" s="229"/>
    </row>
    <row r="1337" spans="1:8" ht="17" x14ac:dyDescent="0.25">
      <c r="B1337" s="233" t="s">
        <v>968</v>
      </c>
      <c r="C1337" s="229"/>
      <c r="D1337" s="241">
        <f>GWP!P29</f>
        <v>0</v>
      </c>
      <c r="E1337" s="234" t="s">
        <v>969</v>
      </c>
      <c r="F1337" s="296" t="s">
        <v>949</v>
      </c>
    </row>
    <row r="1338" spans="1:8" ht="17" x14ac:dyDescent="0.25">
      <c r="B1338" s="233" t="s">
        <v>970</v>
      </c>
      <c r="C1338" s="229"/>
      <c r="D1338" s="235">
        <v>0</v>
      </c>
      <c r="E1338" s="234" t="s">
        <v>172</v>
      </c>
      <c r="F1338" s="296" t="s">
        <v>190</v>
      </c>
      <c r="G1338" s="234"/>
      <c r="H1338" s="234"/>
    </row>
    <row r="1339" spans="1:8" ht="17" x14ac:dyDescent="0.25">
      <c r="B1339" s="233" t="s">
        <v>971</v>
      </c>
      <c r="C1339" s="229"/>
      <c r="D1339" s="244">
        <f>GWP!R29</f>
        <v>0</v>
      </c>
      <c r="E1339" s="234" t="s">
        <v>969</v>
      </c>
      <c r="F1339" s="296" t="s">
        <v>193</v>
      </c>
    </row>
    <row r="1340" spans="1:8" ht="17" x14ac:dyDescent="0.25">
      <c r="B1340" s="233" t="s">
        <v>972</v>
      </c>
      <c r="C1340" s="229"/>
      <c r="D1340" s="235">
        <v>0</v>
      </c>
      <c r="E1340" s="234" t="s">
        <v>172</v>
      </c>
      <c r="F1340" s="296" t="s">
        <v>192</v>
      </c>
      <c r="G1340" s="234"/>
      <c r="H1340" s="234"/>
    </row>
    <row r="1341" spans="1:8" ht="17" x14ac:dyDescent="0.25">
      <c r="B1341" s="233" t="s">
        <v>973</v>
      </c>
      <c r="C1341" s="229"/>
      <c r="D1341" s="243">
        <f>GWP!T29</f>
        <v>0</v>
      </c>
      <c r="E1341" s="234" t="s">
        <v>969</v>
      </c>
      <c r="F1341" s="296" t="s">
        <v>919</v>
      </c>
    </row>
    <row r="1342" spans="1:8" ht="17" x14ac:dyDescent="0.25">
      <c r="B1342" s="233" t="s">
        <v>974</v>
      </c>
      <c r="C1342" s="229"/>
      <c r="D1342" s="244">
        <f>GWP!Z29</f>
        <v>1567.5865593649278</v>
      </c>
      <c r="E1342" s="234" t="s">
        <v>969</v>
      </c>
      <c r="F1342" s="296" t="s">
        <v>200</v>
      </c>
      <c r="G1342" s="234"/>
      <c r="H1342" s="234"/>
    </row>
    <row r="1343" spans="1:8" ht="17" x14ac:dyDescent="0.25">
      <c r="B1343" s="233" t="s">
        <v>975</v>
      </c>
      <c r="C1343" s="229"/>
      <c r="D1343" s="235">
        <v>0</v>
      </c>
      <c r="E1343" s="234" t="s">
        <v>314</v>
      </c>
      <c r="F1343" s="296" t="s">
        <v>190</v>
      </c>
    </row>
    <row r="1344" spans="1:8" ht="17" x14ac:dyDescent="0.25">
      <c r="B1344" s="233" t="s">
        <v>976</v>
      </c>
      <c r="C1344" s="229"/>
      <c r="D1344" s="244">
        <f>GWP!AB29</f>
        <v>-811.28410547843725</v>
      </c>
      <c r="E1344" s="234" t="s">
        <v>314</v>
      </c>
      <c r="F1344" s="296" t="s">
        <v>179</v>
      </c>
    </row>
    <row r="1345" spans="1:6" x14ac:dyDescent="0.15">
      <c r="A1345" s="232" t="s">
        <v>41</v>
      </c>
      <c r="C1345" s="229"/>
    </row>
    <row r="1346" spans="1:6" ht="14" x14ac:dyDescent="0.15">
      <c r="A1346" s="250"/>
      <c r="B1346" s="250" t="s">
        <v>376</v>
      </c>
      <c r="C1346" s="250"/>
      <c r="D1346" s="234">
        <v>82200000</v>
      </c>
      <c r="E1346" s="234" t="s">
        <v>402</v>
      </c>
      <c r="F1346" s="296" t="s">
        <v>377</v>
      </c>
    </row>
    <row r="1347" spans="1:6" ht="14" x14ac:dyDescent="0.15">
      <c r="A1347" s="250"/>
      <c r="B1347" s="250" t="s">
        <v>376</v>
      </c>
      <c r="C1347" s="250"/>
      <c r="D1347" s="254">
        <f>D1346/D1293</f>
        <v>72482.944200610844</v>
      </c>
      <c r="E1347" s="234" t="s">
        <v>404</v>
      </c>
      <c r="F1347" s="296" t="s">
        <v>357</v>
      </c>
    </row>
    <row r="1348" spans="1:6" ht="14" x14ac:dyDescent="0.15">
      <c r="A1348" s="250"/>
      <c r="B1348" s="250" t="s">
        <v>375</v>
      </c>
      <c r="C1348" s="250"/>
      <c r="D1348" s="254">
        <f>D1273</f>
        <v>242508.19999999995</v>
      </c>
      <c r="E1348" s="234" t="s">
        <v>404</v>
      </c>
      <c r="F1348" s="296" t="s">
        <v>336</v>
      </c>
    </row>
    <row r="1349" spans="1:6" ht="14" x14ac:dyDescent="0.15">
      <c r="A1349" s="250"/>
      <c r="B1349" s="250" t="s">
        <v>446</v>
      </c>
      <c r="C1349" s="250"/>
      <c r="D1349" s="249">
        <f>SUM(D1347:D1348)</f>
        <v>314991.14420061081</v>
      </c>
      <c r="E1349" s="234" t="s">
        <v>404</v>
      </c>
      <c r="F1349" s="296" t="s">
        <v>66</v>
      </c>
    </row>
    <row r="1350" spans="1:6" x14ac:dyDescent="0.15">
      <c r="A1350" s="232" t="s">
        <v>195</v>
      </c>
      <c r="C1350" s="229"/>
    </row>
    <row r="1351" spans="1:6" x14ac:dyDescent="0.15">
      <c r="B1351" s="233" t="s">
        <v>42</v>
      </c>
      <c r="C1351" s="229"/>
    </row>
    <row r="1352" spans="1:6" ht="14" x14ac:dyDescent="0.15">
      <c r="A1352" s="250"/>
      <c r="B1352" s="229"/>
      <c r="C1352" s="250" t="s">
        <v>381</v>
      </c>
      <c r="D1352" s="234">
        <v>44200000</v>
      </c>
      <c r="E1352" s="234" t="s">
        <v>450</v>
      </c>
      <c r="F1352" s="296" t="s">
        <v>335</v>
      </c>
    </row>
    <row r="1353" spans="1:6" ht="14" x14ac:dyDescent="0.15">
      <c r="A1353" s="250"/>
      <c r="B1353" s="229"/>
      <c r="C1353" s="250" t="s">
        <v>381</v>
      </c>
      <c r="D1353" s="254">
        <f>D1352/(D1293*D1291)</f>
        <v>118.10610239869496</v>
      </c>
      <c r="E1353" s="234" t="s">
        <v>199</v>
      </c>
      <c r="F1353" s="296" t="s">
        <v>382</v>
      </c>
    </row>
    <row r="1354" spans="1:6" ht="14" x14ac:dyDescent="0.15">
      <c r="A1354" s="250"/>
      <c r="B1354" s="229"/>
      <c r="C1354" s="250" t="s">
        <v>319</v>
      </c>
      <c r="D1354" s="254">
        <f>D1277</f>
        <v>148.79666666666662</v>
      </c>
      <c r="E1354" s="234" t="s">
        <v>199</v>
      </c>
      <c r="F1354" s="296" t="s">
        <v>448</v>
      </c>
    </row>
    <row r="1355" spans="1:6" ht="14" x14ac:dyDescent="0.15">
      <c r="A1355" s="250"/>
      <c r="B1355" s="229"/>
      <c r="C1355" s="250" t="s">
        <v>447</v>
      </c>
      <c r="D1355" s="249">
        <f>SUM(D1353:D1354)</f>
        <v>266.90276906536155</v>
      </c>
      <c r="E1355" s="234" t="s">
        <v>199</v>
      </c>
      <c r="F1355" s="296" t="s">
        <v>66</v>
      </c>
    </row>
    <row r="1356" spans="1:6" ht="14" x14ac:dyDescent="0.15">
      <c r="B1356" s="233" t="s">
        <v>197</v>
      </c>
      <c r="C1356" s="229"/>
      <c r="D1356" s="263">
        <f>'Commercial Viability'!F32</f>
        <v>14.692925235935229</v>
      </c>
      <c r="F1356" s="296" t="s">
        <v>950</v>
      </c>
    </row>
    <row r="1357" spans="1:6" x14ac:dyDescent="0.15">
      <c r="B1357" s="233" t="s">
        <v>196</v>
      </c>
      <c r="C1357" s="229"/>
    </row>
    <row r="1358" spans="1:6" ht="14" x14ac:dyDescent="0.15">
      <c r="A1358" s="250"/>
      <c r="B1358" s="229"/>
      <c r="C1358" s="250" t="s">
        <v>451</v>
      </c>
      <c r="D1358" s="257">
        <v>3.1240000000000001</v>
      </c>
      <c r="E1358" s="234" t="s">
        <v>384</v>
      </c>
      <c r="F1358" s="297" t="s">
        <v>53</v>
      </c>
    </row>
    <row r="1359" spans="1:6" ht="14" x14ac:dyDescent="0.15">
      <c r="A1359" s="250"/>
      <c r="B1359" s="229"/>
      <c r="C1359" s="233" t="s">
        <v>370</v>
      </c>
      <c r="D1359" s="234">
        <v>6.66</v>
      </c>
      <c r="E1359" s="234" t="s">
        <v>313</v>
      </c>
      <c r="F1359" s="296" t="s">
        <v>18</v>
      </c>
    </row>
    <row r="1360" spans="1:6" ht="14" x14ac:dyDescent="0.15">
      <c r="A1360" s="250"/>
      <c r="B1360" s="229"/>
      <c r="C1360" s="250" t="s">
        <v>451</v>
      </c>
      <c r="D1360" s="257">
        <f>D1358/D1359*2.20462</f>
        <v>1.034119051051051</v>
      </c>
      <c r="E1360" s="234" t="s">
        <v>323</v>
      </c>
      <c r="F1360" s="296" t="s">
        <v>385</v>
      </c>
    </row>
    <row r="1361" spans="1:6" ht="14" x14ac:dyDescent="0.15">
      <c r="A1361" s="250"/>
      <c r="B1361" s="229"/>
      <c r="C1361" s="250" t="s">
        <v>452</v>
      </c>
      <c r="D1361" s="254">
        <f>D1314*1000*D1360</f>
        <v>224.11879507781532</v>
      </c>
      <c r="E1361" s="234" t="s">
        <v>199</v>
      </c>
      <c r="F1361" s="296" t="s">
        <v>66</v>
      </c>
    </row>
    <row r="1362" spans="1:6" ht="14" x14ac:dyDescent="0.15">
      <c r="A1362" s="250"/>
      <c r="B1362" s="229"/>
      <c r="C1362" s="250" t="s">
        <v>453</v>
      </c>
      <c r="D1362" s="254">
        <v>550</v>
      </c>
      <c r="E1362" s="234" t="s">
        <v>386</v>
      </c>
      <c r="F1362" s="297" t="s">
        <v>55</v>
      </c>
    </row>
    <row r="1363" spans="1:6" ht="14" x14ac:dyDescent="0.15">
      <c r="A1363" s="250"/>
      <c r="B1363" s="229"/>
      <c r="C1363" s="250" t="s">
        <v>453</v>
      </c>
      <c r="D1363" s="254">
        <f>D1362/1000</f>
        <v>0.55000000000000004</v>
      </c>
      <c r="E1363" s="234" t="s">
        <v>323</v>
      </c>
      <c r="F1363" s="296" t="s">
        <v>387</v>
      </c>
    </row>
    <row r="1364" spans="1:6" ht="14" x14ac:dyDescent="0.15">
      <c r="A1364" s="250"/>
      <c r="B1364" s="229"/>
      <c r="C1364" s="250" t="s">
        <v>454</v>
      </c>
      <c r="D1364" s="254">
        <f>D1321*1000*D1363</f>
        <v>37.612145478812153</v>
      </c>
      <c r="E1364" s="234" t="s">
        <v>199</v>
      </c>
      <c r="F1364" s="296" t="s">
        <v>66</v>
      </c>
    </row>
    <row r="1365" spans="1:6" x14ac:dyDescent="0.15">
      <c r="A1365" s="250"/>
      <c r="B1365" s="229"/>
      <c r="C1365" s="250" t="s">
        <v>388</v>
      </c>
      <c r="D1365" s="265">
        <f>D1361+D1364</f>
        <v>261.7309405566275</v>
      </c>
    </row>
    <row r="1366" spans="1:6" ht="14" x14ac:dyDescent="0.15">
      <c r="B1366" s="233" t="s">
        <v>195</v>
      </c>
      <c r="C1366" s="229"/>
      <c r="D1366" s="244">
        <f>'Commercial Viability'!H32</f>
        <v>-19.864753744669287</v>
      </c>
      <c r="E1366" s="234" t="s">
        <v>199</v>
      </c>
      <c r="F1366" s="296" t="s">
        <v>951</v>
      </c>
    </row>
    <row r="1367" spans="1:6" x14ac:dyDescent="0.15">
      <c r="A1367" s="232" t="s">
        <v>201</v>
      </c>
      <c r="C1367" s="229"/>
    </row>
    <row r="1368" spans="1:6" ht="28" x14ac:dyDescent="0.15">
      <c r="B1368" s="233" t="s">
        <v>6</v>
      </c>
      <c r="D1368" s="235">
        <v>6</v>
      </c>
      <c r="F1368" s="296" t="s">
        <v>389</v>
      </c>
    </row>
    <row r="1370" spans="1:6" s="228" customFormat="1" x14ac:dyDescent="0.15">
      <c r="A1370" s="225" t="s">
        <v>995</v>
      </c>
      <c r="B1370" s="226"/>
      <c r="C1370" s="226"/>
      <c r="D1370" s="227"/>
      <c r="E1370" s="227"/>
      <c r="F1370" s="294"/>
    </row>
    <row r="1371" spans="1:6" ht="14" x14ac:dyDescent="0.15">
      <c r="B1371" s="230" t="s">
        <v>171</v>
      </c>
      <c r="C1371" s="230"/>
      <c r="D1371" s="231" t="s">
        <v>170</v>
      </c>
      <c r="E1371" s="231" t="s">
        <v>169</v>
      </c>
      <c r="F1371" s="295" t="s">
        <v>168</v>
      </c>
    </row>
    <row r="1372" spans="1:6" ht="14" x14ac:dyDescent="0.15">
      <c r="A1372" s="250"/>
      <c r="B1372" s="229"/>
      <c r="C1372" s="250" t="s">
        <v>458</v>
      </c>
      <c r="D1372" s="234">
        <v>100</v>
      </c>
      <c r="E1372" s="234" t="s">
        <v>457</v>
      </c>
      <c r="F1372" s="296" t="s">
        <v>19</v>
      </c>
    </row>
    <row r="1373" spans="1:6" ht="14" x14ac:dyDescent="0.15">
      <c r="A1373" s="250"/>
      <c r="B1373" s="229"/>
      <c r="C1373" s="250" t="s">
        <v>459</v>
      </c>
      <c r="D1373" s="234">
        <v>0.8</v>
      </c>
      <c r="E1373" s="234" t="s">
        <v>272</v>
      </c>
      <c r="F1373" s="296" t="s">
        <v>19</v>
      </c>
    </row>
    <row r="1374" spans="1:6" ht="14" x14ac:dyDescent="0.15">
      <c r="A1374" s="250"/>
      <c r="B1374" s="229"/>
      <c r="C1374" s="250" t="s">
        <v>462</v>
      </c>
      <c r="D1374" s="234">
        <f>D1372*(1-D1373)</f>
        <v>19.999999999999996</v>
      </c>
      <c r="E1374" s="234" t="s">
        <v>461</v>
      </c>
      <c r="F1374" s="296" t="s">
        <v>460</v>
      </c>
    </row>
    <row r="1375" spans="1:6" ht="14" x14ac:dyDescent="0.15">
      <c r="A1375" s="250"/>
      <c r="B1375" s="229"/>
      <c r="C1375" s="250" t="s">
        <v>462</v>
      </c>
      <c r="D1375" s="254">
        <f>D1374*(D1376/D1377)</f>
        <v>6666.6666666666652</v>
      </c>
      <c r="E1375" s="234" t="s">
        <v>271</v>
      </c>
      <c r="F1375" s="296" t="s">
        <v>463</v>
      </c>
    </row>
    <row r="1376" spans="1:6" x14ac:dyDescent="0.15">
      <c r="A1376" s="250"/>
      <c r="B1376" s="229"/>
      <c r="C1376" s="250" t="s">
        <v>476</v>
      </c>
      <c r="D1376" s="234">
        <v>8000</v>
      </c>
      <c r="E1376" s="234" t="s">
        <v>412</v>
      </c>
    </row>
    <row r="1377" spans="1:6" x14ac:dyDescent="0.15">
      <c r="A1377" s="250"/>
      <c r="B1377" s="229"/>
      <c r="C1377" s="250" t="s">
        <v>267</v>
      </c>
      <c r="D1377" s="234">
        <v>24</v>
      </c>
      <c r="E1377" s="234" t="s">
        <v>413</v>
      </c>
    </row>
    <row r="1378" spans="1:6" x14ac:dyDescent="0.15">
      <c r="A1378" s="232" t="s">
        <v>167</v>
      </c>
    </row>
    <row r="1379" spans="1:6" ht="14" x14ac:dyDescent="0.15">
      <c r="A1379" s="250"/>
      <c r="B1379" s="250" t="s">
        <v>502</v>
      </c>
      <c r="D1379" s="254">
        <v>291.60000000000002</v>
      </c>
      <c r="E1379" s="234" t="s">
        <v>501</v>
      </c>
      <c r="F1379" s="296" t="s">
        <v>500</v>
      </c>
    </row>
    <row r="1380" spans="1:6" ht="14" x14ac:dyDescent="0.15">
      <c r="A1380" s="250"/>
      <c r="B1380" s="250" t="s">
        <v>273</v>
      </c>
      <c r="D1380" s="254">
        <v>4166.7</v>
      </c>
      <c r="E1380" s="234" t="s">
        <v>501</v>
      </c>
      <c r="F1380" s="296" t="s">
        <v>500</v>
      </c>
    </row>
    <row r="1381" spans="1:6" ht="14" x14ac:dyDescent="0.15">
      <c r="A1381" s="250"/>
      <c r="B1381" s="250" t="s">
        <v>503</v>
      </c>
      <c r="D1381" s="236">
        <v>0.8</v>
      </c>
      <c r="E1381" s="234" t="s">
        <v>111</v>
      </c>
      <c r="F1381" s="296" t="s">
        <v>500</v>
      </c>
    </row>
    <row r="1382" spans="1:6" ht="14" x14ac:dyDescent="0.15">
      <c r="B1382" s="250" t="s">
        <v>492</v>
      </c>
      <c r="D1382" s="239">
        <f>D1379/((1-D1381)*D1380)</f>
        <v>0.34991720066239479</v>
      </c>
      <c r="E1382" s="234" t="s">
        <v>111</v>
      </c>
      <c r="F1382" s="296" t="s">
        <v>499</v>
      </c>
    </row>
    <row r="1383" spans="1:6" ht="17" x14ac:dyDescent="0.25">
      <c r="B1383" s="233" t="s">
        <v>956</v>
      </c>
      <c r="D1383" s="236">
        <v>0</v>
      </c>
      <c r="E1383" s="234" t="s">
        <v>111</v>
      </c>
      <c r="F1383" s="296" t="s">
        <v>464</v>
      </c>
    </row>
    <row r="1384" spans="1:6" ht="17" x14ac:dyDescent="0.25">
      <c r="B1384" s="233" t="s">
        <v>957</v>
      </c>
      <c r="D1384" s="237">
        <f>'Energy Balance'!Q32</f>
        <v>0.35</v>
      </c>
      <c r="E1384" s="234" t="s">
        <v>172</v>
      </c>
      <c r="F1384" s="296" t="s">
        <v>173</v>
      </c>
    </row>
    <row r="1385" spans="1:6" x14ac:dyDescent="0.15">
      <c r="A1385" s="232" t="s">
        <v>174</v>
      </c>
    </row>
    <row r="1386" spans="1:6" ht="17" x14ac:dyDescent="0.25">
      <c r="B1386" s="233" t="s">
        <v>958</v>
      </c>
      <c r="D1386" s="235">
        <v>0</v>
      </c>
      <c r="E1386" s="234" t="s">
        <v>175</v>
      </c>
      <c r="F1386" s="296" t="s">
        <v>295</v>
      </c>
    </row>
    <row r="1387" spans="1:6" ht="30" x14ac:dyDescent="0.25">
      <c r="B1387" s="233" t="s">
        <v>959</v>
      </c>
      <c r="C1387" s="229"/>
      <c r="D1387" s="236">
        <v>0</v>
      </c>
      <c r="E1387" s="234" t="s">
        <v>111</v>
      </c>
      <c r="F1387" s="296" t="s">
        <v>280</v>
      </c>
    </row>
    <row r="1388" spans="1:6" ht="17" x14ac:dyDescent="0.25">
      <c r="B1388" s="233" t="s">
        <v>960</v>
      </c>
      <c r="C1388" s="229"/>
      <c r="D1388" s="236">
        <v>0</v>
      </c>
      <c r="E1388" s="234" t="s">
        <v>111</v>
      </c>
      <c r="F1388" s="296" t="s">
        <v>87</v>
      </c>
    </row>
    <row r="1389" spans="1:6" ht="17" x14ac:dyDescent="0.25">
      <c r="B1389" s="233" t="s">
        <v>961</v>
      </c>
      <c r="C1389" s="229"/>
      <c r="D1389" s="240">
        <f>'Energy Balance'!D32</f>
        <v>0</v>
      </c>
      <c r="E1389" s="234" t="s">
        <v>175</v>
      </c>
      <c r="F1389" s="296" t="s">
        <v>947</v>
      </c>
    </row>
    <row r="1390" spans="1:6" ht="17" x14ac:dyDescent="0.25">
      <c r="B1390" s="233" t="s">
        <v>962</v>
      </c>
      <c r="C1390" s="229"/>
      <c r="D1390" s="229"/>
    </row>
    <row r="1391" spans="1:6" ht="14" x14ac:dyDescent="0.15">
      <c r="A1391" s="250"/>
      <c r="B1391" s="229"/>
      <c r="C1391" s="250" t="s">
        <v>473</v>
      </c>
      <c r="D1391" s="266">
        <v>100000</v>
      </c>
      <c r="E1391" s="234" t="s">
        <v>281</v>
      </c>
      <c r="F1391" s="296" t="s">
        <v>468</v>
      </c>
    </row>
    <row r="1392" spans="1:6" ht="14" x14ac:dyDescent="0.15">
      <c r="A1392" s="250"/>
      <c r="B1392" s="229"/>
      <c r="C1392" s="250" t="s">
        <v>474</v>
      </c>
      <c r="D1392" s="267">
        <v>9.8000000000000004E-2</v>
      </c>
      <c r="E1392" s="234" t="s">
        <v>217</v>
      </c>
      <c r="F1392" s="296" t="s">
        <v>469</v>
      </c>
    </row>
    <row r="1393" spans="1:6" ht="14" x14ac:dyDescent="0.15">
      <c r="A1393" s="250"/>
      <c r="B1393" s="229"/>
      <c r="C1393" s="250" t="s">
        <v>475</v>
      </c>
      <c r="D1393" s="254">
        <f>D1391/D1392</f>
        <v>1020408.163265306</v>
      </c>
      <c r="E1393" s="234" t="s">
        <v>470</v>
      </c>
      <c r="F1393" s="296" t="s">
        <v>66</v>
      </c>
    </row>
    <row r="1394" spans="1:6" ht="14" x14ac:dyDescent="0.15">
      <c r="A1394" s="250"/>
      <c r="B1394" s="229"/>
      <c r="C1394" s="250" t="s">
        <v>472</v>
      </c>
      <c r="D1394" s="254">
        <f>D1393/D1375</f>
        <v>153.06122448979593</v>
      </c>
      <c r="E1394" s="234" t="s">
        <v>175</v>
      </c>
      <c r="F1394" s="296" t="s">
        <v>467</v>
      </c>
    </row>
    <row r="1395" spans="1:6" ht="14" x14ac:dyDescent="0.15">
      <c r="A1395" s="250"/>
      <c r="B1395" s="229"/>
      <c r="C1395" s="250" t="s">
        <v>227</v>
      </c>
      <c r="D1395" s="254">
        <v>60</v>
      </c>
      <c r="E1395" s="234" t="s">
        <v>175</v>
      </c>
      <c r="F1395" s="298" t="s">
        <v>396</v>
      </c>
    </row>
    <row r="1396" spans="1:6" x14ac:dyDescent="0.15">
      <c r="A1396" s="250"/>
      <c r="B1396" s="229"/>
      <c r="C1396" s="250" t="s">
        <v>472</v>
      </c>
      <c r="D1396" s="249">
        <f>SUM(D1394:D1395)</f>
        <v>213.06122448979593</v>
      </c>
      <c r="E1396" s="234" t="s">
        <v>175</v>
      </c>
      <c r="F1396" s="300"/>
    </row>
    <row r="1397" spans="1:6" ht="17" x14ac:dyDescent="0.25">
      <c r="B1397" s="233" t="s">
        <v>963</v>
      </c>
      <c r="C1397" s="229"/>
    </row>
    <row r="1398" spans="1:6" ht="14" x14ac:dyDescent="0.15">
      <c r="A1398" s="250"/>
      <c r="B1398" s="229"/>
      <c r="C1398" s="250" t="s">
        <v>489</v>
      </c>
      <c r="D1398" s="236">
        <v>0.08</v>
      </c>
      <c r="E1398" s="234" t="s">
        <v>272</v>
      </c>
      <c r="F1398" s="296" t="s">
        <v>464</v>
      </c>
    </row>
    <row r="1399" spans="1:6" ht="14" x14ac:dyDescent="0.15">
      <c r="A1399" s="250"/>
      <c r="B1399" s="229"/>
      <c r="C1399" s="250" t="s">
        <v>489</v>
      </c>
      <c r="D1399" s="255">
        <f>D1398*D1372/D1374</f>
        <v>0.40000000000000008</v>
      </c>
      <c r="E1399" s="234" t="s">
        <v>272</v>
      </c>
      <c r="F1399" s="296" t="s">
        <v>426</v>
      </c>
    </row>
    <row r="1400" spans="1:6" ht="14" x14ac:dyDescent="0.15">
      <c r="A1400" s="250"/>
      <c r="B1400" s="229"/>
      <c r="C1400" s="250" t="s">
        <v>490</v>
      </c>
      <c r="D1400" s="234">
        <v>36</v>
      </c>
      <c r="E1400" s="234" t="s">
        <v>488</v>
      </c>
      <c r="F1400" s="296" t="s">
        <v>465</v>
      </c>
    </row>
    <row r="1401" spans="1:6" ht="14" x14ac:dyDescent="0.15">
      <c r="A1401" s="250"/>
      <c r="B1401" s="229"/>
      <c r="C1401" s="250" t="s">
        <v>490</v>
      </c>
      <c r="D1401" s="251">
        <f>D1400/3.6</f>
        <v>10</v>
      </c>
      <c r="E1401" s="234" t="s">
        <v>361</v>
      </c>
      <c r="F1401" s="296" t="s">
        <v>466</v>
      </c>
    </row>
    <row r="1402" spans="1:6" ht="14" x14ac:dyDescent="0.15">
      <c r="A1402" s="250"/>
      <c r="B1402" s="229"/>
      <c r="C1402" s="250" t="s">
        <v>491</v>
      </c>
      <c r="D1402" s="235">
        <f>D1399*D1400*1000/3.6</f>
        <v>4000.0000000000005</v>
      </c>
      <c r="E1402" s="234" t="s">
        <v>175</v>
      </c>
      <c r="F1402" s="296" t="s">
        <v>467</v>
      </c>
    </row>
    <row r="1403" spans="1:6" ht="17" x14ac:dyDescent="0.25">
      <c r="A1403" s="250"/>
      <c r="B1403" s="233" t="s">
        <v>964</v>
      </c>
      <c r="C1403" s="259"/>
      <c r="D1403" s="244">
        <f>'Energy Balance'!S32</f>
        <v>47.395267306239418</v>
      </c>
      <c r="E1403" s="234" t="s">
        <v>175</v>
      </c>
      <c r="F1403" s="296" t="s">
        <v>948</v>
      </c>
    </row>
    <row r="1404" spans="1:6" ht="17" x14ac:dyDescent="0.25">
      <c r="B1404" s="233" t="s">
        <v>965</v>
      </c>
      <c r="C1404" s="229"/>
      <c r="D1404" s="229"/>
    </row>
    <row r="1405" spans="1:6" ht="14" x14ac:dyDescent="0.15">
      <c r="A1405" s="250"/>
      <c r="B1405" s="229"/>
      <c r="C1405" s="250" t="s">
        <v>483</v>
      </c>
      <c r="D1405" s="266">
        <v>350000</v>
      </c>
      <c r="E1405" s="234" t="s">
        <v>281</v>
      </c>
      <c r="F1405" s="296" t="s">
        <v>468</v>
      </c>
    </row>
    <row r="1406" spans="1:6" ht="14" x14ac:dyDescent="0.15">
      <c r="A1406" s="250"/>
      <c r="B1406" s="229"/>
      <c r="C1406" s="250" t="s">
        <v>484</v>
      </c>
      <c r="D1406" s="268">
        <v>0.44800000000000001</v>
      </c>
      <c r="E1406" s="234" t="s">
        <v>323</v>
      </c>
      <c r="F1406" s="296" t="s">
        <v>469</v>
      </c>
    </row>
    <row r="1407" spans="1:6" ht="14" x14ac:dyDescent="0.15">
      <c r="A1407" s="250"/>
      <c r="B1407" s="229"/>
      <c r="C1407" s="250" t="s">
        <v>485</v>
      </c>
      <c r="D1407" s="234">
        <f>D1405/D1406</f>
        <v>781250</v>
      </c>
      <c r="E1407" s="234" t="s">
        <v>477</v>
      </c>
      <c r="F1407" s="296" t="s">
        <v>66</v>
      </c>
    </row>
    <row r="1408" spans="1:6" ht="28" x14ac:dyDescent="0.15">
      <c r="A1408" s="250"/>
      <c r="B1408" s="229"/>
      <c r="C1408" s="250" t="s">
        <v>486</v>
      </c>
      <c r="D1408" s="254">
        <v>21240</v>
      </c>
      <c r="E1408" s="234" t="s">
        <v>478</v>
      </c>
      <c r="F1408" s="296" t="s">
        <v>89</v>
      </c>
    </row>
    <row r="1409" spans="1:8" ht="14" x14ac:dyDescent="0.15">
      <c r="A1409" s="250"/>
      <c r="B1409" s="229"/>
      <c r="C1409" s="250" t="s">
        <v>486</v>
      </c>
      <c r="D1409" s="254">
        <f>D1408*2.20462</f>
        <v>46826.128799999999</v>
      </c>
      <c r="E1409" s="234" t="s">
        <v>479</v>
      </c>
      <c r="F1409" s="296" t="s">
        <v>482</v>
      </c>
    </row>
    <row r="1410" spans="1:8" ht="14" x14ac:dyDescent="0.15">
      <c r="A1410" s="250"/>
      <c r="B1410" s="229"/>
      <c r="C1410" s="250" t="s">
        <v>485</v>
      </c>
      <c r="D1410" s="254">
        <f>D1409*D1407/1000000</f>
        <v>36582.913124999999</v>
      </c>
      <c r="E1410" s="234" t="s">
        <v>480</v>
      </c>
      <c r="F1410" s="296" t="s">
        <v>481</v>
      </c>
    </row>
    <row r="1411" spans="1:8" ht="14" x14ac:dyDescent="0.15">
      <c r="A1411" s="250"/>
      <c r="B1411" s="229"/>
      <c r="C1411" s="250" t="s">
        <v>487</v>
      </c>
      <c r="D1411" s="247">
        <f>D1410/D1375</f>
        <v>5.4874369687500009</v>
      </c>
      <c r="E1411" s="234" t="s">
        <v>178</v>
      </c>
      <c r="F1411" s="296" t="s">
        <v>467</v>
      </c>
    </row>
    <row r="1412" spans="1:8" ht="17" x14ac:dyDescent="0.25">
      <c r="B1412" s="233" t="s">
        <v>966</v>
      </c>
      <c r="C1412" s="229"/>
      <c r="D1412" s="240">
        <f>'Energy Balance'!Y32</f>
        <v>2180.5756252623123</v>
      </c>
      <c r="E1412" s="234" t="s">
        <v>175</v>
      </c>
      <c r="F1412" s="296" t="s">
        <v>176</v>
      </c>
    </row>
    <row r="1413" spans="1:8" ht="17" x14ac:dyDescent="0.25">
      <c r="A1413" s="232" t="s">
        <v>967</v>
      </c>
      <c r="C1413" s="229"/>
    </row>
    <row r="1414" spans="1:8" ht="17" x14ac:dyDescent="0.25">
      <c r="B1414" s="233" t="s">
        <v>968</v>
      </c>
      <c r="C1414" s="229"/>
      <c r="D1414" s="241">
        <f>GWP!P30</f>
        <v>0</v>
      </c>
      <c r="E1414" s="234" t="s">
        <v>969</v>
      </c>
      <c r="F1414" s="296" t="s">
        <v>949</v>
      </c>
    </row>
    <row r="1415" spans="1:8" ht="17" x14ac:dyDescent="0.25">
      <c r="B1415" s="233" t="s">
        <v>970</v>
      </c>
      <c r="C1415" s="229"/>
      <c r="D1415" s="235">
        <v>0</v>
      </c>
      <c r="E1415" s="234" t="s">
        <v>172</v>
      </c>
      <c r="F1415" s="296" t="s">
        <v>190</v>
      </c>
      <c r="G1415" s="234"/>
      <c r="H1415" s="234"/>
    </row>
    <row r="1416" spans="1:8" ht="17" x14ac:dyDescent="0.25">
      <c r="B1416" s="233" t="s">
        <v>971</v>
      </c>
      <c r="C1416" s="229"/>
      <c r="D1416" s="244">
        <f>GWP!R30</f>
        <v>0</v>
      </c>
      <c r="E1416" s="234" t="s">
        <v>969</v>
      </c>
      <c r="F1416" s="296" t="s">
        <v>193</v>
      </c>
    </row>
    <row r="1417" spans="1:8" ht="17" x14ac:dyDescent="0.25">
      <c r="B1417" s="233" t="s">
        <v>972</v>
      </c>
      <c r="C1417" s="229"/>
      <c r="D1417" s="235">
        <v>0</v>
      </c>
      <c r="E1417" s="234" t="s">
        <v>172</v>
      </c>
      <c r="F1417" s="296" t="s">
        <v>192</v>
      </c>
      <c r="G1417" s="234"/>
      <c r="H1417" s="234"/>
    </row>
    <row r="1418" spans="1:8" ht="17" x14ac:dyDescent="0.25">
      <c r="B1418" s="233" t="s">
        <v>973</v>
      </c>
      <c r="C1418" s="229"/>
      <c r="D1418" s="243">
        <f>GWP!T30</f>
        <v>0</v>
      </c>
      <c r="E1418" s="234" t="s">
        <v>969</v>
      </c>
      <c r="F1418" s="296" t="s">
        <v>919</v>
      </c>
    </row>
    <row r="1419" spans="1:8" ht="17" x14ac:dyDescent="0.25">
      <c r="B1419" s="233" t="s">
        <v>974</v>
      </c>
      <c r="C1419" s="229"/>
      <c r="D1419" s="244">
        <f>GWP!Z30</f>
        <v>1276.0000000000002</v>
      </c>
      <c r="E1419" s="234" t="s">
        <v>969</v>
      </c>
      <c r="F1419" s="296" t="s">
        <v>200</v>
      </c>
      <c r="G1419" s="234"/>
      <c r="H1419" s="234"/>
    </row>
    <row r="1420" spans="1:8" ht="17" x14ac:dyDescent="0.25">
      <c r="B1420" s="233" t="s">
        <v>975</v>
      </c>
      <c r="C1420" s="229"/>
      <c r="D1420" s="235">
        <v>0</v>
      </c>
      <c r="E1420" s="234" t="s">
        <v>314</v>
      </c>
      <c r="F1420" s="296" t="s">
        <v>190</v>
      </c>
    </row>
    <row r="1421" spans="1:8" ht="17" x14ac:dyDescent="0.25">
      <c r="B1421" s="233" t="s">
        <v>976</v>
      </c>
      <c r="C1421" s="229"/>
      <c r="D1421" s="244">
        <f>GWP!AB30</f>
        <v>-468.30442207276917</v>
      </c>
      <c r="E1421" s="234" t="s">
        <v>314</v>
      </c>
      <c r="F1421" s="296" t="s">
        <v>179</v>
      </c>
    </row>
    <row r="1422" spans="1:8" x14ac:dyDescent="0.15">
      <c r="A1422" s="232" t="s">
        <v>41</v>
      </c>
      <c r="C1422" s="229"/>
    </row>
    <row r="1423" spans="1:8" ht="14" x14ac:dyDescent="0.15">
      <c r="A1423" s="250"/>
      <c r="B1423" s="250" t="s">
        <v>493</v>
      </c>
      <c r="C1423" s="250"/>
      <c r="D1423" s="262">
        <v>8550000</v>
      </c>
      <c r="E1423" s="234" t="s">
        <v>803</v>
      </c>
      <c r="F1423" s="296" t="s">
        <v>468</v>
      </c>
    </row>
    <row r="1424" spans="1:8" ht="14" x14ac:dyDescent="0.15">
      <c r="A1424" s="250"/>
      <c r="B1424" s="250" t="s">
        <v>493</v>
      </c>
      <c r="C1424" s="250"/>
      <c r="D1424" s="262">
        <f>D1423/D1374</f>
        <v>427500.00000000006</v>
      </c>
      <c r="E1424" s="234" t="s">
        <v>804</v>
      </c>
      <c r="F1424" s="296" t="s">
        <v>66</v>
      </c>
    </row>
    <row r="1425" spans="1:6" ht="14" x14ac:dyDescent="0.15">
      <c r="B1425" s="233" t="s">
        <v>805</v>
      </c>
      <c r="D1425" s="260">
        <v>4.8099999999999997E-2</v>
      </c>
      <c r="E1425" s="234" t="s">
        <v>111</v>
      </c>
      <c r="F1425" s="297" t="s">
        <v>797</v>
      </c>
    </row>
    <row r="1426" spans="1:6" x14ac:dyDescent="0.15">
      <c r="B1426" s="233" t="s">
        <v>799</v>
      </c>
      <c r="D1426" s="242">
        <f>D1424*(1+D1425)</f>
        <v>448062.75000000006</v>
      </c>
      <c r="E1426" s="234" t="s">
        <v>404</v>
      </c>
      <c r="F1426" s="297"/>
    </row>
    <row r="1427" spans="1:6" x14ac:dyDescent="0.15">
      <c r="A1427" s="232" t="s">
        <v>195</v>
      </c>
      <c r="C1427" s="229"/>
    </row>
    <row r="1428" spans="1:6" x14ac:dyDescent="0.15">
      <c r="B1428" s="233" t="s">
        <v>42</v>
      </c>
      <c r="C1428" s="229"/>
    </row>
    <row r="1429" spans="1:6" ht="14" x14ac:dyDescent="0.15">
      <c r="A1429" s="250"/>
      <c r="B1429" s="229"/>
      <c r="C1429" s="250" t="s">
        <v>494</v>
      </c>
      <c r="D1429" s="234">
        <v>2650000</v>
      </c>
      <c r="E1429" s="234" t="s">
        <v>806</v>
      </c>
      <c r="F1429" s="296" t="s">
        <v>468</v>
      </c>
    </row>
    <row r="1430" spans="1:6" ht="14" x14ac:dyDescent="0.15">
      <c r="A1430" s="250"/>
      <c r="B1430" s="229"/>
      <c r="C1430" s="250" t="s">
        <v>494</v>
      </c>
      <c r="D1430" s="249">
        <f>D1429*(1/D1376)*D1377*(1/D1374)</f>
        <v>397.50000000000006</v>
      </c>
      <c r="E1430" s="234" t="s">
        <v>807</v>
      </c>
      <c r="F1430" s="296" t="s">
        <v>406</v>
      </c>
    </row>
    <row r="1431" spans="1:6" ht="14" x14ac:dyDescent="0.15">
      <c r="B1431" s="233" t="s">
        <v>805</v>
      </c>
      <c r="D1431" s="260">
        <v>4.8099999999999997E-2</v>
      </c>
      <c r="E1431" s="234" t="s">
        <v>111</v>
      </c>
      <c r="F1431" s="297" t="s">
        <v>797</v>
      </c>
    </row>
    <row r="1432" spans="1:6" x14ac:dyDescent="0.15">
      <c r="B1432" s="233" t="s">
        <v>798</v>
      </c>
      <c r="D1432" s="247">
        <f>D1430*(1+D1431)</f>
        <v>416.61975000000007</v>
      </c>
      <c r="E1432" s="234" t="s">
        <v>816</v>
      </c>
    </row>
    <row r="1433" spans="1:6" ht="14" x14ac:dyDescent="0.15">
      <c r="B1433" s="233" t="s">
        <v>197</v>
      </c>
      <c r="C1433" s="229"/>
      <c r="D1433" s="237">
        <f>'Commercial Viability'!F33</f>
        <v>20.166760127754234</v>
      </c>
      <c r="E1433" s="234" t="s">
        <v>199</v>
      </c>
      <c r="F1433" s="296" t="s">
        <v>950</v>
      </c>
    </row>
    <row r="1434" spans="1:6" x14ac:dyDescent="0.15">
      <c r="B1434" s="233" t="s">
        <v>196</v>
      </c>
      <c r="C1434" s="229"/>
    </row>
    <row r="1435" spans="1:6" ht="14" x14ac:dyDescent="0.15">
      <c r="A1435" s="250"/>
      <c r="B1435" s="229"/>
      <c r="C1435" s="250" t="s">
        <v>496</v>
      </c>
      <c r="D1435" s="234">
        <v>0.57499999999999996</v>
      </c>
      <c r="E1435" s="234" t="s">
        <v>808</v>
      </c>
      <c r="F1435" s="296" t="s">
        <v>468</v>
      </c>
    </row>
    <row r="1436" spans="1:6" x14ac:dyDescent="0.15">
      <c r="A1436" s="250"/>
      <c r="B1436" s="229"/>
      <c r="C1436" s="250" t="s">
        <v>497</v>
      </c>
      <c r="D1436" s="234">
        <f>D1435*D1399*1000</f>
        <v>230.00000000000003</v>
      </c>
      <c r="E1436" s="234" t="s">
        <v>807</v>
      </c>
    </row>
    <row r="1437" spans="1:6" ht="14" x14ac:dyDescent="0.15">
      <c r="B1437" s="233" t="s">
        <v>805</v>
      </c>
      <c r="D1437" s="260">
        <v>4.8099999999999997E-2</v>
      </c>
      <c r="E1437" s="234" t="s">
        <v>111</v>
      </c>
      <c r="F1437" s="297" t="s">
        <v>797</v>
      </c>
    </row>
    <row r="1438" spans="1:6" x14ac:dyDescent="0.15">
      <c r="B1438" s="233" t="s">
        <v>809</v>
      </c>
      <c r="D1438" s="247">
        <f>D1436*(1+D1437)</f>
        <v>241.06300000000005</v>
      </c>
      <c r="E1438" s="234" t="s">
        <v>816</v>
      </c>
    </row>
    <row r="1439" spans="1:6" ht="14" x14ac:dyDescent="0.15">
      <c r="B1439" s="233" t="s">
        <v>195</v>
      </c>
      <c r="C1439" s="229"/>
      <c r="D1439" s="244">
        <f>'Commercial Viability'!H33</f>
        <v>-195.72351012775425</v>
      </c>
      <c r="E1439" s="234" t="s">
        <v>199</v>
      </c>
      <c r="F1439" s="296" t="s">
        <v>951</v>
      </c>
    </row>
    <row r="1440" spans="1:6" x14ac:dyDescent="0.15">
      <c r="A1440" s="232" t="s">
        <v>201</v>
      </c>
      <c r="C1440" s="229"/>
    </row>
    <row r="1441" spans="1:6" ht="28" x14ac:dyDescent="0.15">
      <c r="B1441" s="233" t="s">
        <v>6</v>
      </c>
      <c r="D1441" s="235">
        <v>4</v>
      </c>
      <c r="F1441" s="296" t="s">
        <v>498</v>
      </c>
    </row>
    <row r="1442" spans="1:6" x14ac:dyDescent="0.15">
      <c r="A1442" s="250"/>
      <c r="B1442" s="229"/>
      <c r="C1442" s="250"/>
      <c r="E1442" s="246"/>
    </row>
    <row r="1443" spans="1:6" s="228" customFormat="1" x14ac:dyDescent="0.15">
      <c r="A1443" s="225" t="s">
        <v>996</v>
      </c>
      <c r="B1443" s="226"/>
      <c r="C1443" s="226"/>
      <c r="D1443" s="227"/>
      <c r="E1443" s="227"/>
      <c r="F1443" s="294"/>
    </row>
    <row r="1444" spans="1:6" ht="14" x14ac:dyDescent="0.15">
      <c r="B1444" s="230" t="s">
        <v>171</v>
      </c>
      <c r="C1444" s="230"/>
      <c r="D1444" s="231" t="s">
        <v>170</v>
      </c>
      <c r="E1444" s="231" t="s">
        <v>169</v>
      </c>
      <c r="F1444" s="295" t="s">
        <v>168</v>
      </c>
    </row>
    <row r="1445" spans="1:6" ht="14" x14ac:dyDescent="0.15">
      <c r="A1445" s="250"/>
      <c r="B1445" s="250" t="s">
        <v>458</v>
      </c>
      <c r="D1445" s="234">
        <v>100</v>
      </c>
      <c r="E1445" s="234" t="s">
        <v>457</v>
      </c>
      <c r="F1445" s="296" t="s">
        <v>19</v>
      </c>
    </row>
    <row r="1446" spans="1:6" ht="14" x14ac:dyDescent="0.15">
      <c r="A1446" s="250"/>
      <c r="B1446" s="250" t="s">
        <v>459</v>
      </c>
      <c r="D1446" s="234">
        <v>0.8</v>
      </c>
      <c r="E1446" s="234" t="s">
        <v>272</v>
      </c>
      <c r="F1446" s="296" t="s">
        <v>19</v>
      </c>
    </row>
    <row r="1447" spans="1:6" ht="14" x14ac:dyDescent="0.15">
      <c r="A1447" s="250"/>
      <c r="B1447" s="250" t="s">
        <v>462</v>
      </c>
      <c r="D1447" s="234">
        <f>D1445*(1-D1446)</f>
        <v>19.999999999999996</v>
      </c>
      <c r="E1447" s="234" t="s">
        <v>461</v>
      </c>
      <c r="F1447" s="296" t="s">
        <v>460</v>
      </c>
    </row>
    <row r="1448" spans="1:6" ht="14" x14ac:dyDescent="0.15">
      <c r="A1448" s="250"/>
      <c r="B1448" s="250" t="s">
        <v>462</v>
      </c>
      <c r="D1448" s="254">
        <f>D1447*(D1449/D1450)</f>
        <v>6666.6666666666652</v>
      </c>
      <c r="E1448" s="234" t="s">
        <v>271</v>
      </c>
      <c r="F1448" s="296" t="s">
        <v>463</v>
      </c>
    </row>
    <row r="1449" spans="1:6" ht="14" x14ac:dyDescent="0.15">
      <c r="A1449" s="250"/>
      <c r="B1449" s="250" t="s">
        <v>476</v>
      </c>
      <c r="D1449" s="234">
        <v>8000</v>
      </c>
      <c r="E1449" s="234" t="s">
        <v>412</v>
      </c>
      <c r="F1449" s="296" t="s">
        <v>19</v>
      </c>
    </row>
    <row r="1450" spans="1:6" ht="14" x14ac:dyDescent="0.15">
      <c r="A1450" s="250"/>
      <c r="B1450" s="250" t="s">
        <v>267</v>
      </c>
      <c r="D1450" s="234">
        <v>24</v>
      </c>
      <c r="E1450" s="234" t="s">
        <v>413</v>
      </c>
      <c r="F1450" s="296" t="s">
        <v>19</v>
      </c>
    </row>
    <row r="1451" spans="1:6" x14ac:dyDescent="0.15">
      <c r="A1451" s="232" t="s">
        <v>167</v>
      </c>
    </row>
    <row r="1452" spans="1:6" ht="14" x14ac:dyDescent="0.15">
      <c r="A1452" s="250"/>
      <c r="B1452" s="250" t="s">
        <v>502</v>
      </c>
      <c r="C1452" s="259"/>
      <c r="D1452" s="254">
        <v>291.60000000000002</v>
      </c>
      <c r="E1452" s="234" t="s">
        <v>501</v>
      </c>
      <c r="F1452" s="296" t="s">
        <v>500</v>
      </c>
    </row>
    <row r="1453" spans="1:6" ht="14" x14ac:dyDescent="0.15">
      <c r="A1453" s="250"/>
      <c r="B1453" s="250" t="s">
        <v>273</v>
      </c>
      <c r="C1453" s="259"/>
      <c r="D1453" s="254">
        <v>4166.7</v>
      </c>
      <c r="E1453" s="234" t="s">
        <v>501</v>
      </c>
      <c r="F1453" s="296" t="s">
        <v>500</v>
      </c>
    </row>
    <row r="1454" spans="1:6" ht="14" x14ac:dyDescent="0.15">
      <c r="A1454" s="250"/>
      <c r="B1454" s="250" t="s">
        <v>503</v>
      </c>
      <c r="C1454" s="259"/>
      <c r="D1454" s="236">
        <v>0.8</v>
      </c>
      <c r="E1454" s="234" t="s">
        <v>111</v>
      </c>
      <c r="F1454" s="296" t="s">
        <v>500</v>
      </c>
    </row>
    <row r="1455" spans="1:6" ht="14" x14ac:dyDescent="0.15">
      <c r="B1455" s="250" t="s">
        <v>492</v>
      </c>
      <c r="D1455" s="256">
        <f>D1452/((1-D1454)*D1453)</f>
        <v>0.34991720066239479</v>
      </c>
      <c r="E1455" s="234" t="s">
        <v>111</v>
      </c>
      <c r="F1455" s="296" t="s">
        <v>499</v>
      </c>
    </row>
    <row r="1456" spans="1:6" ht="17" x14ac:dyDescent="0.25">
      <c r="B1456" s="233" t="s">
        <v>956</v>
      </c>
      <c r="D1456" s="236">
        <v>0</v>
      </c>
      <c r="E1456" s="234" t="s">
        <v>111</v>
      </c>
      <c r="F1456" s="296" t="s">
        <v>464</v>
      </c>
    </row>
    <row r="1457" spans="1:6" ht="17" x14ac:dyDescent="0.25">
      <c r="B1457" s="233" t="s">
        <v>957</v>
      </c>
      <c r="D1457" s="237">
        <f>'Energy Balance'!Q33</f>
        <v>0.35</v>
      </c>
      <c r="E1457" s="234" t="s">
        <v>172</v>
      </c>
      <c r="F1457" s="296" t="s">
        <v>173</v>
      </c>
    </row>
    <row r="1458" spans="1:6" x14ac:dyDescent="0.15">
      <c r="A1458" s="232" t="s">
        <v>174</v>
      </c>
    </row>
    <row r="1459" spans="1:6" ht="17" x14ac:dyDescent="0.25">
      <c r="B1459" s="233" t="s">
        <v>958</v>
      </c>
      <c r="D1459" s="235">
        <v>0</v>
      </c>
      <c r="E1459" s="234" t="s">
        <v>175</v>
      </c>
      <c r="F1459" s="296" t="s">
        <v>295</v>
      </c>
    </row>
    <row r="1460" spans="1:6" ht="30" x14ac:dyDescent="0.25">
      <c r="B1460" s="233" t="s">
        <v>959</v>
      </c>
      <c r="C1460" s="229"/>
      <c r="D1460" s="236">
        <v>0</v>
      </c>
      <c r="E1460" s="234" t="s">
        <v>111</v>
      </c>
      <c r="F1460" s="296" t="s">
        <v>280</v>
      </c>
    </row>
    <row r="1461" spans="1:6" ht="17" x14ac:dyDescent="0.25">
      <c r="B1461" s="233" t="s">
        <v>960</v>
      </c>
      <c r="C1461" s="229"/>
      <c r="D1461" s="236">
        <v>0</v>
      </c>
      <c r="E1461" s="234" t="s">
        <v>111</v>
      </c>
      <c r="F1461" s="296" t="s">
        <v>87</v>
      </c>
    </row>
    <row r="1462" spans="1:6" ht="17" x14ac:dyDescent="0.25">
      <c r="B1462" s="233" t="s">
        <v>961</v>
      </c>
      <c r="C1462" s="229"/>
      <c r="D1462" s="240">
        <f>'Energy Balance'!D33</f>
        <v>0</v>
      </c>
      <c r="E1462" s="234" t="s">
        <v>175</v>
      </c>
      <c r="F1462" s="296" t="s">
        <v>947</v>
      </c>
    </row>
    <row r="1463" spans="1:6" ht="17" x14ac:dyDescent="0.25">
      <c r="B1463" s="233" t="s">
        <v>962</v>
      </c>
      <c r="C1463" s="229"/>
      <c r="D1463" s="229"/>
    </row>
    <row r="1464" spans="1:6" ht="14" x14ac:dyDescent="0.15">
      <c r="A1464" s="250"/>
      <c r="B1464" s="229"/>
      <c r="C1464" s="250" t="s">
        <v>473</v>
      </c>
      <c r="D1464" s="266">
        <v>70000</v>
      </c>
      <c r="E1464" s="234" t="s">
        <v>281</v>
      </c>
      <c r="F1464" s="296" t="s">
        <v>468</v>
      </c>
    </row>
    <row r="1465" spans="1:6" ht="14" x14ac:dyDescent="0.15">
      <c r="A1465" s="250"/>
      <c r="B1465" s="229"/>
      <c r="C1465" s="250" t="s">
        <v>474</v>
      </c>
      <c r="D1465" s="269">
        <v>9.8000000000000004E-2</v>
      </c>
      <c r="E1465" s="234" t="s">
        <v>217</v>
      </c>
      <c r="F1465" s="296" t="s">
        <v>469</v>
      </c>
    </row>
    <row r="1466" spans="1:6" ht="14" x14ac:dyDescent="0.15">
      <c r="A1466" s="250"/>
      <c r="B1466" s="229"/>
      <c r="C1466" s="250" t="s">
        <v>475</v>
      </c>
      <c r="D1466" s="254">
        <f>D1464/D1465</f>
        <v>714285.7142857142</v>
      </c>
      <c r="E1466" s="234" t="s">
        <v>470</v>
      </c>
      <c r="F1466" s="296" t="s">
        <v>66</v>
      </c>
    </row>
    <row r="1467" spans="1:6" ht="14" x14ac:dyDescent="0.15">
      <c r="A1467" s="250"/>
      <c r="B1467" s="229"/>
      <c r="C1467" s="250" t="s">
        <v>472</v>
      </c>
      <c r="D1467" s="254">
        <f>D1466/D1448</f>
        <v>107.14285714285715</v>
      </c>
      <c r="E1467" s="234" t="s">
        <v>175</v>
      </c>
      <c r="F1467" s="296" t="s">
        <v>467</v>
      </c>
    </row>
    <row r="1468" spans="1:6" ht="14" x14ac:dyDescent="0.15">
      <c r="A1468" s="250"/>
      <c r="B1468" s="229"/>
      <c r="C1468" s="250" t="s">
        <v>227</v>
      </c>
      <c r="D1468" s="234">
        <v>60</v>
      </c>
      <c r="E1468" s="234" t="s">
        <v>175</v>
      </c>
      <c r="F1468" s="298" t="s">
        <v>162</v>
      </c>
    </row>
    <row r="1469" spans="1:6" ht="14" x14ac:dyDescent="0.15">
      <c r="A1469" s="250"/>
      <c r="B1469" s="229"/>
      <c r="C1469" s="250" t="s">
        <v>472</v>
      </c>
      <c r="D1469" s="249">
        <f>SUM(D1467:D1468)</f>
        <v>167.14285714285717</v>
      </c>
      <c r="E1469" s="234" t="s">
        <v>175</v>
      </c>
      <c r="F1469" s="296" t="s">
        <v>66</v>
      </c>
    </row>
    <row r="1470" spans="1:6" ht="17" x14ac:dyDescent="0.25">
      <c r="B1470" s="233" t="s">
        <v>963</v>
      </c>
      <c r="C1470" s="229"/>
    </row>
    <row r="1471" spans="1:6" ht="14" x14ac:dyDescent="0.15">
      <c r="A1471" s="250"/>
      <c r="B1471" s="229"/>
      <c r="C1471" s="250" t="s">
        <v>504</v>
      </c>
      <c r="D1471" s="255">
        <v>0.09</v>
      </c>
      <c r="E1471" s="234" t="s">
        <v>272</v>
      </c>
      <c r="F1471" s="296" t="s">
        <v>464</v>
      </c>
    </row>
    <row r="1472" spans="1:6" ht="14" x14ac:dyDescent="0.15">
      <c r="A1472" s="250"/>
      <c r="B1472" s="229"/>
      <c r="C1472" s="250" t="s">
        <v>504</v>
      </c>
      <c r="D1472" s="255">
        <f>D1471*D1445/D1447</f>
        <v>0.45000000000000007</v>
      </c>
      <c r="E1472" s="234" t="s">
        <v>272</v>
      </c>
      <c r="F1472" s="296" t="s">
        <v>426</v>
      </c>
    </row>
    <row r="1473" spans="1:6" ht="14" x14ac:dyDescent="0.15">
      <c r="A1473" s="250"/>
      <c r="B1473" s="229"/>
      <c r="C1473" s="250" t="s">
        <v>505</v>
      </c>
      <c r="D1473" s="234">
        <v>33.9</v>
      </c>
      <c r="E1473" s="234" t="s">
        <v>488</v>
      </c>
      <c r="F1473" s="296" t="s">
        <v>465</v>
      </c>
    </row>
    <row r="1474" spans="1:6" ht="14" x14ac:dyDescent="0.15">
      <c r="A1474" s="250"/>
      <c r="B1474" s="229"/>
      <c r="C1474" s="250" t="s">
        <v>505</v>
      </c>
      <c r="D1474" s="251">
        <f>D1473/3.6</f>
        <v>9.4166666666666661</v>
      </c>
      <c r="E1474" s="234" t="s">
        <v>361</v>
      </c>
      <c r="F1474" s="296" t="s">
        <v>466</v>
      </c>
    </row>
    <row r="1475" spans="1:6" ht="14" x14ac:dyDescent="0.15">
      <c r="A1475" s="250"/>
      <c r="B1475" s="229"/>
      <c r="C1475" s="250" t="s">
        <v>506</v>
      </c>
      <c r="D1475" s="249">
        <f>D1472*D1473*1000/3.6</f>
        <v>4237.5</v>
      </c>
      <c r="E1475" s="234" t="s">
        <v>175</v>
      </c>
      <c r="F1475" s="296" t="s">
        <v>467</v>
      </c>
    </row>
    <row r="1476" spans="1:6" x14ac:dyDescent="0.15">
      <c r="A1476" s="250"/>
      <c r="B1476" s="229"/>
      <c r="C1476" s="250" t="s">
        <v>887</v>
      </c>
      <c r="D1476" s="247" t="e">
        <f>#REF!/#REF!</f>
        <v>#REF!</v>
      </c>
      <c r="E1476" s="234" t="s">
        <v>12</v>
      </c>
    </row>
    <row r="1477" spans="1:6" ht="17" x14ac:dyDescent="0.25">
      <c r="A1477" s="250"/>
      <c r="B1477" s="233" t="s">
        <v>964</v>
      </c>
      <c r="C1477" s="259"/>
      <c r="D1477" s="244">
        <f>'Energy Balance'!S33</f>
        <v>47.395267306239418</v>
      </c>
      <c r="E1477" s="234" t="s">
        <v>175</v>
      </c>
      <c r="F1477" s="296" t="s">
        <v>948</v>
      </c>
    </row>
    <row r="1478" spans="1:6" ht="17" x14ac:dyDescent="0.25">
      <c r="B1478" s="233" t="s">
        <v>965</v>
      </c>
      <c r="C1478" s="229"/>
      <c r="D1478" s="229"/>
    </row>
    <row r="1479" spans="1:6" ht="14" x14ac:dyDescent="0.15">
      <c r="A1479" s="250"/>
      <c r="B1479" s="229"/>
      <c r="C1479" s="250" t="s">
        <v>483</v>
      </c>
      <c r="D1479" s="266">
        <v>370000</v>
      </c>
      <c r="E1479" s="234" t="s">
        <v>281</v>
      </c>
      <c r="F1479" s="296" t="s">
        <v>468</v>
      </c>
    </row>
    <row r="1480" spans="1:6" ht="14" x14ac:dyDescent="0.15">
      <c r="A1480" s="250"/>
      <c r="B1480" s="229"/>
      <c r="C1480" s="250" t="s">
        <v>484</v>
      </c>
      <c r="D1480" s="269">
        <v>0.44800000000000001</v>
      </c>
      <c r="E1480" s="234" t="s">
        <v>323</v>
      </c>
      <c r="F1480" s="296" t="s">
        <v>469</v>
      </c>
    </row>
    <row r="1481" spans="1:6" ht="14" x14ac:dyDescent="0.15">
      <c r="A1481" s="250"/>
      <c r="B1481" s="229"/>
      <c r="C1481" s="250" t="s">
        <v>485</v>
      </c>
      <c r="D1481" s="254">
        <f>D1479/D1480</f>
        <v>825892.85714285716</v>
      </c>
      <c r="E1481" s="234" t="s">
        <v>477</v>
      </c>
      <c r="F1481" s="296" t="s">
        <v>66</v>
      </c>
    </row>
    <row r="1482" spans="1:6" ht="28" x14ac:dyDescent="0.15">
      <c r="A1482" s="250"/>
      <c r="B1482" s="229"/>
      <c r="C1482" s="250" t="s">
        <v>486</v>
      </c>
      <c r="D1482" s="254">
        <v>21240</v>
      </c>
      <c r="E1482" s="234" t="s">
        <v>478</v>
      </c>
      <c r="F1482" s="296" t="s">
        <v>89</v>
      </c>
    </row>
    <row r="1483" spans="1:6" ht="14" x14ac:dyDescent="0.15">
      <c r="A1483" s="250"/>
      <c r="B1483" s="229"/>
      <c r="C1483" s="250" t="s">
        <v>486</v>
      </c>
      <c r="D1483" s="254">
        <f>D1482*2.20462</f>
        <v>46826.128799999999</v>
      </c>
      <c r="E1483" s="234" t="s">
        <v>479</v>
      </c>
      <c r="F1483" s="296" t="s">
        <v>482</v>
      </c>
    </row>
    <row r="1484" spans="1:6" ht="14" x14ac:dyDescent="0.15">
      <c r="A1484" s="250"/>
      <c r="B1484" s="229"/>
      <c r="C1484" s="250" t="s">
        <v>485</v>
      </c>
      <c r="D1484" s="254">
        <f>D1481*D1483/1000000</f>
        <v>38673.365303571423</v>
      </c>
      <c r="E1484" s="234" t="s">
        <v>480</v>
      </c>
      <c r="F1484" s="296" t="s">
        <v>481</v>
      </c>
    </row>
    <row r="1485" spans="1:6" ht="14" x14ac:dyDescent="0.15">
      <c r="A1485" s="250"/>
      <c r="B1485" s="229"/>
      <c r="C1485" s="250" t="s">
        <v>487</v>
      </c>
      <c r="D1485" s="247">
        <f>D1484/D1448</f>
        <v>5.8010047955357145</v>
      </c>
      <c r="E1485" s="234" t="s">
        <v>178</v>
      </c>
      <c r="F1485" s="296" t="s">
        <v>467</v>
      </c>
    </row>
    <row r="1486" spans="1:6" ht="17" x14ac:dyDescent="0.25">
      <c r="B1486" s="233" t="s">
        <v>966</v>
      </c>
      <c r="C1486" s="229"/>
      <c r="D1486" s="240">
        <f>'Energy Balance'!Y33</f>
        <v>2379.4434302565546</v>
      </c>
      <c r="E1486" s="234" t="s">
        <v>175</v>
      </c>
      <c r="F1486" s="296" t="s">
        <v>176</v>
      </c>
    </row>
    <row r="1487" spans="1:6" ht="17" x14ac:dyDescent="0.25">
      <c r="A1487" s="232" t="s">
        <v>967</v>
      </c>
      <c r="C1487" s="229"/>
    </row>
    <row r="1488" spans="1:6" ht="17" x14ac:dyDescent="0.25">
      <c r="B1488" s="233" t="s">
        <v>968</v>
      </c>
      <c r="C1488" s="229"/>
      <c r="D1488" s="241">
        <f>GWP!P31</f>
        <v>0</v>
      </c>
      <c r="E1488" s="234" t="s">
        <v>969</v>
      </c>
      <c r="F1488" s="296" t="s">
        <v>949</v>
      </c>
    </row>
    <row r="1489" spans="1:8" ht="17" x14ac:dyDescent="0.25">
      <c r="B1489" s="233" t="s">
        <v>970</v>
      </c>
      <c r="C1489" s="229"/>
      <c r="D1489" s="235">
        <v>0</v>
      </c>
      <c r="E1489" s="234" t="s">
        <v>172</v>
      </c>
      <c r="F1489" s="296" t="s">
        <v>190</v>
      </c>
      <c r="G1489" s="234"/>
      <c r="H1489" s="234"/>
    </row>
    <row r="1490" spans="1:8" ht="17" x14ac:dyDescent="0.25">
      <c r="B1490" s="233" t="s">
        <v>971</v>
      </c>
      <c r="C1490" s="229"/>
      <c r="D1490" s="244">
        <f>GWP!R31</f>
        <v>0</v>
      </c>
      <c r="E1490" s="234" t="s">
        <v>969</v>
      </c>
      <c r="F1490" s="296" t="s">
        <v>193</v>
      </c>
    </row>
    <row r="1491" spans="1:8" ht="17" x14ac:dyDescent="0.25">
      <c r="B1491" s="233" t="s">
        <v>972</v>
      </c>
      <c r="C1491" s="229"/>
      <c r="D1491" s="235">
        <v>0</v>
      </c>
      <c r="E1491" s="234" t="s">
        <v>172</v>
      </c>
      <c r="F1491" s="296" t="s">
        <v>192</v>
      </c>
      <c r="G1491" s="234"/>
      <c r="H1491" s="234"/>
    </row>
    <row r="1492" spans="1:8" ht="17" x14ac:dyDescent="0.25">
      <c r="B1492" s="233" t="s">
        <v>973</v>
      </c>
      <c r="C1492" s="229"/>
      <c r="D1492" s="243">
        <f>GWP!T31</f>
        <v>0</v>
      </c>
      <c r="E1492" s="234" t="s">
        <v>969</v>
      </c>
      <c r="F1492" s="296" t="s">
        <v>919</v>
      </c>
    </row>
    <row r="1493" spans="1:8" ht="17" x14ac:dyDescent="0.25">
      <c r="B1493" s="233" t="s">
        <v>974</v>
      </c>
      <c r="C1493" s="229"/>
      <c r="D1493" s="244">
        <f>GWP!Z31</f>
        <v>1351.7625</v>
      </c>
      <c r="E1493" s="234" t="s">
        <v>969</v>
      </c>
      <c r="F1493" s="296" t="s">
        <v>200</v>
      </c>
      <c r="G1493" s="234"/>
      <c r="H1493" s="234"/>
    </row>
    <row r="1494" spans="1:8" ht="17" x14ac:dyDescent="0.25">
      <c r="B1494" s="233" t="s">
        <v>975</v>
      </c>
      <c r="C1494" s="229"/>
      <c r="D1494" s="235">
        <v>0</v>
      </c>
      <c r="E1494" s="234" t="s">
        <v>314</v>
      </c>
      <c r="F1494" s="296" t="s">
        <v>190</v>
      </c>
    </row>
    <row r="1495" spans="1:8" ht="17" x14ac:dyDescent="0.25">
      <c r="B1495" s="233" t="s">
        <v>976</v>
      </c>
      <c r="C1495" s="229"/>
      <c r="D1495" s="244">
        <f>GWP!AB31</f>
        <v>-523.18738032811643</v>
      </c>
      <c r="E1495" s="234" t="s">
        <v>314</v>
      </c>
      <c r="F1495" s="296" t="s">
        <v>179</v>
      </c>
    </row>
    <row r="1496" spans="1:8" x14ac:dyDescent="0.15">
      <c r="A1496" s="232" t="s">
        <v>41</v>
      </c>
      <c r="C1496" s="229"/>
    </row>
    <row r="1497" spans="1:8" ht="14" x14ac:dyDescent="0.15">
      <c r="A1497" s="250"/>
      <c r="B1497" s="250" t="s">
        <v>507</v>
      </c>
      <c r="C1497" s="250"/>
      <c r="D1497" s="262">
        <v>8030000</v>
      </c>
      <c r="E1497" s="234" t="s">
        <v>803</v>
      </c>
      <c r="F1497" s="296" t="s">
        <v>468</v>
      </c>
    </row>
    <row r="1498" spans="1:8" ht="14" x14ac:dyDescent="0.15">
      <c r="A1498" s="250"/>
      <c r="B1498" s="250" t="s">
        <v>507</v>
      </c>
      <c r="C1498" s="250"/>
      <c r="D1498" s="262">
        <f>D1497/D1447</f>
        <v>401500.00000000006</v>
      </c>
      <c r="E1498" s="234" t="s">
        <v>810</v>
      </c>
      <c r="F1498" s="296" t="s">
        <v>66</v>
      </c>
    </row>
    <row r="1499" spans="1:8" ht="14" x14ac:dyDescent="0.15">
      <c r="B1499" s="233" t="s">
        <v>805</v>
      </c>
      <c r="D1499" s="260">
        <v>4.8099999999999997E-2</v>
      </c>
      <c r="E1499" s="234" t="s">
        <v>111</v>
      </c>
      <c r="F1499" s="297" t="s">
        <v>797</v>
      </c>
    </row>
    <row r="1500" spans="1:8" x14ac:dyDescent="0.15">
      <c r="B1500" s="233" t="s">
        <v>799</v>
      </c>
      <c r="D1500" s="242">
        <f>D1498*(1+D1499)</f>
        <v>420812.15000000008</v>
      </c>
      <c r="E1500" s="234" t="s">
        <v>404</v>
      </c>
      <c r="F1500" s="297"/>
    </row>
    <row r="1501" spans="1:8" x14ac:dyDescent="0.15">
      <c r="A1501" s="232" t="s">
        <v>195</v>
      </c>
      <c r="C1501" s="229"/>
    </row>
    <row r="1502" spans="1:8" x14ac:dyDescent="0.15">
      <c r="B1502" s="233" t="s">
        <v>42</v>
      </c>
      <c r="C1502" s="229"/>
    </row>
    <row r="1503" spans="1:8" ht="14" x14ac:dyDescent="0.15">
      <c r="A1503" s="250"/>
      <c r="B1503" s="229"/>
      <c r="C1503" s="250" t="s">
        <v>494</v>
      </c>
      <c r="D1503" s="234">
        <v>2610000</v>
      </c>
      <c r="E1503" s="234" t="s">
        <v>806</v>
      </c>
      <c r="F1503" s="296" t="s">
        <v>468</v>
      </c>
    </row>
    <row r="1504" spans="1:8" ht="14" x14ac:dyDescent="0.15">
      <c r="A1504" s="250"/>
      <c r="B1504" s="229"/>
      <c r="C1504" s="250" t="s">
        <v>494</v>
      </c>
      <c r="D1504" s="254">
        <f>D1503/D1448</f>
        <v>391.50000000000011</v>
      </c>
      <c r="E1504" s="234" t="s">
        <v>807</v>
      </c>
      <c r="F1504" s="296" t="s">
        <v>406</v>
      </c>
    </row>
    <row r="1505" spans="1:6" ht="14" x14ac:dyDescent="0.15">
      <c r="B1505" s="233" t="s">
        <v>805</v>
      </c>
      <c r="D1505" s="260">
        <v>4.8099999999999997E-2</v>
      </c>
      <c r="E1505" s="234" t="s">
        <v>111</v>
      </c>
      <c r="F1505" s="297" t="s">
        <v>797</v>
      </c>
    </row>
    <row r="1506" spans="1:6" x14ac:dyDescent="0.15">
      <c r="B1506" s="233" t="s">
        <v>798</v>
      </c>
      <c r="D1506" s="247">
        <f>D1504*(1+D1505)</f>
        <v>410.33115000000015</v>
      </c>
      <c r="E1506" s="234" t="s">
        <v>816</v>
      </c>
    </row>
    <row r="1507" spans="1:6" ht="14" x14ac:dyDescent="0.15">
      <c r="B1507" s="233" t="s">
        <v>197</v>
      </c>
      <c r="C1507" s="229"/>
      <c r="D1507" s="237">
        <f>'Commercial Viability'!F34</f>
        <v>20.166760127754234</v>
      </c>
      <c r="E1507" s="234" t="s">
        <v>199</v>
      </c>
      <c r="F1507" s="296" t="s">
        <v>950</v>
      </c>
    </row>
    <row r="1508" spans="1:6" x14ac:dyDescent="0.15">
      <c r="B1508" s="233" t="s">
        <v>196</v>
      </c>
      <c r="C1508" s="229"/>
    </row>
    <row r="1509" spans="1:6" ht="14" x14ac:dyDescent="0.15">
      <c r="A1509" s="250"/>
      <c r="B1509" s="229"/>
      <c r="C1509" s="250" t="s">
        <v>496</v>
      </c>
      <c r="D1509" s="234">
        <v>0.52500000000000002</v>
      </c>
      <c r="E1509" s="234" t="s">
        <v>495</v>
      </c>
      <c r="F1509" s="296" t="s">
        <v>468</v>
      </c>
    </row>
    <row r="1510" spans="1:6" x14ac:dyDescent="0.15">
      <c r="A1510" s="250"/>
      <c r="B1510" s="229"/>
      <c r="C1510" s="250" t="s">
        <v>497</v>
      </c>
      <c r="D1510" s="254">
        <f>D1509*D1472*1000</f>
        <v>236.25000000000006</v>
      </c>
      <c r="E1510" s="234" t="s">
        <v>199</v>
      </c>
    </row>
    <row r="1511" spans="1:6" ht="14" x14ac:dyDescent="0.15">
      <c r="B1511" s="233" t="s">
        <v>805</v>
      </c>
      <c r="D1511" s="260">
        <v>4.8099999999999997E-2</v>
      </c>
      <c r="E1511" s="234" t="s">
        <v>111</v>
      </c>
      <c r="F1511" s="297" t="s">
        <v>797</v>
      </c>
    </row>
    <row r="1512" spans="1:6" x14ac:dyDescent="0.15">
      <c r="B1512" s="233" t="s">
        <v>809</v>
      </c>
      <c r="D1512" s="247">
        <f>D1510*(1+D1511)</f>
        <v>247.61362500000007</v>
      </c>
      <c r="E1512" s="234" t="s">
        <v>816</v>
      </c>
    </row>
    <row r="1513" spans="1:6" ht="14" x14ac:dyDescent="0.15">
      <c r="B1513" s="233" t="s">
        <v>195</v>
      </c>
      <c r="C1513" s="229"/>
      <c r="D1513" s="244">
        <f>'Commercial Viability'!H34</f>
        <v>-182.88428512775431</v>
      </c>
      <c r="E1513" s="234" t="s">
        <v>199</v>
      </c>
      <c r="F1513" s="296" t="s">
        <v>951</v>
      </c>
    </row>
    <row r="1514" spans="1:6" x14ac:dyDescent="0.15">
      <c r="A1514" s="232" t="s">
        <v>201</v>
      </c>
      <c r="C1514" s="229"/>
    </row>
    <row r="1515" spans="1:6" ht="28" x14ac:dyDescent="0.15">
      <c r="B1515" s="233" t="s">
        <v>6</v>
      </c>
      <c r="D1515" s="235">
        <v>7</v>
      </c>
      <c r="F1515" s="296" t="s">
        <v>326</v>
      </c>
    </row>
    <row r="1517" spans="1:6" s="228" customFormat="1" x14ac:dyDescent="0.15">
      <c r="A1517" s="225" t="s">
        <v>997</v>
      </c>
      <c r="B1517" s="226"/>
      <c r="C1517" s="226"/>
      <c r="D1517" s="227"/>
      <c r="E1517" s="227"/>
      <c r="F1517" s="294"/>
    </row>
    <row r="1518" spans="1:6" ht="14" x14ac:dyDescent="0.15">
      <c r="B1518" s="230" t="s">
        <v>171</v>
      </c>
      <c r="C1518" s="230"/>
      <c r="D1518" s="231" t="s">
        <v>170</v>
      </c>
      <c r="E1518" s="231" t="s">
        <v>169</v>
      </c>
      <c r="F1518" s="295" t="s">
        <v>168</v>
      </c>
    </row>
    <row r="1519" spans="1:6" ht="14" x14ac:dyDescent="0.15">
      <c r="A1519" s="250"/>
      <c r="B1519" s="250" t="s">
        <v>268</v>
      </c>
      <c r="D1519" s="234">
        <v>365</v>
      </c>
      <c r="E1519" s="234" t="s">
        <v>414</v>
      </c>
      <c r="F1519" s="296" t="s">
        <v>87</v>
      </c>
    </row>
    <row r="1520" spans="1:6" ht="14" x14ac:dyDescent="0.15">
      <c r="A1520" s="250"/>
      <c r="B1520" s="250" t="s">
        <v>512</v>
      </c>
      <c r="D1520" s="234">
        <v>0.9</v>
      </c>
      <c r="E1520" s="234" t="s">
        <v>172</v>
      </c>
      <c r="F1520" s="296" t="s">
        <v>508</v>
      </c>
    </row>
    <row r="1521" spans="1:6" ht="14" x14ac:dyDescent="0.15">
      <c r="A1521" s="250"/>
      <c r="B1521" s="250" t="s">
        <v>513</v>
      </c>
      <c r="D1521" s="234">
        <f>D1519*D1520</f>
        <v>328.5</v>
      </c>
      <c r="E1521" s="234" t="s">
        <v>414</v>
      </c>
      <c r="F1521" s="296" t="s">
        <v>509</v>
      </c>
    </row>
    <row r="1522" spans="1:6" x14ac:dyDescent="0.15">
      <c r="A1522" s="250"/>
      <c r="B1522" s="250" t="s">
        <v>476</v>
      </c>
      <c r="D1522" s="234">
        <v>24</v>
      </c>
      <c r="E1522" s="234" t="s">
        <v>413</v>
      </c>
    </row>
    <row r="1523" spans="1:6" ht="14" x14ac:dyDescent="0.15">
      <c r="A1523" s="250"/>
      <c r="B1523" s="250" t="s">
        <v>514</v>
      </c>
      <c r="D1523" s="234">
        <v>1000</v>
      </c>
      <c r="E1523" s="234" t="s">
        <v>501</v>
      </c>
      <c r="F1523" s="296" t="s">
        <v>510</v>
      </c>
    </row>
    <row r="1524" spans="1:6" ht="14" x14ac:dyDescent="0.15">
      <c r="A1524" s="250"/>
      <c r="B1524" s="250" t="s">
        <v>552</v>
      </c>
      <c r="D1524" s="255">
        <v>0.2</v>
      </c>
      <c r="E1524" s="234" t="s">
        <v>111</v>
      </c>
      <c r="F1524" s="296" t="s">
        <v>510</v>
      </c>
    </row>
    <row r="1525" spans="1:6" ht="14" x14ac:dyDescent="0.15">
      <c r="A1525" s="250"/>
      <c r="B1525" s="250" t="s">
        <v>515</v>
      </c>
      <c r="D1525" s="234">
        <f>D1523*D1524</f>
        <v>200</v>
      </c>
      <c r="E1525" s="234" t="s">
        <v>511</v>
      </c>
      <c r="F1525" s="296" t="s">
        <v>510</v>
      </c>
    </row>
    <row r="1526" spans="1:6" ht="14" x14ac:dyDescent="0.15">
      <c r="A1526" s="250"/>
      <c r="B1526" s="250" t="s">
        <v>515</v>
      </c>
      <c r="D1526" s="234">
        <f>D1525/1000*D1522</f>
        <v>4.8000000000000007</v>
      </c>
      <c r="E1526" s="234" t="s">
        <v>461</v>
      </c>
      <c r="F1526" s="296" t="s">
        <v>467</v>
      </c>
    </row>
    <row r="1527" spans="1:6" x14ac:dyDescent="0.15">
      <c r="A1527" s="232" t="s">
        <v>167</v>
      </c>
    </row>
    <row r="1528" spans="1:6" ht="14" x14ac:dyDescent="0.15">
      <c r="A1528" s="250"/>
      <c r="B1528" s="250" t="s">
        <v>502</v>
      </c>
      <c r="C1528" s="259"/>
      <c r="D1528" s="251">
        <v>25.11</v>
      </c>
      <c r="E1528" s="234" t="s">
        <v>501</v>
      </c>
      <c r="F1528" s="296" t="s">
        <v>516</v>
      </c>
    </row>
    <row r="1529" spans="1:6" ht="14" x14ac:dyDescent="0.15">
      <c r="B1529" s="250" t="s">
        <v>492</v>
      </c>
      <c r="D1529" s="256">
        <f>D1528/D1525</f>
        <v>0.12554999999999999</v>
      </c>
      <c r="E1529" s="234" t="s">
        <v>111</v>
      </c>
      <c r="F1529" s="296" t="s">
        <v>499</v>
      </c>
    </row>
    <row r="1530" spans="1:6" ht="17" x14ac:dyDescent="0.25">
      <c r="B1530" s="233" t="s">
        <v>956</v>
      </c>
      <c r="D1530" s="236">
        <v>0</v>
      </c>
      <c r="E1530" s="234" t="s">
        <v>111</v>
      </c>
      <c r="F1530" s="296" t="s">
        <v>516</v>
      </c>
    </row>
    <row r="1531" spans="1:6" ht="17" x14ac:dyDescent="0.25">
      <c r="B1531" s="233" t="s">
        <v>957</v>
      </c>
      <c r="D1531" s="237">
        <f>'Energy Balance'!Q34</f>
        <v>0.12554999999999999</v>
      </c>
      <c r="E1531" s="234" t="s">
        <v>172</v>
      </c>
      <c r="F1531" s="296" t="s">
        <v>173</v>
      </c>
    </row>
    <row r="1532" spans="1:6" x14ac:dyDescent="0.15">
      <c r="A1532" s="232" t="s">
        <v>174</v>
      </c>
    </row>
    <row r="1533" spans="1:6" ht="17" x14ac:dyDescent="0.25">
      <c r="B1533" s="233" t="s">
        <v>958</v>
      </c>
      <c r="D1533" s="235">
        <v>0</v>
      </c>
      <c r="E1533" s="234" t="s">
        <v>175</v>
      </c>
      <c r="F1533" s="296" t="s">
        <v>295</v>
      </c>
    </row>
    <row r="1534" spans="1:6" ht="30" x14ac:dyDescent="0.25">
      <c r="B1534" s="233" t="s">
        <v>959</v>
      </c>
      <c r="C1534" s="229"/>
      <c r="D1534" s="236">
        <v>0</v>
      </c>
      <c r="E1534" s="234" t="s">
        <v>111</v>
      </c>
      <c r="F1534" s="296" t="s">
        <v>280</v>
      </c>
    </row>
    <row r="1535" spans="1:6" ht="17" x14ac:dyDescent="0.25">
      <c r="B1535" s="233" t="s">
        <v>960</v>
      </c>
      <c r="C1535" s="229"/>
      <c r="D1535" s="236">
        <v>0</v>
      </c>
      <c r="E1535" s="234" t="s">
        <v>111</v>
      </c>
      <c r="F1535" s="296" t="s">
        <v>87</v>
      </c>
    </row>
    <row r="1536" spans="1:6" ht="17" x14ac:dyDescent="0.25">
      <c r="B1536" s="233" t="s">
        <v>961</v>
      </c>
      <c r="C1536" s="229"/>
      <c r="D1536" s="240">
        <f>'Energy Balance'!D34</f>
        <v>0</v>
      </c>
      <c r="E1536" s="234" t="s">
        <v>175</v>
      </c>
      <c r="F1536" s="296" t="s">
        <v>947</v>
      </c>
    </row>
    <row r="1537" spans="1:6" ht="17" x14ac:dyDescent="0.25">
      <c r="B1537" s="233" t="s">
        <v>962</v>
      </c>
      <c r="C1537" s="229"/>
      <c r="D1537" s="229"/>
    </row>
    <row r="1538" spans="1:6" ht="14" x14ac:dyDescent="0.15">
      <c r="A1538" s="250"/>
      <c r="B1538" s="229"/>
      <c r="C1538" s="250" t="s">
        <v>519</v>
      </c>
      <c r="D1538" s="254">
        <v>8070</v>
      </c>
      <c r="E1538" s="234" t="s">
        <v>281</v>
      </c>
      <c r="F1538" s="296" t="s">
        <v>517</v>
      </c>
    </row>
    <row r="1539" spans="1:6" ht="14" x14ac:dyDescent="0.15">
      <c r="A1539" s="250"/>
      <c r="B1539" s="229"/>
      <c r="C1539" s="250" t="s">
        <v>471</v>
      </c>
      <c r="D1539" s="251">
        <v>7.0000000000000007E-2</v>
      </c>
      <c r="E1539" s="234" t="s">
        <v>217</v>
      </c>
      <c r="F1539" s="296" t="s">
        <v>508</v>
      </c>
    </row>
    <row r="1540" spans="1:6" ht="14" x14ac:dyDescent="0.15">
      <c r="A1540" s="250"/>
      <c r="B1540" s="229"/>
      <c r="C1540" s="250" t="s">
        <v>519</v>
      </c>
      <c r="D1540" s="254">
        <f>D1538/D1539</f>
        <v>115285.71428571428</v>
      </c>
      <c r="E1540" s="234" t="s">
        <v>470</v>
      </c>
      <c r="F1540" s="296" t="s">
        <v>66</v>
      </c>
    </row>
    <row r="1541" spans="1:6" ht="14" x14ac:dyDescent="0.15">
      <c r="A1541" s="250"/>
      <c r="B1541" s="229"/>
      <c r="C1541" s="250" t="s">
        <v>519</v>
      </c>
      <c r="D1541" s="254">
        <f>D1540/D1521/D1526</f>
        <v>73.11372037399434</v>
      </c>
      <c r="E1541" s="234" t="s">
        <v>175</v>
      </c>
      <c r="F1541" s="296" t="s">
        <v>467</v>
      </c>
    </row>
    <row r="1542" spans="1:6" ht="14" x14ac:dyDescent="0.15">
      <c r="A1542" s="250"/>
      <c r="B1542" s="229"/>
      <c r="C1542" s="250" t="s">
        <v>520</v>
      </c>
      <c r="D1542" s="254">
        <v>60</v>
      </c>
      <c r="E1542" s="234" t="s">
        <v>175</v>
      </c>
      <c r="F1542" s="298" t="s">
        <v>204</v>
      </c>
    </row>
    <row r="1543" spans="1:6" ht="14" x14ac:dyDescent="0.15">
      <c r="A1543" s="250"/>
      <c r="B1543" s="229"/>
      <c r="C1543" s="250" t="s">
        <v>228</v>
      </c>
      <c r="D1543" s="249">
        <f>D1541+D1542</f>
        <v>133.11372037399434</v>
      </c>
      <c r="E1543" s="234" t="s">
        <v>175</v>
      </c>
      <c r="F1543" s="296" t="s">
        <v>66</v>
      </c>
    </row>
    <row r="1544" spans="1:6" ht="17" x14ac:dyDescent="0.25">
      <c r="B1544" s="233" t="s">
        <v>963</v>
      </c>
      <c r="C1544" s="229"/>
    </row>
    <row r="1545" spans="1:6" ht="14" x14ac:dyDescent="0.15">
      <c r="A1545" s="250"/>
      <c r="B1545" s="229"/>
      <c r="C1545" s="250" t="s">
        <v>523</v>
      </c>
      <c r="D1545" s="254">
        <v>102</v>
      </c>
      <c r="E1545" s="234" t="s">
        <v>501</v>
      </c>
      <c r="F1545" s="296" t="s">
        <v>521</v>
      </c>
    </row>
    <row r="1546" spans="1:6" x14ac:dyDescent="0.15">
      <c r="A1546" s="250"/>
      <c r="B1546" s="229"/>
      <c r="C1546" s="250" t="s">
        <v>523</v>
      </c>
      <c r="D1546" s="255">
        <f>D1545/D1525</f>
        <v>0.51</v>
      </c>
      <c r="E1546" s="234" t="s">
        <v>272</v>
      </c>
    </row>
    <row r="1547" spans="1:6" ht="28" x14ac:dyDescent="0.15">
      <c r="A1547" s="250"/>
      <c r="B1547" s="229"/>
      <c r="C1547" s="250" t="s">
        <v>303</v>
      </c>
      <c r="D1547" s="257">
        <v>8.15</v>
      </c>
      <c r="E1547" s="234" t="s">
        <v>313</v>
      </c>
      <c r="F1547" s="298" t="s">
        <v>522</v>
      </c>
    </row>
    <row r="1548" spans="1:6" ht="28" x14ac:dyDescent="0.15">
      <c r="A1548" s="250"/>
      <c r="B1548" s="229"/>
      <c r="C1548" s="250" t="s">
        <v>308</v>
      </c>
      <c r="D1548" s="234">
        <v>124943</v>
      </c>
      <c r="E1548" s="234" t="s">
        <v>309</v>
      </c>
      <c r="F1548" s="298" t="s">
        <v>522</v>
      </c>
    </row>
    <row r="1549" spans="1:6" ht="14" x14ac:dyDescent="0.15">
      <c r="A1549" s="250"/>
      <c r="B1549" s="229"/>
      <c r="C1549" s="250" t="s">
        <v>307</v>
      </c>
      <c r="D1549" s="257">
        <f>D1548/D1547/3412*2.20462</f>
        <v>9.905560190306316</v>
      </c>
      <c r="E1549" s="234" t="s">
        <v>361</v>
      </c>
      <c r="F1549" s="296" t="s">
        <v>434</v>
      </c>
    </row>
    <row r="1550" spans="1:6" ht="14" x14ac:dyDescent="0.15">
      <c r="A1550" s="250"/>
      <c r="B1550" s="229"/>
      <c r="C1550" s="250" t="s">
        <v>306</v>
      </c>
      <c r="D1550" s="249">
        <f>D1546*D1549*1000</f>
        <v>5051.8356970562209</v>
      </c>
      <c r="E1550" s="234" t="s">
        <v>175</v>
      </c>
      <c r="F1550" s="296" t="s">
        <v>467</v>
      </c>
    </row>
    <row r="1551" spans="1:6" ht="17" x14ac:dyDescent="0.25">
      <c r="A1551" s="250"/>
      <c r="B1551" s="233" t="s">
        <v>964</v>
      </c>
      <c r="C1551" s="259"/>
      <c r="D1551" s="244">
        <f>'Energy Balance'!S34</f>
        <v>17.00135945799531</v>
      </c>
      <c r="E1551" s="234" t="s">
        <v>175</v>
      </c>
      <c r="F1551" s="296" t="s">
        <v>948</v>
      </c>
    </row>
    <row r="1552" spans="1:6" ht="17" x14ac:dyDescent="0.25">
      <c r="B1552" s="233" t="s">
        <v>965</v>
      </c>
      <c r="C1552" s="229"/>
      <c r="D1552" s="229"/>
    </row>
    <row r="1553" spans="1:8" ht="14" x14ac:dyDescent="0.15">
      <c r="A1553" s="250"/>
      <c r="B1553" s="229"/>
      <c r="C1553" s="250" t="s">
        <v>525</v>
      </c>
      <c r="D1553" s="254">
        <v>5480</v>
      </c>
      <c r="E1553" s="234" t="s">
        <v>281</v>
      </c>
      <c r="F1553" s="296" t="s">
        <v>517</v>
      </c>
    </row>
    <row r="1554" spans="1:8" ht="14" x14ac:dyDescent="0.15">
      <c r="A1554" s="250"/>
      <c r="B1554" s="229"/>
      <c r="C1554" s="250" t="s">
        <v>526</v>
      </c>
      <c r="D1554" s="234">
        <v>0.01</v>
      </c>
      <c r="E1554" s="234" t="s">
        <v>217</v>
      </c>
      <c r="F1554" s="296" t="s">
        <v>508</v>
      </c>
    </row>
    <row r="1555" spans="1:8" ht="14" x14ac:dyDescent="0.15">
      <c r="A1555" s="250"/>
      <c r="B1555" s="229"/>
      <c r="C1555" s="250" t="s">
        <v>527</v>
      </c>
      <c r="D1555" s="254">
        <f>D1553/D1554</f>
        <v>548000</v>
      </c>
      <c r="E1555" s="234" t="s">
        <v>470</v>
      </c>
      <c r="F1555" s="296" t="s">
        <v>524</v>
      </c>
    </row>
    <row r="1556" spans="1:8" ht="14" x14ac:dyDescent="0.15">
      <c r="A1556" s="250"/>
      <c r="B1556" s="229"/>
      <c r="C1556" s="250" t="s">
        <v>527</v>
      </c>
      <c r="D1556" s="254">
        <f>D1555/D1521/D1526</f>
        <v>347.53932014205981</v>
      </c>
      <c r="E1556" s="234" t="s">
        <v>175</v>
      </c>
      <c r="F1556" s="296" t="s">
        <v>467</v>
      </c>
    </row>
    <row r="1557" spans="1:8" ht="14" x14ac:dyDescent="0.15">
      <c r="A1557" s="250"/>
      <c r="B1557" s="229"/>
      <c r="C1557" s="250" t="s">
        <v>527</v>
      </c>
      <c r="D1557" s="247">
        <f>D1556*3412/1000000</f>
        <v>1.185804160324708</v>
      </c>
      <c r="E1557" s="234" t="s">
        <v>178</v>
      </c>
      <c r="F1557" s="296" t="s">
        <v>225</v>
      </c>
    </row>
    <row r="1558" spans="1:8" ht="17" x14ac:dyDescent="0.25">
      <c r="B1558" s="233" t="s">
        <v>966</v>
      </c>
      <c r="C1558" s="229"/>
      <c r="D1558" s="240">
        <f>'Energy Balance'!Y34</f>
        <v>4732.5367416930867</v>
      </c>
      <c r="E1558" s="234" t="s">
        <v>175</v>
      </c>
      <c r="F1558" s="296" t="s">
        <v>176</v>
      </c>
    </row>
    <row r="1559" spans="1:8" ht="17" x14ac:dyDescent="0.25">
      <c r="A1559" s="232" t="s">
        <v>967</v>
      </c>
      <c r="C1559" s="229"/>
    </row>
    <row r="1560" spans="1:8" ht="17" x14ac:dyDescent="0.25">
      <c r="B1560" s="233" t="s">
        <v>968</v>
      </c>
      <c r="C1560" s="229"/>
      <c r="D1560" s="241">
        <f>GWP!P32</f>
        <v>0</v>
      </c>
      <c r="E1560" s="234" t="s">
        <v>969</v>
      </c>
      <c r="F1560" s="296" t="s">
        <v>949</v>
      </c>
    </row>
    <row r="1561" spans="1:8" ht="17" x14ac:dyDescent="0.25">
      <c r="B1561" s="233" t="s">
        <v>970</v>
      </c>
      <c r="C1561" s="229"/>
      <c r="D1561" s="235">
        <v>0</v>
      </c>
      <c r="E1561" s="234" t="s">
        <v>172</v>
      </c>
      <c r="F1561" s="296" t="s">
        <v>190</v>
      </c>
      <c r="G1561" s="234"/>
      <c r="H1561" s="234"/>
    </row>
    <row r="1562" spans="1:8" ht="17" x14ac:dyDescent="0.25">
      <c r="B1562" s="233" t="s">
        <v>971</v>
      </c>
      <c r="C1562" s="229"/>
      <c r="D1562" s="244">
        <f>GWP!R32</f>
        <v>0</v>
      </c>
      <c r="E1562" s="234" t="s">
        <v>969</v>
      </c>
      <c r="F1562" s="296" t="s">
        <v>193</v>
      </c>
    </row>
    <row r="1563" spans="1:8" ht="17" x14ac:dyDescent="0.25">
      <c r="B1563" s="233" t="s">
        <v>972</v>
      </c>
      <c r="C1563" s="229"/>
      <c r="D1563" s="235">
        <v>0</v>
      </c>
      <c r="E1563" s="234" t="s">
        <v>172</v>
      </c>
      <c r="F1563" s="296" t="s">
        <v>192</v>
      </c>
      <c r="G1563" s="234"/>
      <c r="H1563" s="234"/>
    </row>
    <row r="1564" spans="1:8" ht="17" x14ac:dyDescent="0.25">
      <c r="B1564" s="233" t="s">
        <v>973</v>
      </c>
      <c r="C1564" s="229"/>
      <c r="D1564" s="243">
        <f>GWP!T32</f>
        <v>0</v>
      </c>
      <c r="E1564" s="234" t="s">
        <v>969</v>
      </c>
      <c r="F1564" s="296" t="s">
        <v>919</v>
      </c>
    </row>
    <row r="1565" spans="1:8" ht="17" x14ac:dyDescent="0.25">
      <c r="B1565" s="233" t="s">
        <v>974</v>
      </c>
      <c r="C1565" s="229"/>
      <c r="D1565" s="244">
        <f>GWP!Z32</f>
        <v>1611.5355873609344</v>
      </c>
      <c r="E1565" s="234" t="s">
        <v>969</v>
      </c>
      <c r="F1565" s="296" t="s">
        <v>200</v>
      </c>
      <c r="G1565" s="234"/>
      <c r="H1565" s="234"/>
    </row>
    <row r="1566" spans="1:8" ht="17" x14ac:dyDescent="0.25">
      <c r="B1566" s="233" t="s">
        <v>975</v>
      </c>
      <c r="C1566" s="229"/>
      <c r="D1566" s="235">
        <v>0</v>
      </c>
      <c r="E1566" s="234" t="s">
        <v>314</v>
      </c>
      <c r="F1566" s="296" t="s">
        <v>190</v>
      </c>
    </row>
    <row r="1567" spans="1:8" ht="17" x14ac:dyDescent="0.25">
      <c r="B1567" s="233" t="s">
        <v>976</v>
      </c>
      <c r="C1567" s="229"/>
      <c r="D1567" s="244">
        <f>GWP!AB32</f>
        <v>-1397.8888887710345</v>
      </c>
      <c r="E1567" s="234" t="s">
        <v>314</v>
      </c>
      <c r="F1567" s="296" t="s">
        <v>179</v>
      </c>
    </row>
    <row r="1568" spans="1:8" x14ac:dyDescent="0.15">
      <c r="A1568" s="232" t="s">
        <v>41</v>
      </c>
      <c r="C1568" s="229"/>
    </row>
    <row r="1569" spans="1:6" ht="14" x14ac:dyDescent="0.15">
      <c r="A1569" s="250"/>
      <c r="B1569" s="229"/>
      <c r="C1569" s="250" t="s">
        <v>534</v>
      </c>
      <c r="D1569" s="254">
        <v>1530000</v>
      </c>
      <c r="E1569" s="234" t="s">
        <v>812</v>
      </c>
      <c r="F1569" s="296" t="s">
        <v>517</v>
      </c>
    </row>
    <row r="1570" spans="1:6" ht="14" x14ac:dyDescent="0.15">
      <c r="A1570" s="250"/>
      <c r="B1570" s="229"/>
      <c r="C1570" s="250" t="s">
        <v>535</v>
      </c>
      <c r="D1570" s="254">
        <v>215000</v>
      </c>
      <c r="E1570" s="234" t="s">
        <v>812</v>
      </c>
      <c r="F1570" s="296" t="s">
        <v>517</v>
      </c>
    </row>
    <row r="1571" spans="1:6" ht="14" x14ac:dyDescent="0.15">
      <c r="A1571" s="250"/>
      <c r="B1571" s="229"/>
      <c r="C1571" s="250" t="s">
        <v>536</v>
      </c>
      <c r="D1571" s="254">
        <v>956000</v>
      </c>
      <c r="E1571" s="234" t="s">
        <v>812</v>
      </c>
      <c r="F1571" s="296" t="s">
        <v>517</v>
      </c>
    </row>
    <row r="1572" spans="1:6" ht="14" x14ac:dyDescent="0.15">
      <c r="A1572" s="250"/>
      <c r="B1572" s="229"/>
      <c r="C1572" s="250" t="s">
        <v>537</v>
      </c>
      <c r="D1572" s="254">
        <v>203000</v>
      </c>
      <c r="E1572" s="234" t="s">
        <v>812</v>
      </c>
      <c r="F1572" s="296" t="s">
        <v>517</v>
      </c>
    </row>
    <row r="1573" spans="1:6" ht="14" x14ac:dyDescent="0.15">
      <c r="A1573" s="250"/>
      <c r="B1573" s="229"/>
      <c r="C1573" s="250" t="s">
        <v>538</v>
      </c>
      <c r="D1573" s="254">
        <v>991000</v>
      </c>
      <c r="E1573" s="234" t="s">
        <v>812</v>
      </c>
      <c r="F1573" s="296" t="s">
        <v>517</v>
      </c>
    </row>
    <row r="1574" spans="1:6" ht="14" x14ac:dyDescent="0.15">
      <c r="A1574" s="250"/>
      <c r="B1574" s="229"/>
      <c r="C1574" s="250" t="s">
        <v>539</v>
      </c>
      <c r="D1574" s="254">
        <v>77300</v>
      </c>
      <c r="E1574" s="234" t="s">
        <v>812</v>
      </c>
      <c r="F1574" s="296" t="s">
        <v>517</v>
      </c>
    </row>
    <row r="1575" spans="1:6" ht="14" x14ac:dyDescent="0.15">
      <c r="A1575" s="250"/>
      <c r="B1575" s="229"/>
      <c r="C1575" s="250" t="s">
        <v>540</v>
      </c>
      <c r="D1575" s="254">
        <v>17500</v>
      </c>
      <c r="E1575" s="234" t="s">
        <v>812</v>
      </c>
      <c r="F1575" s="296" t="s">
        <v>517</v>
      </c>
    </row>
    <row r="1576" spans="1:6" ht="14" x14ac:dyDescent="0.15">
      <c r="A1576" s="250"/>
      <c r="B1576" s="229"/>
      <c r="C1576" s="250" t="s">
        <v>207</v>
      </c>
      <c r="D1576" s="254">
        <f>SUM(D1569:D1575)</f>
        <v>3989800</v>
      </c>
      <c r="E1576" s="234" t="s">
        <v>812</v>
      </c>
      <c r="F1576" s="296" t="s">
        <v>66</v>
      </c>
    </row>
    <row r="1577" spans="1:6" ht="14" x14ac:dyDescent="0.15">
      <c r="A1577" s="250"/>
      <c r="B1577" s="229"/>
      <c r="C1577" s="250" t="s">
        <v>207</v>
      </c>
      <c r="D1577" s="249">
        <f>D1576/D1526</f>
        <v>831208.33333333326</v>
      </c>
      <c r="E1577" s="234" t="s">
        <v>811</v>
      </c>
      <c r="F1577" s="296" t="s">
        <v>467</v>
      </c>
    </row>
    <row r="1578" spans="1:6" ht="14" x14ac:dyDescent="0.15">
      <c r="B1578" s="233" t="s">
        <v>800</v>
      </c>
      <c r="D1578" s="260">
        <v>6.6299999999999998E-2</v>
      </c>
      <c r="E1578" s="234" t="s">
        <v>111</v>
      </c>
      <c r="F1578" s="297" t="s">
        <v>797</v>
      </c>
    </row>
    <row r="1579" spans="1:6" x14ac:dyDescent="0.15">
      <c r="B1579" s="233" t="s">
        <v>799</v>
      </c>
      <c r="D1579" s="242">
        <f>D1577*(1+D1578)</f>
        <v>886317.4458333333</v>
      </c>
      <c r="E1579" s="234" t="s">
        <v>404</v>
      </c>
      <c r="F1579" s="297"/>
    </row>
    <row r="1580" spans="1:6" x14ac:dyDescent="0.15">
      <c r="A1580" s="232" t="s">
        <v>195</v>
      </c>
      <c r="C1580" s="229"/>
    </row>
    <row r="1581" spans="1:6" x14ac:dyDescent="0.15">
      <c r="B1581" s="233" t="s">
        <v>42</v>
      </c>
      <c r="C1581" s="229"/>
    </row>
    <row r="1582" spans="1:6" ht="14" x14ac:dyDescent="0.15">
      <c r="A1582" s="250"/>
      <c r="B1582" s="229"/>
      <c r="C1582" s="250" t="s">
        <v>519</v>
      </c>
      <c r="D1582" s="254">
        <v>8070</v>
      </c>
      <c r="E1582" s="234" t="s">
        <v>281</v>
      </c>
      <c r="F1582" s="296" t="s">
        <v>517</v>
      </c>
    </row>
    <row r="1583" spans="1:6" ht="14" x14ac:dyDescent="0.15">
      <c r="A1583" s="250"/>
      <c r="B1583" s="229"/>
      <c r="C1583" s="250" t="s">
        <v>525</v>
      </c>
      <c r="D1583" s="254">
        <v>5480</v>
      </c>
      <c r="E1583" s="234" t="s">
        <v>281</v>
      </c>
      <c r="F1583" s="296" t="s">
        <v>517</v>
      </c>
    </row>
    <row r="1584" spans="1:6" ht="14" x14ac:dyDescent="0.15">
      <c r="A1584" s="250"/>
      <c r="B1584" s="229"/>
      <c r="C1584" s="250" t="s">
        <v>541</v>
      </c>
      <c r="D1584" s="254">
        <v>199000</v>
      </c>
      <c r="E1584" s="234" t="s">
        <v>281</v>
      </c>
      <c r="F1584" s="296" t="s">
        <v>517</v>
      </c>
    </row>
    <row r="1585" spans="1:6" ht="14" x14ac:dyDescent="0.15">
      <c r="A1585" s="250"/>
      <c r="B1585" s="229"/>
      <c r="C1585" s="250" t="s">
        <v>542</v>
      </c>
      <c r="D1585" s="254">
        <v>399000</v>
      </c>
      <c r="E1585" s="234" t="s">
        <v>281</v>
      </c>
      <c r="F1585" s="296" t="s">
        <v>517</v>
      </c>
    </row>
    <row r="1586" spans="1:6" ht="14" x14ac:dyDescent="0.15">
      <c r="A1586" s="250"/>
      <c r="B1586" s="229"/>
      <c r="C1586" s="250" t="s">
        <v>210</v>
      </c>
      <c r="D1586" s="254">
        <f>SUM(D1582:D1585)</f>
        <v>611550</v>
      </c>
      <c r="E1586" s="254" t="s">
        <v>281</v>
      </c>
      <c r="F1586" s="296" t="s">
        <v>66</v>
      </c>
    </row>
    <row r="1587" spans="1:6" ht="14" x14ac:dyDescent="0.15">
      <c r="A1587" s="250"/>
      <c r="B1587" s="229"/>
      <c r="C1587" s="250" t="s">
        <v>210</v>
      </c>
      <c r="D1587" s="254">
        <f>D1586/D1521/D1526</f>
        <v>387.84246575342456</v>
      </c>
      <c r="E1587" s="234" t="s">
        <v>218</v>
      </c>
      <c r="F1587" s="296" t="s">
        <v>467</v>
      </c>
    </row>
    <row r="1588" spans="1:6" ht="14" x14ac:dyDescent="0.15">
      <c r="B1588" s="233" t="s">
        <v>800</v>
      </c>
      <c r="D1588" s="260">
        <v>6.6299999999999998E-2</v>
      </c>
      <c r="E1588" s="234" t="s">
        <v>111</v>
      </c>
      <c r="F1588" s="297" t="s">
        <v>797</v>
      </c>
    </row>
    <row r="1589" spans="1:6" x14ac:dyDescent="0.15">
      <c r="B1589" s="233" t="s">
        <v>798</v>
      </c>
      <c r="D1589" s="247">
        <f>D1587*(1+D1588)</f>
        <v>413.55642123287663</v>
      </c>
      <c r="E1589" s="234" t="s">
        <v>816</v>
      </c>
    </row>
    <row r="1590" spans="1:6" ht="14" x14ac:dyDescent="0.15">
      <c r="B1590" s="233" t="s">
        <v>197</v>
      </c>
      <c r="C1590" s="229"/>
      <c r="D1590" s="237">
        <f>'Commercial Viability'!F35</f>
        <v>7.2341049543986973</v>
      </c>
      <c r="E1590" s="234" t="s">
        <v>199</v>
      </c>
      <c r="F1590" s="296" t="s">
        <v>950</v>
      </c>
    </row>
    <row r="1591" spans="1:6" x14ac:dyDescent="0.15">
      <c r="B1591" s="233" t="s">
        <v>196</v>
      </c>
      <c r="C1591" s="229"/>
    </row>
    <row r="1592" spans="1:6" ht="14" x14ac:dyDescent="0.15">
      <c r="A1592" s="250"/>
      <c r="B1592" s="229"/>
      <c r="C1592" s="250" t="s">
        <v>532</v>
      </c>
      <c r="D1592" s="234">
        <v>0.55000000000000004</v>
      </c>
      <c r="E1592" s="234" t="s">
        <v>531</v>
      </c>
      <c r="F1592" s="296" t="s">
        <v>59</v>
      </c>
    </row>
    <row r="1593" spans="1:6" ht="14" x14ac:dyDescent="0.15">
      <c r="A1593" s="250"/>
      <c r="B1593" s="229"/>
      <c r="C1593" s="250" t="s">
        <v>533</v>
      </c>
      <c r="D1593" s="254">
        <v>467000</v>
      </c>
      <c r="E1593" s="234" t="s">
        <v>281</v>
      </c>
      <c r="F1593" s="296" t="s">
        <v>517</v>
      </c>
    </row>
    <row r="1594" spans="1:6" ht="14" x14ac:dyDescent="0.15">
      <c r="A1594" s="250"/>
      <c r="B1594" s="229"/>
      <c r="C1594" s="250" t="s">
        <v>533</v>
      </c>
      <c r="D1594" s="249">
        <f>D1593/D1521/D1526</f>
        <v>296.16945712836116</v>
      </c>
      <c r="E1594" s="234" t="s">
        <v>199</v>
      </c>
      <c r="F1594" s="296" t="s">
        <v>467</v>
      </c>
    </row>
    <row r="1595" spans="1:6" ht="14" x14ac:dyDescent="0.15">
      <c r="B1595" s="233" t="s">
        <v>800</v>
      </c>
      <c r="D1595" s="260">
        <v>6.6299999999999998E-2</v>
      </c>
      <c r="E1595" s="234" t="s">
        <v>111</v>
      </c>
      <c r="F1595" s="297" t="s">
        <v>797</v>
      </c>
    </row>
    <row r="1596" spans="1:6" x14ac:dyDescent="0.15">
      <c r="B1596" s="233" t="s">
        <v>809</v>
      </c>
      <c r="D1596" s="247">
        <f>D1594*(1+D1595)</f>
        <v>315.80549213597152</v>
      </c>
      <c r="E1596" s="234" t="s">
        <v>816</v>
      </c>
    </row>
    <row r="1597" spans="1:6" ht="14" x14ac:dyDescent="0.15">
      <c r="B1597" s="233" t="s">
        <v>195</v>
      </c>
      <c r="C1597" s="229"/>
      <c r="D1597" s="244">
        <f>'Commercial Viability'!H35</f>
        <v>-104.98503405130378</v>
      </c>
      <c r="E1597" s="234" t="s">
        <v>199</v>
      </c>
      <c r="F1597" s="296" t="s">
        <v>951</v>
      </c>
    </row>
    <row r="1598" spans="1:6" x14ac:dyDescent="0.15">
      <c r="A1598" s="232" t="s">
        <v>201</v>
      </c>
      <c r="C1598" s="229"/>
    </row>
    <row r="1599" spans="1:6" ht="28" x14ac:dyDescent="0.15">
      <c r="B1599" s="233" t="s">
        <v>6</v>
      </c>
      <c r="D1599" s="235">
        <v>7</v>
      </c>
      <c r="F1599" s="296" t="s">
        <v>326</v>
      </c>
    </row>
    <row r="1600" spans="1:6" x14ac:dyDescent="0.15">
      <c r="A1600" s="250"/>
      <c r="B1600" s="229"/>
      <c r="C1600" s="250"/>
      <c r="D1600" s="259"/>
      <c r="E1600" s="254"/>
    </row>
    <row r="1601" spans="1:6" s="228" customFormat="1" x14ac:dyDescent="0.15">
      <c r="A1601" s="225" t="s">
        <v>998</v>
      </c>
      <c r="B1601" s="226"/>
      <c r="C1601" s="226"/>
      <c r="D1601" s="227"/>
      <c r="E1601" s="227"/>
      <c r="F1601" s="294"/>
    </row>
    <row r="1602" spans="1:6" ht="14" x14ac:dyDescent="0.15">
      <c r="B1602" s="230" t="s">
        <v>171</v>
      </c>
      <c r="C1602" s="230"/>
      <c r="D1602" s="231" t="s">
        <v>170</v>
      </c>
      <c r="E1602" s="231" t="s">
        <v>169</v>
      </c>
      <c r="F1602" s="295" t="s">
        <v>168</v>
      </c>
    </row>
    <row r="1603" spans="1:6" ht="14" x14ac:dyDescent="0.15">
      <c r="A1603" s="250"/>
      <c r="B1603" s="250" t="s">
        <v>268</v>
      </c>
      <c r="D1603" s="234">
        <v>365</v>
      </c>
      <c r="E1603" s="234" t="s">
        <v>414</v>
      </c>
      <c r="F1603" s="296" t="s">
        <v>87</v>
      </c>
    </row>
    <row r="1604" spans="1:6" ht="14" x14ac:dyDescent="0.15">
      <c r="A1604" s="250"/>
      <c r="B1604" s="250" t="s">
        <v>512</v>
      </c>
      <c r="D1604" s="234">
        <v>0.9</v>
      </c>
      <c r="E1604" s="234" t="s">
        <v>172</v>
      </c>
      <c r="F1604" s="296" t="s">
        <v>508</v>
      </c>
    </row>
    <row r="1605" spans="1:6" ht="14" x14ac:dyDescent="0.15">
      <c r="A1605" s="250"/>
      <c r="B1605" s="250" t="s">
        <v>513</v>
      </c>
      <c r="D1605" s="234">
        <f>D1603*D1604</f>
        <v>328.5</v>
      </c>
      <c r="E1605" s="234" t="s">
        <v>414</v>
      </c>
      <c r="F1605" s="296" t="s">
        <v>509</v>
      </c>
    </row>
    <row r="1606" spans="1:6" x14ac:dyDescent="0.15">
      <c r="A1606" s="250"/>
      <c r="B1606" s="250" t="s">
        <v>476</v>
      </c>
      <c r="D1606" s="234">
        <v>24</v>
      </c>
      <c r="E1606" s="234" t="s">
        <v>413</v>
      </c>
    </row>
    <row r="1607" spans="1:6" ht="14" x14ac:dyDescent="0.15">
      <c r="A1607" s="250"/>
      <c r="B1607" s="250" t="s">
        <v>514</v>
      </c>
      <c r="D1607" s="234">
        <v>1000</v>
      </c>
      <c r="E1607" s="234" t="s">
        <v>501</v>
      </c>
      <c r="F1607" s="296" t="s">
        <v>510</v>
      </c>
    </row>
    <row r="1608" spans="1:6" ht="14" x14ac:dyDescent="0.15">
      <c r="A1608" s="250"/>
      <c r="B1608" s="250" t="s">
        <v>552</v>
      </c>
      <c r="D1608" s="255">
        <v>0.2</v>
      </c>
      <c r="E1608" s="234" t="s">
        <v>111</v>
      </c>
      <c r="F1608" s="296" t="s">
        <v>510</v>
      </c>
    </row>
    <row r="1609" spans="1:6" ht="14" x14ac:dyDescent="0.15">
      <c r="A1609" s="250"/>
      <c r="B1609" s="250" t="s">
        <v>515</v>
      </c>
      <c r="D1609" s="234">
        <f>D1607*D1608</f>
        <v>200</v>
      </c>
      <c r="E1609" s="234" t="s">
        <v>511</v>
      </c>
      <c r="F1609" s="296" t="s">
        <v>510</v>
      </c>
    </row>
    <row r="1610" spans="1:6" ht="14" x14ac:dyDescent="0.15">
      <c r="A1610" s="250"/>
      <c r="B1610" s="250" t="s">
        <v>515</v>
      </c>
      <c r="D1610" s="234">
        <f>D1609/1000*D1606</f>
        <v>4.8000000000000007</v>
      </c>
      <c r="E1610" s="234" t="s">
        <v>461</v>
      </c>
      <c r="F1610" s="296" t="s">
        <v>467</v>
      </c>
    </row>
    <row r="1611" spans="1:6" x14ac:dyDescent="0.15">
      <c r="A1611" s="232" t="s">
        <v>167</v>
      </c>
    </row>
    <row r="1612" spans="1:6" ht="14" x14ac:dyDescent="0.15">
      <c r="A1612" s="250"/>
      <c r="B1612" s="250" t="s">
        <v>502</v>
      </c>
      <c r="C1612" s="259"/>
      <c r="D1612" s="251">
        <v>25.11</v>
      </c>
      <c r="E1612" s="234" t="s">
        <v>501</v>
      </c>
      <c r="F1612" s="296" t="s">
        <v>516</v>
      </c>
    </row>
    <row r="1613" spans="1:6" ht="14" x14ac:dyDescent="0.15">
      <c r="B1613" s="250" t="s">
        <v>492</v>
      </c>
      <c r="D1613" s="256">
        <f>D1612/D1609</f>
        <v>0.12554999999999999</v>
      </c>
      <c r="E1613" s="234" t="s">
        <v>111</v>
      </c>
      <c r="F1613" s="296" t="s">
        <v>499</v>
      </c>
    </row>
    <row r="1614" spans="1:6" ht="17" x14ac:dyDescent="0.25">
      <c r="B1614" s="233" t="s">
        <v>956</v>
      </c>
      <c r="D1614" s="236">
        <v>0</v>
      </c>
      <c r="E1614" s="234" t="s">
        <v>111</v>
      </c>
      <c r="F1614" s="296" t="s">
        <v>516</v>
      </c>
    </row>
    <row r="1615" spans="1:6" ht="17" x14ac:dyDescent="0.25">
      <c r="B1615" s="233" t="s">
        <v>957</v>
      </c>
      <c r="D1615" s="237">
        <f>'Energy Balance'!Q35</f>
        <v>0.12554999999999999</v>
      </c>
      <c r="E1615" s="234" t="s">
        <v>172</v>
      </c>
      <c r="F1615" s="296" t="s">
        <v>173</v>
      </c>
    </row>
    <row r="1616" spans="1:6" x14ac:dyDescent="0.15">
      <c r="A1616" s="232" t="s">
        <v>174</v>
      </c>
    </row>
    <row r="1617" spans="1:6" ht="17" x14ac:dyDescent="0.25">
      <c r="B1617" s="233" t="s">
        <v>958</v>
      </c>
      <c r="D1617" s="235">
        <v>0</v>
      </c>
      <c r="E1617" s="234" t="s">
        <v>175</v>
      </c>
      <c r="F1617" s="296" t="s">
        <v>295</v>
      </c>
    </row>
    <row r="1618" spans="1:6" ht="30" x14ac:dyDescent="0.25">
      <c r="B1618" s="233" t="s">
        <v>959</v>
      </c>
      <c r="C1618" s="229"/>
      <c r="D1618" s="236">
        <v>0</v>
      </c>
      <c r="E1618" s="234" t="s">
        <v>111</v>
      </c>
      <c r="F1618" s="296" t="s">
        <v>280</v>
      </c>
    </row>
    <row r="1619" spans="1:6" ht="17" x14ac:dyDescent="0.25">
      <c r="B1619" s="233" t="s">
        <v>960</v>
      </c>
      <c r="C1619" s="229"/>
      <c r="D1619" s="236">
        <v>0</v>
      </c>
      <c r="E1619" s="234" t="s">
        <v>111</v>
      </c>
      <c r="F1619" s="296" t="s">
        <v>87</v>
      </c>
    </row>
    <row r="1620" spans="1:6" ht="17" x14ac:dyDescent="0.25">
      <c r="B1620" s="233" t="s">
        <v>961</v>
      </c>
      <c r="C1620" s="229"/>
      <c r="D1620" s="240">
        <f>'Energy Balance'!D35</f>
        <v>0</v>
      </c>
      <c r="E1620" s="234" t="s">
        <v>175</v>
      </c>
      <c r="F1620" s="296" t="s">
        <v>947</v>
      </c>
    </row>
    <row r="1621" spans="1:6" ht="17" x14ac:dyDescent="0.25">
      <c r="B1621" s="233" t="s">
        <v>962</v>
      </c>
      <c r="C1621" s="229"/>
      <c r="D1621" s="229"/>
    </row>
    <row r="1622" spans="1:6" ht="14" x14ac:dyDescent="0.15">
      <c r="A1622" s="250"/>
      <c r="B1622" s="229"/>
      <c r="C1622" s="250" t="s">
        <v>519</v>
      </c>
      <c r="D1622" s="254">
        <v>21600</v>
      </c>
      <c r="E1622" s="234" t="s">
        <v>281</v>
      </c>
      <c r="F1622" s="296" t="s">
        <v>517</v>
      </c>
    </row>
    <row r="1623" spans="1:6" ht="14" x14ac:dyDescent="0.15">
      <c r="A1623" s="250"/>
      <c r="B1623" s="229"/>
      <c r="C1623" s="250" t="s">
        <v>471</v>
      </c>
      <c r="D1623" s="251">
        <v>7.0000000000000007E-2</v>
      </c>
      <c r="E1623" s="234" t="s">
        <v>217</v>
      </c>
      <c r="F1623" s="296" t="s">
        <v>508</v>
      </c>
    </row>
    <row r="1624" spans="1:6" ht="14" x14ac:dyDescent="0.15">
      <c r="A1624" s="250"/>
      <c r="B1624" s="229"/>
      <c r="C1624" s="250" t="s">
        <v>519</v>
      </c>
      <c r="D1624" s="254">
        <f>D1622/D1623</f>
        <v>308571.42857142852</v>
      </c>
      <c r="E1624" s="234" t="s">
        <v>470</v>
      </c>
      <c r="F1624" s="296" t="s">
        <v>66</v>
      </c>
    </row>
    <row r="1625" spans="1:6" ht="14" x14ac:dyDescent="0.15">
      <c r="A1625" s="250"/>
      <c r="B1625" s="229"/>
      <c r="C1625" s="250" t="s">
        <v>519</v>
      </c>
      <c r="D1625" s="254">
        <f>D1624/D1605/D1610</f>
        <v>195.69471624266137</v>
      </c>
      <c r="E1625" s="234" t="s">
        <v>175</v>
      </c>
      <c r="F1625" s="296" t="s">
        <v>467</v>
      </c>
    </row>
    <row r="1626" spans="1:6" ht="14" x14ac:dyDescent="0.15">
      <c r="A1626" s="250"/>
      <c r="B1626" s="229"/>
      <c r="C1626" s="250" t="s">
        <v>520</v>
      </c>
      <c r="D1626" s="254">
        <v>60</v>
      </c>
      <c r="E1626" s="234" t="s">
        <v>175</v>
      </c>
      <c r="F1626" s="298" t="s">
        <v>204</v>
      </c>
    </row>
    <row r="1627" spans="1:6" ht="14" x14ac:dyDescent="0.15">
      <c r="A1627" s="250"/>
      <c r="B1627" s="229"/>
      <c r="C1627" s="250" t="s">
        <v>228</v>
      </c>
      <c r="D1627" s="249">
        <f>D1625+D1626</f>
        <v>255.69471624266137</v>
      </c>
      <c r="E1627" s="234" t="s">
        <v>175</v>
      </c>
      <c r="F1627" s="296" t="s">
        <v>66</v>
      </c>
    </row>
    <row r="1628" spans="1:6" ht="17" x14ac:dyDescent="0.25">
      <c r="B1628" s="233" t="s">
        <v>963</v>
      </c>
      <c r="C1628" s="229"/>
    </row>
    <row r="1629" spans="1:6" ht="14" x14ac:dyDescent="0.15">
      <c r="A1629" s="250"/>
      <c r="B1629" s="229"/>
      <c r="C1629" s="250" t="s">
        <v>523</v>
      </c>
      <c r="D1629" s="254">
        <v>102</v>
      </c>
      <c r="E1629" s="234" t="s">
        <v>501</v>
      </c>
      <c r="F1629" s="296" t="s">
        <v>521</v>
      </c>
    </row>
    <row r="1630" spans="1:6" x14ac:dyDescent="0.15">
      <c r="A1630" s="250"/>
      <c r="B1630" s="229"/>
      <c r="C1630" s="250" t="s">
        <v>523</v>
      </c>
      <c r="D1630" s="255">
        <f>D1629/D1609</f>
        <v>0.51</v>
      </c>
      <c r="E1630" s="234" t="s">
        <v>272</v>
      </c>
    </row>
    <row r="1631" spans="1:6" ht="28" x14ac:dyDescent="0.15">
      <c r="A1631" s="250"/>
      <c r="B1631" s="229"/>
      <c r="C1631" s="250" t="s">
        <v>303</v>
      </c>
      <c r="D1631" s="257">
        <v>8.15</v>
      </c>
      <c r="E1631" s="234" t="s">
        <v>313</v>
      </c>
      <c r="F1631" s="298" t="s">
        <v>522</v>
      </c>
    </row>
    <row r="1632" spans="1:6" ht="28" x14ac:dyDescent="0.15">
      <c r="A1632" s="250"/>
      <c r="B1632" s="229"/>
      <c r="C1632" s="250" t="s">
        <v>308</v>
      </c>
      <c r="D1632" s="234">
        <v>124943</v>
      </c>
      <c r="E1632" s="234" t="s">
        <v>309</v>
      </c>
      <c r="F1632" s="298" t="s">
        <v>522</v>
      </c>
    </row>
    <row r="1633" spans="1:8" ht="14" x14ac:dyDescent="0.15">
      <c r="A1633" s="250"/>
      <c r="B1633" s="229"/>
      <c r="C1633" s="250" t="s">
        <v>307</v>
      </c>
      <c r="D1633" s="257">
        <f>D1632/D1631/3412*2.20462</f>
        <v>9.905560190306316</v>
      </c>
      <c r="E1633" s="234" t="s">
        <v>361</v>
      </c>
      <c r="F1633" s="296" t="s">
        <v>434</v>
      </c>
    </row>
    <row r="1634" spans="1:8" ht="14" x14ac:dyDescent="0.15">
      <c r="A1634" s="250"/>
      <c r="B1634" s="229"/>
      <c r="C1634" s="250" t="s">
        <v>306</v>
      </c>
      <c r="D1634" s="249">
        <f>D1630*D1633*1000</f>
        <v>5051.8356970562209</v>
      </c>
      <c r="E1634" s="234" t="s">
        <v>175</v>
      </c>
      <c r="F1634" s="296" t="s">
        <v>467</v>
      </c>
    </row>
    <row r="1635" spans="1:8" ht="17" x14ac:dyDescent="0.25">
      <c r="A1635" s="250"/>
      <c r="B1635" s="233" t="s">
        <v>964</v>
      </c>
      <c r="C1635" s="259"/>
      <c r="D1635" s="244">
        <f>'Energy Balance'!S35</f>
        <v>17.00135945799531</v>
      </c>
      <c r="E1635" s="234" t="s">
        <v>175</v>
      </c>
      <c r="F1635" s="296" t="s">
        <v>948</v>
      </c>
    </row>
    <row r="1636" spans="1:8" ht="17" x14ac:dyDescent="0.25">
      <c r="B1636" s="233" t="s">
        <v>965</v>
      </c>
      <c r="C1636" s="229"/>
      <c r="D1636" s="229"/>
    </row>
    <row r="1637" spans="1:8" ht="14" x14ac:dyDescent="0.15">
      <c r="A1637" s="250"/>
      <c r="B1637" s="229"/>
      <c r="C1637" s="250" t="s">
        <v>525</v>
      </c>
      <c r="D1637" s="254">
        <v>205</v>
      </c>
      <c r="E1637" s="234" t="s">
        <v>281</v>
      </c>
      <c r="F1637" s="296" t="s">
        <v>517</v>
      </c>
    </row>
    <row r="1638" spans="1:8" ht="14" x14ac:dyDescent="0.15">
      <c r="A1638" s="250"/>
      <c r="B1638" s="229"/>
      <c r="C1638" s="250" t="s">
        <v>526</v>
      </c>
      <c r="D1638" s="234">
        <v>0.01</v>
      </c>
      <c r="E1638" s="234" t="s">
        <v>217</v>
      </c>
      <c r="F1638" s="296" t="s">
        <v>508</v>
      </c>
    </row>
    <row r="1639" spans="1:8" ht="14" x14ac:dyDescent="0.15">
      <c r="A1639" s="250"/>
      <c r="B1639" s="229"/>
      <c r="C1639" s="250" t="s">
        <v>527</v>
      </c>
      <c r="D1639" s="254">
        <f>D1637/D1638</f>
        <v>20500</v>
      </c>
      <c r="E1639" s="234" t="s">
        <v>470</v>
      </c>
      <c r="F1639" s="296" t="s">
        <v>524</v>
      </c>
    </row>
    <row r="1640" spans="1:8" ht="14" x14ac:dyDescent="0.15">
      <c r="A1640" s="250"/>
      <c r="B1640" s="229"/>
      <c r="C1640" s="250" t="s">
        <v>527</v>
      </c>
      <c r="D1640" s="254">
        <f>D1639/D1605/D1610</f>
        <v>13.001014713343478</v>
      </c>
      <c r="E1640" s="234" t="s">
        <v>175</v>
      </c>
      <c r="F1640" s="296" t="s">
        <v>467</v>
      </c>
    </row>
    <row r="1641" spans="1:8" ht="14" x14ac:dyDescent="0.15">
      <c r="A1641" s="250"/>
      <c r="B1641" s="229"/>
      <c r="C1641" s="250" t="s">
        <v>527</v>
      </c>
      <c r="D1641" s="247">
        <f>D1640*3412/1000000</f>
        <v>4.4359462201927949E-2</v>
      </c>
      <c r="E1641" s="234" t="s">
        <v>178</v>
      </c>
      <c r="F1641" s="296" t="s">
        <v>225</v>
      </c>
    </row>
    <row r="1642" spans="1:8" ht="17" x14ac:dyDescent="0.25">
      <c r="B1642" s="233" t="s">
        <v>966</v>
      </c>
      <c r="C1642" s="229"/>
      <c r="D1642" s="240">
        <f>'Energy Balance'!Y35</f>
        <v>4956.5350919423663</v>
      </c>
      <c r="E1642" s="234" t="s">
        <v>175</v>
      </c>
      <c r="F1642" s="296" t="s">
        <v>176</v>
      </c>
    </row>
    <row r="1643" spans="1:8" ht="17" x14ac:dyDescent="0.25">
      <c r="A1643" s="232" t="s">
        <v>967</v>
      </c>
      <c r="C1643" s="229"/>
    </row>
    <row r="1644" spans="1:8" ht="17" x14ac:dyDescent="0.25">
      <c r="B1644" s="233" t="s">
        <v>968</v>
      </c>
      <c r="C1644" s="229"/>
      <c r="D1644" s="241">
        <f>GWP!P33</f>
        <v>0</v>
      </c>
      <c r="E1644" s="234" t="s">
        <v>969</v>
      </c>
      <c r="F1644" s="296" t="s">
        <v>949</v>
      </c>
    </row>
    <row r="1645" spans="1:8" ht="17" x14ac:dyDescent="0.25">
      <c r="B1645" s="233" t="s">
        <v>970</v>
      </c>
      <c r="C1645" s="229"/>
      <c r="D1645" s="235">
        <v>0</v>
      </c>
      <c r="E1645" s="234" t="s">
        <v>172</v>
      </c>
      <c r="F1645" s="296" t="s">
        <v>190</v>
      </c>
      <c r="G1645" s="234"/>
      <c r="H1645" s="234"/>
    </row>
    <row r="1646" spans="1:8" ht="17" x14ac:dyDescent="0.25">
      <c r="B1646" s="233" t="s">
        <v>971</v>
      </c>
      <c r="C1646" s="229"/>
      <c r="D1646" s="244">
        <f>GWP!R33</f>
        <v>0</v>
      </c>
      <c r="E1646" s="234" t="s">
        <v>969</v>
      </c>
      <c r="F1646" s="296" t="s">
        <v>193</v>
      </c>
    </row>
    <row r="1647" spans="1:8" ht="17" x14ac:dyDescent="0.25">
      <c r="B1647" s="233" t="s">
        <v>972</v>
      </c>
      <c r="C1647" s="229"/>
      <c r="D1647" s="235">
        <v>0</v>
      </c>
      <c r="E1647" s="234" t="s">
        <v>172</v>
      </c>
      <c r="F1647" s="296" t="s">
        <v>192</v>
      </c>
      <c r="G1647" s="234"/>
      <c r="H1647" s="234"/>
    </row>
    <row r="1648" spans="1:8" ht="17" x14ac:dyDescent="0.25">
      <c r="B1648" s="233" t="s">
        <v>973</v>
      </c>
      <c r="C1648" s="229"/>
      <c r="D1648" s="243">
        <f>GWP!T33</f>
        <v>0</v>
      </c>
      <c r="E1648" s="234" t="s">
        <v>969</v>
      </c>
      <c r="F1648" s="296" t="s">
        <v>919</v>
      </c>
    </row>
    <row r="1649" spans="1:8" ht="17" x14ac:dyDescent="0.25">
      <c r="B1649" s="233" t="s">
        <v>974</v>
      </c>
      <c r="C1649" s="229"/>
      <c r="D1649" s="244">
        <f>GWP!Z33</f>
        <v>1611.5355873609344</v>
      </c>
      <c r="E1649" s="234" t="s">
        <v>969</v>
      </c>
      <c r="F1649" s="296" t="s">
        <v>200</v>
      </c>
      <c r="G1649" s="234"/>
      <c r="H1649" s="234"/>
    </row>
    <row r="1650" spans="1:8" ht="17" x14ac:dyDescent="0.25">
      <c r="B1650" s="233" t="s">
        <v>975</v>
      </c>
      <c r="C1650" s="229"/>
      <c r="D1650" s="235">
        <v>0</v>
      </c>
      <c r="E1650" s="234" t="s">
        <v>314</v>
      </c>
      <c r="F1650" s="296" t="s">
        <v>190</v>
      </c>
    </row>
    <row r="1651" spans="1:8" ht="17" x14ac:dyDescent="0.25">
      <c r="B1651" s="233" t="s">
        <v>976</v>
      </c>
      <c r="C1651" s="229"/>
      <c r="D1651" s="244">
        <f>GWP!AB33</f>
        <v>-1492.3420111364037</v>
      </c>
      <c r="E1651" s="234" t="s">
        <v>314</v>
      </c>
      <c r="F1651" s="296" t="s">
        <v>179</v>
      </c>
    </row>
    <row r="1652" spans="1:8" x14ac:dyDescent="0.15">
      <c r="A1652" s="232" t="s">
        <v>41</v>
      </c>
      <c r="C1652" s="229"/>
    </row>
    <row r="1653" spans="1:8" ht="14" x14ac:dyDescent="0.15">
      <c r="A1653" s="250"/>
      <c r="B1653" s="229"/>
      <c r="C1653" s="250" t="s">
        <v>534</v>
      </c>
      <c r="D1653" s="254">
        <v>1490000</v>
      </c>
      <c r="E1653" s="234" t="s">
        <v>86</v>
      </c>
      <c r="F1653" s="296" t="s">
        <v>517</v>
      </c>
    </row>
    <row r="1654" spans="1:8" ht="14" x14ac:dyDescent="0.15">
      <c r="A1654" s="250"/>
      <c r="B1654" s="229"/>
      <c r="C1654" s="250" t="s">
        <v>535</v>
      </c>
      <c r="D1654" s="254">
        <v>215000</v>
      </c>
      <c r="E1654" s="234" t="s">
        <v>86</v>
      </c>
      <c r="F1654" s="296" t="s">
        <v>517</v>
      </c>
    </row>
    <row r="1655" spans="1:8" ht="14" x14ac:dyDescent="0.15">
      <c r="A1655" s="250"/>
      <c r="B1655" s="229"/>
      <c r="C1655" s="250" t="s">
        <v>536</v>
      </c>
      <c r="D1655" s="254">
        <v>956000</v>
      </c>
      <c r="E1655" s="234" t="s">
        <v>86</v>
      </c>
      <c r="F1655" s="296" t="s">
        <v>517</v>
      </c>
    </row>
    <row r="1656" spans="1:8" ht="14" x14ac:dyDescent="0.15">
      <c r="A1656" s="250"/>
      <c r="B1656" s="229"/>
      <c r="C1656" s="250" t="s">
        <v>537</v>
      </c>
      <c r="D1656" s="254">
        <v>203000</v>
      </c>
      <c r="E1656" s="234" t="s">
        <v>86</v>
      </c>
      <c r="F1656" s="296" t="s">
        <v>517</v>
      </c>
    </row>
    <row r="1657" spans="1:8" ht="14" x14ac:dyDescent="0.15">
      <c r="A1657" s="250"/>
      <c r="B1657" s="229"/>
      <c r="C1657" s="250" t="s">
        <v>538</v>
      </c>
      <c r="D1657" s="254">
        <v>991000</v>
      </c>
      <c r="E1657" s="234" t="s">
        <v>86</v>
      </c>
      <c r="F1657" s="296" t="s">
        <v>517</v>
      </c>
    </row>
    <row r="1658" spans="1:8" ht="14" x14ac:dyDescent="0.15">
      <c r="A1658" s="250"/>
      <c r="B1658" s="229"/>
      <c r="C1658" s="250" t="s">
        <v>540</v>
      </c>
      <c r="D1658" s="254">
        <v>22600</v>
      </c>
      <c r="E1658" s="234" t="s">
        <v>86</v>
      </c>
      <c r="F1658" s="296" t="s">
        <v>517</v>
      </c>
    </row>
    <row r="1659" spans="1:8" ht="14" x14ac:dyDescent="0.15">
      <c r="A1659" s="250"/>
      <c r="B1659" s="229"/>
      <c r="C1659" s="250" t="s">
        <v>207</v>
      </c>
      <c r="D1659" s="254">
        <f>SUM(D1653:D1658)</f>
        <v>3877600</v>
      </c>
      <c r="E1659" s="234" t="s">
        <v>86</v>
      </c>
      <c r="F1659" s="296" t="s">
        <v>66</v>
      </c>
    </row>
    <row r="1660" spans="1:8" ht="14" x14ac:dyDescent="0.15">
      <c r="A1660" s="250"/>
      <c r="B1660" s="229"/>
      <c r="C1660" s="250" t="s">
        <v>207</v>
      </c>
      <c r="D1660" s="254">
        <f>D1659/D1610</f>
        <v>807833.33333333326</v>
      </c>
      <c r="E1660" s="234" t="s">
        <v>324</v>
      </c>
      <c r="F1660" s="296" t="s">
        <v>467</v>
      </c>
    </row>
    <row r="1661" spans="1:8" ht="14" x14ac:dyDescent="0.15">
      <c r="B1661" s="233" t="s">
        <v>800</v>
      </c>
      <c r="D1661" s="260">
        <v>6.6299999999999998E-2</v>
      </c>
      <c r="E1661" s="234" t="s">
        <v>111</v>
      </c>
      <c r="F1661" s="297" t="s">
        <v>797</v>
      </c>
    </row>
    <row r="1662" spans="1:8" x14ac:dyDescent="0.15">
      <c r="B1662" s="233" t="s">
        <v>799</v>
      </c>
      <c r="D1662" s="242">
        <f>D1660*(1+D1661)</f>
        <v>861392.68333333323</v>
      </c>
      <c r="E1662" s="234" t="s">
        <v>404</v>
      </c>
      <c r="F1662" s="297"/>
    </row>
    <row r="1663" spans="1:8" x14ac:dyDescent="0.15">
      <c r="A1663" s="232" t="s">
        <v>195</v>
      </c>
      <c r="C1663" s="229"/>
    </row>
    <row r="1664" spans="1:8" x14ac:dyDescent="0.15">
      <c r="B1664" s="233" t="s">
        <v>42</v>
      </c>
      <c r="C1664" s="229"/>
    </row>
    <row r="1665" spans="1:6" ht="14" x14ac:dyDescent="0.15">
      <c r="A1665" s="250"/>
      <c r="B1665" s="229"/>
      <c r="C1665" s="250" t="s">
        <v>519</v>
      </c>
      <c r="D1665" s="254">
        <v>21600</v>
      </c>
      <c r="E1665" s="234" t="s">
        <v>281</v>
      </c>
      <c r="F1665" s="296" t="s">
        <v>517</v>
      </c>
    </row>
    <row r="1666" spans="1:6" ht="14" x14ac:dyDescent="0.15">
      <c r="A1666" s="250"/>
      <c r="B1666" s="229"/>
      <c r="C1666" s="250" t="s">
        <v>525</v>
      </c>
      <c r="D1666" s="254">
        <v>205</v>
      </c>
      <c r="E1666" s="234" t="s">
        <v>281</v>
      </c>
      <c r="F1666" s="296" t="s">
        <v>517</v>
      </c>
    </row>
    <row r="1667" spans="1:6" ht="14" x14ac:dyDescent="0.15">
      <c r="A1667" s="250"/>
      <c r="B1667" s="229"/>
      <c r="C1667" s="250" t="s">
        <v>541</v>
      </c>
      <c r="D1667" s="254">
        <v>194000</v>
      </c>
      <c r="E1667" s="234" t="s">
        <v>281</v>
      </c>
      <c r="F1667" s="296" t="s">
        <v>517</v>
      </c>
    </row>
    <row r="1668" spans="1:6" ht="14" x14ac:dyDescent="0.15">
      <c r="A1668" s="250"/>
      <c r="B1668" s="229"/>
      <c r="C1668" s="250" t="s">
        <v>542</v>
      </c>
      <c r="D1668" s="254">
        <v>388000</v>
      </c>
      <c r="E1668" s="234" t="s">
        <v>281</v>
      </c>
      <c r="F1668" s="296" t="s">
        <v>517</v>
      </c>
    </row>
    <row r="1669" spans="1:6" ht="14" x14ac:dyDescent="0.15">
      <c r="A1669" s="250"/>
      <c r="B1669" s="229"/>
      <c r="C1669" s="250" t="s">
        <v>210</v>
      </c>
      <c r="D1669" s="254">
        <f>SUM(D1665:D1668)</f>
        <v>603805</v>
      </c>
      <c r="E1669" s="254" t="s">
        <v>281</v>
      </c>
      <c r="F1669" s="296" t="s">
        <v>66</v>
      </c>
    </row>
    <row r="1670" spans="1:6" ht="14" x14ac:dyDescent="0.15">
      <c r="A1670" s="250"/>
      <c r="B1670" s="229"/>
      <c r="C1670" s="250" t="s">
        <v>210</v>
      </c>
      <c r="D1670" s="254">
        <f>D1669/D1605/D1610</f>
        <v>382.93061897513945</v>
      </c>
      <c r="E1670" s="234" t="s">
        <v>199</v>
      </c>
      <c r="F1670" s="296" t="s">
        <v>467</v>
      </c>
    </row>
    <row r="1671" spans="1:6" ht="14" x14ac:dyDescent="0.15">
      <c r="B1671" s="233" t="s">
        <v>800</v>
      </c>
      <c r="D1671" s="260">
        <v>6.6299999999999998E-2</v>
      </c>
      <c r="E1671" s="234" t="s">
        <v>111</v>
      </c>
      <c r="F1671" s="297" t="s">
        <v>797</v>
      </c>
    </row>
    <row r="1672" spans="1:6" x14ac:dyDescent="0.15">
      <c r="B1672" s="233" t="s">
        <v>798</v>
      </c>
      <c r="D1672" s="247">
        <f>D1670*(1+D1671)</f>
        <v>408.31891901319119</v>
      </c>
      <c r="E1672" s="234" t="s">
        <v>816</v>
      </c>
    </row>
    <row r="1673" spans="1:6" ht="14" x14ac:dyDescent="0.15">
      <c r="B1673" s="233" t="s">
        <v>197</v>
      </c>
      <c r="C1673" s="229"/>
      <c r="D1673" s="237">
        <f>'Commercial Viability'!F36</f>
        <v>7.2341049543986973</v>
      </c>
      <c r="E1673" s="234" t="s">
        <v>199</v>
      </c>
      <c r="F1673" s="296" t="s">
        <v>950</v>
      </c>
    </row>
    <row r="1674" spans="1:6" x14ac:dyDescent="0.15">
      <c r="B1674" s="233" t="s">
        <v>196</v>
      </c>
      <c r="C1674" s="229"/>
    </row>
    <row r="1675" spans="1:6" ht="14" x14ac:dyDescent="0.15">
      <c r="A1675" s="250"/>
      <c r="B1675" s="229"/>
      <c r="C1675" s="250" t="s">
        <v>532</v>
      </c>
      <c r="D1675" s="234">
        <v>0.55000000000000004</v>
      </c>
      <c r="E1675" s="234" t="s">
        <v>531</v>
      </c>
      <c r="F1675" s="296" t="s">
        <v>59</v>
      </c>
    </row>
    <row r="1676" spans="1:6" ht="14" x14ac:dyDescent="0.15">
      <c r="A1676" s="250"/>
      <c r="B1676" s="229"/>
      <c r="C1676" s="250" t="s">
        <v>533</v>
      </c>
      <c r="D1676" s="254">
        <v>467000</v>
      </c>
      <c r="E1676" s="234" t="s">
        <v>281</v>
      </c>
      <c r="F1676" s="296" t="s">
        <v>517</v>
      </c>
    </row>
    <row r="1677" spans="1:6" ht="14" x14ac:dyDescent="0.15">
      <c r="A1677" s="250"/>
      <c r="B1677" s="229"/>
      <c r="C1677" s="250" t="s">
        <v>533</v>
      </c>
      <c r="D1677" s="254">
        <f>D1676/D1605/D1610</f>
        <v>296.16945712836116</v>
      </c>
      <c r="E1677" s="234" t="s">
        <v>199</v>
      </c>
      <c r="F1677" s="296" t="s">
        <v>467</v>
      </c>
    </row>
    <row r="1678" spans="1:6" ht="14" x14ac:dyDescent="0.15">
      <c r="B1678" s="233" t="s">
        <v>800</v>
      </c>
      <c r="D1678" s="260">
        <v>6.6299999999999998E-2</v>
      </c>
      <c r="E1678" s="234" t="s">
        <v>111</v>
      </c>
      <c r="F1678" s="297" t="s">
        <v>797</v>
      </c>
    </row>
    <row r="1679" spans="1:6" x14ac:dyDescent="0.15">
      <c r="B1679" s="233" t="s">
        <v>809</v>
      </c>
      <c r="D1679" s="247">
        <f>D1677*(1+D1678)</f>
        <v>315.80549213597152</v>
      </c>
      <c r="E1679" s="234" t="s">
        <v>816</v>
      </c>
    </row>
    <row r="1680" spans="1:6" ht="14" x14ac:dyDescent="0.15">
      <c r="B1680" s="233" t="s">
        <v>195</v>
      </c>
      <c r="C1680" s="229"/>
      <c r="D1680" s="244">
        <f>'Commercial Viability'!H36</f>
        <v>-99.747531831618346</v>
      </c>
      <c r="E1680" s="234" t="s">
        <v>199</v>
      </c>
      <c r="F1680" s="296" t="s">
        <v>951</v>
      </c>
    </row>
    <row r="1681" spans="1:6" x14ac:dyDescent="0.15">
      <c r="A1681" s="232" t="s">
        <v>201</v>
      </c>
      <c r="C1681" s="229"/>
    </row>
    <row r="1682" spans="1:6" ht="28" x14ac:dyDescent="0.15">
      <c r="B1682" s="233" t="s">
        <v>6</v>
      </c>
      <c r="D1682" s="235">
        <v>7</v>
      </c>
      <c r="F1682" s="296" t="s">
        <v>326</v>
      </c>
    </row>
    <row r="1684" spans="1:6" s="228" customFormat="1" x14ac:dyDescent="0.15">
      <c r="A1684" s="225" t="s">
        <v>999</v>
      </c>
      <c r="B1684" s="226"/>
      <c r="C1684" s="226"/>
      <c r="D1684" s="227"/>
      <c r="E1684" s="227"/>
      <c r="F1684" s="294"/>
    </row>
    <row r="1685" spans="1:6" ht="14" x14ac:dyDescent="0.15">
      <c r="B1685" s="230" t="s">
        <v>171</v>
      </c>
      <c r="C1685" s="230"/>
      <c r="D1685" s="231" t="s">
        <v>170</v>
      </c>
      <c r="E1685" s="231" t="s">
        <v>169</v>
      </c>
      <c r="F1685" s="295" t="s">
        <v>168</v>
      </c>
    </row>
    <row r="1686" spans="1:6" ht="14" x14ac:dyDescent="0.15">
      <c r="A1686" s="250"/>
      <c r="B1686" s="250" t="s">
        <v>268</v>
      </c>
      <c r="D1686" s="234">
        <v>365</v>
      </c>
      <c r="E1686" s="234" t="s">
        <v>414</v>
      </c>
      <c r="F1686" s="296" t="s">
        <v>87</v>
      </c>
    </row>
    <row r="1687" spans="1:6" ht="14" x14ac:dyDescent="0.15">
      <c r="A1687" s="250"/>
      <c r="B1687" s="250" t="s">
        <v>512</v>
      </c>
      <c r="D1687" s="234">
        <v>0.9</v>
      </c>
      <c r="E1687" s="234" t="s">
        <v>172</v>
      </c>
      <c r="F1687" s="296" t="s">
        <v>508</v>
      </c>
    </row>
    <row r="1688" spans="1:6" ht="14" x14ac:dyDescent="0.15">
      <c r="A1688" s="250"/>
      <c r="B1688" s="250" t="s">
        <v>513</v>
      </c>
      <c r="D1688" s="234">
        <f>D1686*D1687</f>
        <v>328.5</v>
      </c>
      <c r="E1688" s="234" t="s">
        <v>414</v>
      </c>
      <c r="F1688" s="296" t="s">
        <v>509</v>
      </c>
    </row>
    <row r="1689" spans="1:6" x14ac:dyDescent="0.15">
      <c r="A1689" s="250"/>
      <c r="B1689" s="250" t="s">
        <v>476</v>
      </c>
      <c r="D1689" s="234">
        <v>24</v>
      </c>
      <c r="E1689" s="234" t="s">
        <v>413</v>
      </c>
    </row>
    <row r="1690" spans="1:6" ht="14" x14ac:dyDescent="0.15">
      <c r="A1690" s="250"/>
      <c r="B1690" s="250" t="s">
        <v>514</v>
      </c>
      <c r="D1690" s="234">
        <v>1000</v>
      </c>
      <c r="E1690" s="234" t="s">
        <v>501</v>
      </c>
      <c r="F1690" s="296" t="s">
        <v>510</v>
      </c>
    </row>
    <row r="1691" spans="1:6" ht="14" x14ac:dyDescent="0.15">
      <c r="A1691" s="250"/>
      <c r="B1691" s="250" t="s">
        <v>552</v>
      </c>
      <c r="D1691" s="255">
        <v>0.2</v>
      </c>
      <c r="E1691" s="234" t="s">
        <v>111</v>
      </c>
      <c r="F1691" s="296" t="s">
        <v>510</v>
      </c>
    </row>
    <row r="1692" spans="1:6" ht="14" x14ac:dyDescent="0.15">
      <c r="A1692" s="250"/>
      <c r="B1692" s="250" t="s">
        <v>515</v>
      </c>
      <c r="D1692" s="234">
        <f>D1690*D1691</f>
        <v>200</v>
      </c>
      <c r="E1692" s="234" t="s">
        <v>511</v>
      </c>
      <c r="F1692" s="296" t="s">
        <v>510</v>
      </c>
    </row>
    <row r="1693" spans="1:6" ht="14" x14ac:dyDescent="0.15">
      <c r="A1693" s="250"/>
      <c r="B1693" s="250" t="s">
        <v>515</v>
      </c>
      <c r="D1693" s="234">
        <f>D1692/1000*D1689</f>
        <v>4.8000000000000007</v>
      </c>
      <c r="E1693" s="234" t="s">
        <v>461</v>
      </c>
      <c r="F1693" s="296" t="s">
        <v>467</v>
      </c>
    </row>
    <row r="1694" spans="1:6" x14ac:dyDescent="0.15">
      <c r="A1694" s="232" t="s">
        <v>167</v>
      </c>
    </row>
    <row r="1695" spans="1:6" ht="14" x14ac:dyDescent="0.15">
      <c r="A1695" s="250"/>
      <c r="B1695" s="250" t="s">
        <v>502</v>
      </c>
      <c r="C1695" s="259"/>
      <c r="D1695" s="251">
        <v>25.11</v>
      </c>
      <c r="E1695" s="234" t="s">
        <v>501</v>
      </c>
      <c r="F1695" s="296" t="s">
        <v>516</v>
      </c>
    </row>
    <row r="1696" spans="1:6" ht="14" x14ac:dyDescent="0.15">
      <c r="B1696" s="250" t="s">
        <v>492</v>
      </c>
      <c r="D1696" s="256">
        <f>D1695/D1692</f>
        <v>0.12554999999999999</v>
      </c>
      <c r="E1696" s="234" t="s">
        <v>111</v>
      </c>
      <c r="F1696" s="296" t="s">
        <v>499</v>
      </c>
    </row>
    <row r="1697" spans="1:6" ht="17" x14ac:dyDescent="0.25">
      <c r="B1697" s="233" t="s">
        <v>956</v>
      </c>
      <c r="D1697" s="236">
        <v>0</v>
      </c>
      <c r="E1697" s="234" t="s">
        <v>111</v>
      </c>
      <c r="F1697" s="296" t="s">
        <v>516</v>
      </c>
    </row>
    <row r="1698" spans="1:6" ht="17" x14ac:dyDescent="0.25">
      <c r="B1698" s="233" t="s">
        <v>957</v>
      </c>
      <c r="D1698" s="237">
        <f>'Energy Balance'!Q36</f>
        <v>0.12554999999999999</v>
      </c>
      <c r="E1698" s="234" t="s">
        <v>172</v>
      </c>
      <c r="F1698" s="296" t="s">
        <v>173</v>
      </c>
    </row>
    <row r="1699" spans="1:6" x14ac:dyDescent="0.15">
      <c r="A1699" s="232" t="s">
        <v>174</v>
      </c>
    </row>
    <row r="1700" spans="1:6" ht="17" x14ac:dyDescent="0.25">
      <c r="B1700" s="233" t="s">
        <v>958</v>
      </c>
    </row>
    <row r="1701" spans="1:6" ht="14" x14ac:dyDescent="0.15">
      <c r="A1701" s="250"/>
      <c r="B1701" s="229"/>
      <c r="C1701" s="250" t="s">
        <v>763</v>
      </c>
      <c r="D1701" s="254">
        <v>14300</v>
      </c>
      <c r="E1701" s="234" t="s">
        <v>281</v>
      </c>
      <c r="F1701" s="296" t="s">
        <v>517</v>
      </c>
    </row>
    <row r="1702" spans="1:6" ht="14" x14ac:dyDescent="0.15">
      <c r="A1702" s="250"/>
      <c r="B1702" s="229"/>
      <c r="C1702" s="250" t="s">
        <v>471</v>
      </c>
      <c r="D1702" s="251">
        <v>7.0000000000000007E-2</v>
      </c>
      <c r="E1702" s="234" t="s">
        <v>217</v>
      </c>
      <c r="F1702" s="296" t="s">
        <v>508</v>
      </c>
    </row>
    <row r="1703" spans="1:6" ht="14" x14ac:dyDescent="0.15">
      <c r="A1703" s="250"/>
      <c r="B1703" s="229"/>
      <c r="C1703" s="250" t="s">
        <v>763</v>
      </c>
      <c r="D1703" s="254">
        <f>D1701/D1702</f>
        <v>204285.71428571426</v>
      </c>
      <c r="E1703" s="234" t="s">
        <v>470</v>
      </c>
      <c r="F1703" s="296" t="s">
        <v>66</v>
      </c>
    </row>
    <row r="1704" spans="1:6" ht="14" x14ac:dyDescent="0.15">
      <c r="A1704" s="250"/>
      <c r="B1704" s="229"/>
      <c r="C1704" s="250" t="s">
        <v>763</v>
      </c>
      <c r="D1704" s="249">
        <f>D1703/D1688/D1693</f>
        <v>129.55715010509527</v>
      </c>
      <c r="E1704" s="234" t="s">
        <v>175</v>
      </c>
      <c r="F1704" s="296" t="s">
        <v>467</v>
      </c>
    </row>
    <row r="1705" spans="1:6" ht="30" x14ac:dyDescent="0.25">
      <c r="B1705" s="233" t="s">
        <v>959</v>
      </c>
      <c r="C1705" s="229"/>
      <c r="D1705" s="236">
        <v>0</v>
      </c>
      <c r="E1705" s="234" t="s">
        <v>111</v>
      </c>
      <c r="F1705" s="296" t="s">
        <v>280</v>
      </c>
    </row>
    <row r="1706" spans="1:6" ht="17" x14ac:dyDescent="0.25">
      <c r="B1706" s="233" t="s">
        <v>960</v>
      </c>
      <c r="C1706" s="229"/>
      <c r="D1706" s="236">
        <v>0</v>
      </c>
      <c r="E1706" s="234" t="s">
        <v>111</v>
      </c>
      <c r="F1706" s="296" t="s">
        <v>87</v>
      </c>
    </row>
    <row r="1707" spans="1:6" ht="17" x14ac:dyDescent="0.25">
      <c r="B1707" s="233" t="s">
        <v>961</v>
      </c>
      <c r="C1707" s="229"/>
      <c r="D1707" s="240">
        <f>'Energy Balance'!D36</f>
        <v>0</v>
      </c>
      <c r="E1707" s="234" t="s">
        <v>175</v>
      </c>
      <c r="F1707" s="296" t="s">
        <v>947</v>
      </c>
    </row>
    <row r="1708" spans="1:6" ht="17" x14ac:dyDescent="0.25">
      <c r="B1708" s="233" t="s">
        <v>962</v>
      </c>
      <c r="C1708" s="229"/>
      <c r="D1708" s="229"/>
    </row>
    <row r="1709" spans="1:6" ht="14" x14ac:dyDescent="0.15">
      <c r="A1709" s="250"/>
      <c r="B1709" s="229"/>
      <c r="C1709" s="250" t="s">
        <v>520</v>
      </c>
      <c r="D1709" s="254">
        <v>60</v>
      </c>
      <c r="E1709" s="234" t="s">
        <v>175</v>
      </c>
      <c r="F1709" s="298" t="s">
        <v>204</v>
      </c>
    </row>
    <row r="1710" spans="1:6" ht="14" x14ac:dyDescent="0.15">
      <c r="A1710" s="250"/>
      <c r="B1710" s="229"/>
      <c r="C1710" s="250" t="s">
        <v>228</v>
      </c>
      <c r="D1710" s="249">
        <f>D1709</f>
        <v>60</v>
      </c>
      <c r="E1710" s="234" t="s">
        <v>175</v>
      </c>
      <c r="F1710" s="296" t="s">
        <v>66</v>
      </c>
    </row>
    <row r="1711" spans="1:6" ht="17" x14ac:dyDescent="0.25">
      <c r="B1711" s="233" t="s">
        <v>963</v>
      </c>
      <c r="C1711" s="229"/>
    </row>
    <row r="1712" spans="1:6" ht="14" x14ac:dyDescent="0.15">
      <c r="A1712" s="250"/>
      <c r="B1712" s="229"/>
      <c r="C1712" s="250" t="s">
        <v>523</v>
      </c>
      <c r="D1712" s="254">
        <v>102</v>
      </c>
      <c r="E1712" s="234" t="s">
        <v>501</v>
      </c>
      <c r="F1712" s="296" t="s">
        <v>543</v>
      </c>
    </row>
    <row r="1713" spans="1:8" x14ac:dyDescent="0.15">
      <c r="A1713" s="250"/>
      <c r="B1713" s="229"/>
      <c r="C1713" s="250" t="s">
        <v>523</v>
      </c>
      <c r="D1713" s="255">
        <f>D1712/D1692</f>
        <v>0.51</v>
      </c>
      <c r="E1713" s="234" t="s">
        <v>272</v>
      </c>
    </row>
    <row r="1714" spans="1:8" ht="28" x14ac:dyDescent="0.15">
      <c r="A1714" s="250"/>
      <c r="B1714" s="229"/>
      <c r="C1714" s="250" t="s">
        <v>303</v>
      </c>
      <c r="D1714" s="257">
        <v>8.15</v>
      </c>
      <c r="E1714" s="234" t="s">
        <v>313</v>
      </c>
      <c r="F1714" s="298" t="s">
        <v>522</v>
      </c>
    </row>
    <row r="1715" spans="1:8" ht="28" x14ac:dyDescent="0.15">
      <c r="A1715" s="250"/>
      <c r="B1715" s="229"/>
      <c r="C1715" s="250" t="s">
        <v>308</v>
      </c>
      <c r="D1715" s="234">
        <v>124943</v>
      </c>
      <c r="E1715" s="234" t="s">
        <v>309</v>
      </c>
      <c r="F1715" s="298" t="s">
        <v>522</v>
      </c>
    </row>
    <row r="1716" spans="1:8" ht="14" x14ac:dyDescent="0.15">
      <c r="A1716" s="250"/>
      <c r="B1716" s="229"/>
      <c r="C1716" s="250" t="s">
        <v>307</v>
      </c>
      <c r="D1716" s="257">
        <f>D1715/D1714/3412*2.20462</f>
        <v>9.905560190306316</v>
      </c>
      <c r="E1716" s="234" t="s">
        <v>361</v>
      </c>
      <c r="F1716" s="296" t="s">
        <v>434</v>
      </c>
    </row>
    <row r="1717" spans="1:8" ht="14" x14ac:dyDescent="0.15">
      <c r="A1717" s="250"/>
      <c r="B1717" s="229"/>
      <c r="C1717" s="250" t="s">
        <v>306</v>
      </c>
      <c r="D1717" s="249">
        <f>D1713*D1716*1000</f>
        <v>5051.8356970562209</v>
      </c>
      <c r="E1717" s="234" t="s">
        <v>175</v>
      </c>
      <c r="F1717" s="296" t="s">
        <v>467</v>
      </c>
    </row>
    <row r="1718" spans="1:8" ht="17" x14ac:dyDescent="0.25">
      <c r="A1718" s="250"/>
      <c r="B1718" s="233" t="s">
        <v>964</v>
      </c>
      <c r="C1718" s="259"/>
      <c r="D1718" s="244">
        <f>'Energy Balance'!S36</f>
        <v>17.00135945799531</v>
      </c>
      <c r="E1718" s="234" t="s">
        <v>175</v>
      </c>
      <c r="F1718" s="296" t="s">
        <v>948</v>
      </c>
    </row>
    <row r="1719" spans="1:8" ht="17" x14ac:dyDescent="0.25">
      <c r="B1719" s="233" t="s">
        <v>965</v>
      </c>
      <c r="C1719" s="229"/>
      <c r="D1719" s="229"/>
    </row>
    <row r="1720" spans="1:8" ht="14" x14ac:dyDescent="0.15">
      <c r="A1720" s="250"/>
      <c r="B1720" s="229"/>
      <c r="C1720" s="250" t="s">
        <v>525</v>
      </c>
      <c r="D1720" s="254">
        <v>10800</v>
      </c>
      <c r="E1720" s="234" t="s">
        <v>281</v>
      </c>
      <c r="F1720" s="296" t="s">
        <v>517</v>
      </c>
    </row>
    <row r="1721" spans="1:8" ht="14" x14ac:dyDescent="0.15">
      <c r="A1721" s="250"/>
      <c r="B1721" s="229"/>
      <c r="C1721" s="250" t="s">
        <v>526</v>
      </c>
      <c r="D1721" s="234">
        <v>0.01</v>
      </c>
      <c r="E1721" s="234" t="s">
        <v>217</v>
      </c>
      <c r="F1721" s="296" t="s">
        <v>508</v>
      </c>
    </row>
    <row r="1722" spans="1:8" ht="14" x14ac:dyDescent="0.15">
      <c r="A1722" s="250"/>
      <c r="B1722" s="229"/>
      <c r="C1722" s="250" t="s">
        <v>527</v>
      </c>
      <c r="D1722" s="254">
        <f>D1720/D1721</f>
        <v>1080000</v>
      </c>
      <c r="E1722" s="234" t="s">
        <v>470</v>
      </c>
      <c r="F1722" s="296" t="s">
        <v>524</v>
      </c>
    </row>
    <row r="1723" spans="1:8" ht="14" x14ac:dyDescent="0.15">
      <c r="A1723" s="250"/>
      <c r="B1723" s="229"/>
      <c r="C1723" s="250" t="s">
        <v>527</v>
      </c>
      <c r="D1723" s="254">
        <f>D1722/D1688/D1693</f>
        <v>684.93150684931493</v>
      </c>
      <c r="E1723" s="234" t="s">
        <v>175</v>
      </c>
      <c r="F1723" s="296" t="s">
        <v>467</v>
      </c>
    </row>
    <row r="1724" spans="1:8" ht="14" x14ac:dyDescent="0.15">
      <c r="A1724" s="250"/>
      <c r="B1724" s="229"/>
      <c r="C1724" s="250" t="s">
        <v>527</v>
      </c>
      <c r="D1724" s="247">
        <f>D1723*3412/1000000</f>
        <v>2.3369863013698629</v>
      </c>
      <c r="E1724" s="234" t="s">
        <v>178</v>
      </c>
      <c r="F1724" s="296" t="s">
        <v>225</v>
      </c>
    </row>
    <row r="1725" spans="1:8" ht="17" x14ac:dyDescent="0.25">
      <c r="B1725" s="233" t="s">
        <v>966</v>
      </c>
      <c r="C1725" s="229"/>
      <c r="D1725" s="240">
        <f>'Energy Balance'!Y36</f>
        <v>4590.596688203861</v>
      </c>
      <c r="E1725" s="234" t="s">
        <v>175</v>
      </c>
      <c r="F1725" s="296" t="s">
        <v>176</v>
      </c>
    </row>
    <row r="1726" spans="1:8" ht="17" x14ac:dyDescent="0.25">
      <c r="A1726" s="232" t="s">
        <v>967</v>
      </c>
      <c r="C1726" s="229"/>
    </row>
    <row r="1727" spans="1:8" ht="17" x14ac:dyDescent="0.25">
      <c r="B1727" s="233" t="s">
        <v>968</v>
      </c>
      <c r="C1727" s="229"/>
      <c r="D1727" s="241">
        <f>GWP!P34</f>
        <v>0</v>
      </c>
      <c r="E1727" s="234" t="s">
        <v>969</v>
      </c>
      <c r="F1727" s="296" t="s">
        <v>949</v>
      </c>
    </row>
    <row r="1728" spans="1:8" ht="17" x14ac:dyDescent="0.25">
      <c r="B1728" s="233" t="s">
        <v>970</v>
      </c>
      <c r="C1728" s="229"/>
      <c r="D1728" s="235">
        <v>0</v>
      </c>
      <c r="E1728" s="234" t="s">
        <v>172</v>
      </c>
      <c r="F1728" s="296" t="s">
        <v>190</v>
      </c>
      <c r="G1728" s="234"/>
      <c r="H1728" s="234"/>
    </row>
    <row r="1729" spans="1:8" ht="17" x14ac:dyDescent="0.25">
      <c r="B1729" s="233" t="s">
        <v>971</v>
      </c>
      <c r="C1729" s="229"/>
      <c r="D1729" s="244">
        <f>GWP!R34</f>
        <v>0</v>
      </c>
      <c r="E1729" s="234" t="s">
        <v>969</v>
      </c>
      <c r="F1729" s="296" t="s">
        <v>193</v>
      </c>
    </row>
    <row r="1730" spans="1:8" ht="17" x14ac:dyDescent="0.25">
      <c r="B1730" s="233" t="s">
        <v>972</v>
      </c>
      <c r="C1730" s="229"/>
      <c r="D1730" s="235">
        <v>0</v>
      </c>
      <c r="E1730" s="234" t="s">
        <v>172</v>
      </c>
      <c r="F1730" s="296" t="s">
        <v>192</v>
      </c>
      <c r="G1730" s="234"/>
      <c r="H1730" s="234"/>
    </row>
    <row r="1731" spans="1:8" ht="17" x14ac:dyDescent="0.25">
      <c r="B1731" s="233" t="s">
        <v>973</v>
      </c>
      <c r="C1731" s="229"/>
      <c r="D1731" s="243">
        <f>GWP!T34</f>
        <v>0</v>
      </c>
      <c r="E1731" s="234" t="s">
        <v>969</v>
      </c>
      <c r="F1731" s="296" t="s">
        <v>919</v>
      </c>
    </row>
    <row r="1732" spans="1:8" ht="17" x14ac:dyDescent="0.25">
      <c r="B1732" s="233" t="s">
        <v>974</v>
      </c>
      <c r="C1732" s="229"/>
      <c r="D1732" s="244">
        <f>GWP!Z34</f>
        <v>1611.5355873609344</v>
      </c>
      <c r="E1732" s="234" t="s">
        <v>969</v>
      </c>
      <c r="F1732" s="296" t="s">
        <v>200</v>
      </c>
      <c r="G1732" s="234"/>
      <c r="H1732" s="234"/>
    </row>
    <row r="1733" spans="1:8" ht="17" x14ac:dyDescent="0.25">
      <c r="B1733" s="233" t="s">
        <v>975</v>
      </c>
      <c r="C1733" s="229"/>
      <c r="D1733" s="235">
        <v>0</v>
      </c>
      <c r="E1733" s="234" t="s">
        <v>314</v>
      </c>
      <c r="F1733" s="296" t="s">
        <v>190</v>
      </c>
    </row>
    <row r="1734" spans="1:8" ht="17" x14ac:dyDescent="0.25">
      <c r="B1734" s="233" t="s">
        <v>976</v>
      </c>
      <c r="C1734" s="229"/>
      <c r="D1734" s="244">
        <f>GWP!AB34</f>
        <v>-1335.3465299991999</v>
      </c>
      <c r="E1734" s="234" t="s">
        <v>314</v>
      </c>
      <c r="F1734" s="296" t="s">
        <v>179</v>
      </c>
    </row>
    <row r="1735" spans="1:8" x14ac:dyDescent="0.15">
      <c r="A1735" s="232" t="s">
        <v>41</v>
      </c>
      <c r="C1735" s="229"/>
    </row>
    <row r="1736" spans="1:8" ht="14" x14ac:dyDescent="0.15">
      <c r="A1736" s="250"/>
      <c r="B1736" s="229"/>
      <c r="C1736" s="250" t="s">
        <v>534</v>
      </c>
      <c r="D1736" s="254">
        <v>2600000</v>
      </c>
      <c r="E1736" s="234" t="s">
        <v>812</v>
      </c>
      <c r="F1736" s="296" t="s">
        <v>517</v>
      </c>
    </row>
    <row r="1737" spans="1:8" ht="14" x14ac:dyDescent="0.15">
      <c r="A1737" s="250"/>
      <c r="B1737" s="229"/>
      <c r="C1737" s="250" t="s">
        <v>535</v>
      </c>
      <c r="D1737" s="254">
        <v>215000</v>
      </c>
      <c r="E1737" s="234" t="s">
        <v>812</v>
      </c>
      <c r="F1737" s="296" t="s">
        <v>517</v>
      </c>
    </row>
    <row r="1738" spans="1:8" ht="14" x14ac:dyDescent="0.15">
      <c r="A1738" s="250"/>
      <c r="B1738" s="229"/>
      <c r="C1738" s="250" t="s">
        <v>546</v>
      </c>
      <c r="D1738" s="254">
        <v>215000</v>
      </c>
      <c r="E1738" s="234" t="s">
        <v>812</v>
      </c>
      <c r="F1738" s="296" t="s">
        <v>517</v>
      </c>
    </row>
    <row r="1739" spans="1:8" ht="14" x14ac:dyDescent="0.15">
      <c r="A1739" s="250"/>
      <c r="B1739" s="229"/>
      <c r="C1739" s="250" t="s">
        <v>536</v>
      </c>
      <c r="D1739" s="254">
        <v>956000</v>
      </c>
      <c r="E1739" s="234" t="s">
        <v>812</v>
      </c>
      <c r="F1739" s="296" t="s">
        <v>517</v>
      </c>
    </row>
    <row r="1740" spans="1:8" ht="14" x14ac:dyDescent="0.15">
      <c r="A1740" s="250"/>
      <c r="B1740" s="229"/>
      <c r="C1740" s="250" t="s">
        <v>544</v>
      </c>
      <c r="D1740" s="254">
        <v>956000</v>
      </c>
      <c r="E1740" s="234" t="s">
        <v>812</v>
      </c>
      <c r="F1740" s="296" t="s">
        <v>517</v>
      </c>
    </row>
    <row r="1741" spans="1:8" ht="14" x14ac:dyDescent="0.15">
      <c r="A1741" s="250"/>
      <c r="B1741" s="229"/>
      <c r="C1741" s="250" t="s">
        <v>538</v>
      </c>
      <c r="D1741" s="254">
        <v>991000</v>
      </c>
      <c r="E1741" s="234" t="s">
        <v>812</v>
      </c>
      <c r="F1741" s="296" t="s">
        <v>517</v>
      </c>
    </row>
    <row r="1742" spans="1:8" ht="14" x14ac:dyDescent="0.15">
      <c r="A1742" s="250"/>
      <c r="B1742" s="229"/>
      <c r="C1742" s="250" t="s">
        <v>545</v>
      </c>
      <c r="D1742" s="254">
        <v>1160000</v>
      </c>
      <c r="E1742" s="234" t="s">
        <v>812</v>
      </c>
      <c r="F1742" s="296" t="s">
        <v>517</v>
      </c>
    </row>
    <row r="1743" spans="1:8" ht="14" x14ac:dyDescent="0.15">
      <c r="A1743" s="250"/>
      <c r="B1743" s="229"/>
      <c r="C1743" s="250" t="s">
        <v>539</v>
      </c>
      <c r="D1743" s="254">
        <v>162000</v>
      </c>
      <c r="E1743" s="234" t="s">
        <v>812</v>
      </c>
      <c r="F1743" s="296" t="s">
        <v>517</v>
      </c>
    </row>
    <row r="1744" spans="1:8" ht="14" x14ac:dyDescent="0.15">
      <c r="A1744" s="250"/>
      <c r="B1744" s="229"/>
      <c r="C1744" s="250" t="s">
        <v>540</v>
      </c>
      <c r="D1744" s="254">
        <v>40700</v>
      </c>
      <c r="E1744" s="234" t="s">
        <v>812</v>
      </c>
      <c r="F1744" s="296" t="s">
        <v>517</v>
      </c>
    </row>
    <row r="1745" spans="1:6" ht="14" x14ac:dyDescent="0.15">
      <c r="A1745" s="250"/>
      <c r="B1745" s="229"/>
      <c r="C1745" s="250" t="s">
        <v>207</v>
      </c>
      <c r="D1745" s="254">
        <f>SUM(D1736:D1744)</f>
        <v>7295700</v>
      </c>
      <c r="E1745" s="234" t="s">
        <v>812</v>
      </c>
      <c r="F1745" s="296" t="s">
        <v>66</v>
      </c>
    </row>
    <row r="1746" spans="1:6" ht="14" x14ac:dyDescent="0.15">
      <c r="A1746" s="250"/>
      <c r="B1746" s="229"/>
      <c r="C1746" s="250" t="s">
        <v>207</v>
      </c>
      <c r="D1746" s="254">
        <f>D1745/D1693</f>
        <v>1519937.4999999998</v>
      </c>
      <c r="E1746" s="234" t="s">
        <v>811</v>
      </c>
      <c r="F1746" s="296" t="s">
        <v>467</v>
      </c>
    </row>
    <row r="1747" spans="1:6" ht="14" x14ac:dyDescent="0.15">
      <c r="B1747" s="233" t="s">
        <v>800</v>
      </c>
      <c r="D1747" s="260">
        <v>6.6299999999999998E-2</v>
      </c>
      <c r="E1747" s="234" t="s">
        <v>111</v>
      </c>
      <c r="F1747" s="297" t="s">
        <v>797</v>
      </c>
    </row>
    <row r="1748" spans="1:6" x14ac:dyDescent="0.15">
      <c r="B1748" s="233" t="s">
        <v>799</v>
      </c>
      <c r="D1748" s="242">
        <f>D1746*(1+D1747)</f>
        <v>1620709.3562499997</v>
      </c>
      <c r="E1748" s="234" t="s">
        <v>404</v>
      </c>
      <c r="F1748" s="297"/>
    </row>
    <row r="1749" spans="1:6" x14ac:dyDescent="0.15">
      <c r="A1749" s="232" t="s">
        <v>195</v>
      </c>
      <c r="C1749" s="229"/>
    </row>
    <row r="1750" spans="1:6" x14ac:dyDescent="0.15">
      <c r="B1750" s="233" t="s">
        <v>42</v>
      </c>
      <c r="C1750" s="229"/>
    </row>
    <row r="1751" spans="1:6" ht="14" x14ac:dyDescent="0.15">
      <c r="A1751" s="250"/>
      <c r="B1751" s="229"/>
      <c r="C1751" s="250" t="s">
        <v>519</v>
      </c>
      <c r="D1751" s="254">
        <v>0</v>
      </c>
      <c r="E1751" s="234" t="s">
        <v>281</v>
      </c>
      <c r="F1751" s="296" t="s">
        <v>517</v>
      </c>
    </row>
    <row r="1752" spans="1:6" ht="14" x14ac:dyDescent="0.15">
      <c r="A1752" s="250"/>
      <c r="B1752" s="229"/>
      <c r="C1752" s="250" t="s">
        <v>525</v>
      </c>
      <c r="D1752" s="254">
        <v>10800</v>
      </c>
      <c r="E1752" s="234" t="s">
        <v>281</v>
      </c>
      <c r="F1752" s="296" t="s">
        <v>517</v>
      </c>
    </row>
    <row r="1753" spans="1:6" ht="14" x14ac:dyDescent="0.15">
      <c r="A1753" s="250"/>
      <c r="B1753" s="229"/>
      <c r="C1753" s="250" t="s">
        <v>541</v>
      </c>
      <c r="D1753" s="254">
        <v>365000</v>
      </c>
      <c r="E1753" s="234" t="s">
        <v>281</v>
      </c>
      <c r="F1753" s="296" t="s">
        <v>517</v>
      </c>
    </row>
    <row r="1754" spans="1:6" ht="14" x14ac:dyDescent="0.15">
      <c r="A1754" s="250"/>
      <c r="B1754" s="229"/>
      <c r="C1754" s="250" t="s">
        <v>542</v>
      </c>
      <c r="D1754" s="254">
        <v>730000</v>
      </c>
      <c r="E1754" s="234" t="s">
        <v>281</v>
      </c>
      <c r="F1754" s="296" t="s">
        <v>517</v>
      </c>
    </row>
    <row r="1755" spans="1:6" ht="14" x14ac:dyDescent="0.15">
      <c r="A1755" s="250"/>
      <c r="B1755" s="229"/>
      <c r="C1755" s="250" t="s">
        <v>210</v>
      </c>
      <c r="D1755" s="254">
        <f>SUM(D1751:D1754)</f>
        <v>1105800</v>
      </c>
      <c r="E1755" s="254" t="s">
        <v>281</v>
      </c>
      <c r="F1755" s="296" t="s">
        <v>66</v>
      </c>
    </row>
    <row r="1756" spans="1:6" ht="14" x14ac:dyDescent="0.15">
      <c r="A1756" s="250"/>
      <c r="B1756" s="229"/>
      <c r="C1756" s="250" t="s">
        <v>210</v>
      </c>
      <c r="D1756" s="254">
        <f>D1755/D1688/D1693</f>
        <v>701.29375951293753</v>
      </c>
      <c r="E1756" s="234" t="s">
        <v>218</v>
      </c>
      <c r="F1756" s="296" t="s">
        <v>467</v>
      </c>
    </row>
    <row r="1757" spans="1:6" ht="14" x14ac:dyDescent="0.15">
      <c r="B1757" s="233" t="s">
        <v>800</v>
      </c>
      <c r="D1757" s="260">
        <v>6.6299999999999998E-2</v>
      </c>
      <c r="E1757" s="234" t="s">
        <v>111</v>
      </c>
      <c r="F1757" s="297" t="s">
        <v>797</v>
      </c>
    </row>
    <row r="1758" spans="1:6" x14ac:dyDescent="0.15">
      <c r="B1758" s="233" t="s">
        <v>798</v>
      </c>
      <c r="D1758" s="247">
        <f>D1756*(1+D1757)</f>
        <v>747.78953576864535</v>
      </c>
      <c r="E1758" s="234" t="s">
        <v>816</v>
      </c>
    </row>
    <row r="1759" spans="1:6" ht="14" x14ac:dyDescent="0.15">
      <c r="B1759" s="233" t="s">
        <v>197</v>
      </c>
      <c r="C1759" s="229"/>
      <c r="D1759" s="237">
        <f>'Commercial Viability'!F37</f>
        <v>7.2341049543986973</v>
      </c>
      <c r="E1759" s="234" t="s">
        <v>199</v>
      </c>
      <c r="F1759" s="296" t="s">
        <v>950</v>
      </c>
    </row>
    <row r="1760" spans="1:6" x14ac:dyDescent="0.15">
      <c r="B1760" s="233" t="s">
        <v>196</v>
      </c>
      <c r="C1760" s="229"/>
    </row>
    <row r="1761" spans="1:6" ht="14" x14ac:dyDescent="0.15">
      <c r="A1761" s="250"/>
      <c r="B1761" s="229"/>
      <c r="C1761" s="250" t="s">
        <v>532</v>
      </c>
      <c r="D1761" s="234">
        <v>0.55000000000000004</v>
      </c>
      <c r="E1761" s="234" t="s">
        <v>531</v>
      </c>
      <c r="F1761" s="296" t="s">
        <v>59</v>
      </c>
    </row>
    <row r="1762" spans="1:6" ht="14" x14ac:dyDescent="0.15">
      <c r="A1762" s="250"/>
      <c r="B1762" s="229"/>
      <c r="C1762" s="250" t="s">
        <v>533</v>
      </c>
      <c r="D1762" s="254">
        <v>467000</v>
      </c>
      <c r="E1762" s="234" t="s">
        <v>281</v>
      </c>
      <c r="F1762" s="296" t="s">
        <v>517</v>
      </c>
    </row>
    <row r="1763" spans="1:6" ht="14" x14ac:dyDescent="0.15">
      <c r="A1763" s="250"/>
      <c r="B1763" s="229"/>
      <c r="C1763" s="250" t="s">
        <v>547</v>
      </c>
      <c r="D1763" s="254">
        <v>14300</v>
      </c>
      <c r="E1763" s="234" t="s">
        <v>281</v>
      </c>
      <c r="F1763" s="296" t="s">
        <v>517</v>
      </c>
    </row>
    <row r="1764" spans="1:6" ht="14" x14ac:dyDescent="0.15">
      <c r="A1764" s="250"/>
      <c r="B1764" s="229"/>
      <c r="C1764" s="250" t="s">
        <v>549</v>
      </c>
      <c r="D1764" s="254">
        <f>SUM(D1762:D1763)</f>
        <v>481300</v>
      </c>
      <c r="E1764" s="234" t="s">
        <v>281</v>
      </c>
      <c r="F1764" s="296" t="s">
        <v>66</v>
      </c>
    </row>
    <row r="1765" spans="1:6" ht="14" x14ac:dyDescent="0.15">
      <c r="A1765" s="250"/>
      <c r="B1765" s="229"/>
      <c r="C1765" s="250" t="s">
        <v>548</v>
      </c>
      <c r="D1765" s="254">
        <f>D1764/D1688/D1693</f>
        <v>305.23845763571785</v>
      </c>
      <c r="E1765" s="234" t="s">
        <v>199</v>
      </c>
      <c r="F1765" s="296" t="s">
        <v>467</v>
      </c>
    </row>
    <row r="1766" spans="1:6" ht="14" x14ac:dyDescent="0.15">
      <c r="B1766" s="233" t="s">
        <v>800</v>
      </c>
      <c r="D1766" s="260">
        <v>6.6299999999999998E-2</v>
      </c>
      <c r="E1766" s="234" t="s">
        <v>111</v>
      </c>
      <c r="F1766" s="297" t="s">
        <v>797</v>
      </c>
    </row>
    <row r="1767" spans="1:6" x14ac:dyDescent="0.15">
      <c r="B1767" s="233" t="s">
        <v>809</v>
      </c>
      <c r="D1767" s="247">
        <f>D1765*(1+D1766)</f>
        <v>325.47576737696596</v>
      </c>
      <c r="E1767" s="234" t="s">
        <v>816</v>
      </c>
    </row>
    <row r="1768" spans="1:6" ht="14" x14ac:dyDescent="0.15">
      <c r="B1768" s="233" t="s">
        <v>195</v>
      </c>
      <c r="C1768" s="229"/>
      <c r="D1768" s="244">
        <f>'Commercial Viability'!H37</f>
        <v>-429.54787334607806</v>
      </c>
      <c r="E1768" s="234" t="s">
        <v>199</v>
      </c>
      <c r="F1768" s="296" t="s">
        <v>951</v>
      </c>
    </row>
    <row r="1769" spans="1:6" x14ac:dyDescent="0.15">
      <c r="A1769" s="232" t="s">
        <v>201</v>
      </c>
      <c r="C1769" s="229"/>
    </row>
    <row r="1770" spans="1:6" ht="28" x14ac:dyDescent="0.15">
      <c r="B1770" s="233" t="s">
        <v>6</v>
      </c>
      <c r="D1770" s="235">
        <v>6</v>
      </c>
      <c r="F1770" s="296" t="s">
        <v>550</v>
      </c>
    </row>
    <row r="1772" spans="1:6" s="228" customFormat="1" x14ac:dyDescent="0.15">
      <c r="A1772" s="225" t="s">
        <v>1000</v>
      </c>
      <c r="B1772" s="226"/>
      <c r="C1772" s="226"/>
      <c r="D1772" s="227"/>
      <c r="E1772" s="227"/>
      <c r="F1772" s="294"/>
    </row>
    <row r="1773" spans="1:6" ht="14" x14ac:dyDescent="0.15">
      <c r="B1773" s="230" t="s">
        <v>171</v>
      </c>
      <c r="C1773" s="230"/>
      <c r="D1773" s="231" t="s">
        <v>170</v>
      </c>
      <c r="E1773" s="231" t="s">
        <v>169</v>
      </c>
      <c r="F1773" s="295" t="s">
        <v>168</v>
      </c>
    </row>
    <row r="1774" spans="1:6" ht="14" x14ac:dyDescent="0.15">
      <c r="A1774" s="250"/>
      <c r="B1774" s="250" t="s">
        <v>268</v>
      </c>
      <c r="D1774" s="234">
        <v>365</v>
      </c>
      <c r="E1774" s="234" t="s">
        <v>414</v>
      </c>
      <c r="F1774" s="296" t="s">
        <v>87</v>
      </c>
    </row>
    <row r="1775" spans="1:6" ht="14" x14ac:dyDescent="0.15">
      <c r="A1775" s="250"/>
      <c r="B1775" s="250" t="s">
        <v>512</v>
      </c>
      <c r="D1775" s="234">
        <v>0.9</v>
      </c>
      <c r="E1775" s="234" t="s">
        <v>172</v>
      </c>
      <c r="F1775" s="296" t="s">
        <v>508</v>
      </c>
    </row>
    <row r="1776" spans="1:6" ht="14" x14ac:dyDescent="0.15">
      <c r="A1776" s="250"/>
      <c r="B1776" s="250" t="s">
        <v>513</v>
      </c>
      <c r="D1776" s="234">
        <f>D1774*D1775</f>
        <v>328.5</v>
      </c>
      <c r="E1776" s="234" t="s">
        <v>414</v>
      </c>
      <c r="F1776" s="296" t="s">
        <v>509</v>
      </c>
    </row>
    <row r="1777" spans="1:6" x14ac:dyDescent="0.15">
      <c r="A1777" s="250"/>
      <c r="B1777" s="250" t="s">
        <v>476</v>
      </c>
      <c r="D1777" s="234">
        <v>24</v>
      </c>
      <c r="E1777" s="234" t="s">
        <v>413</v>
      </c>
    </row>
    <row r="1778" spans="1:6" ht="14" x14ac:dyDescent="0.15">
      <c r="A1778" s="250"/>
      <c r="B1778" s="250" t="s">
        <v>514</v>
      </c>
      <c r="D1778" s="234">
        <v>1000</v>
      </c>
      <c r="E1778" s="234" t="s">
        <v>501</v>
      </c>
      <c r="F1778" s="296" t="s">
        <v>510</v>
      </c>
    </row>
    <row r="1779" spans="1:6" ht="14" x14ac:dyDescent="0.15">
      <c r="A1779" s="250"/>
      <c r="B1779" s="250" t="s">
        <v>552</v>
      </c>
      <c r="D1779" s="255">
        <v>0.2</v>
      </c>
      <c r="E1779" s="234" t="s">
        <v>111</v>
      </c>
      <c r="F1779" s="296" t="s">
        <v>510</v>
      </c>
    </row>
    <row r="1780" spans="1:6" ht="14" x14ac:dyDescent="0.15">
      <c r="A1780" s="250"/>
      <c r="B1780" s="250" t="s">
        <v>515</v>
      </c>
      <c r="D1780" s="234">
        <f>D1778*D1779</f>
        <v>200</v>
      </c>
      <c r="E1780" s="234" t="s">
        <v>511</v>
      </c>
      <c r="F1780" s="296" t="s">
        <v>510</v>
      </c>
    </row>
    <row r="1781" spans="1:6" ht="14" x14ac:dyDescent="0.15">
      <c r="A1781" s="250"/>
      <c r="B1781" s="250" t="s">
        <v>515</v>
      </c>
      <c r="D1781" s="234">
        <f>D1780/1000*D1777</f>
        <v>4.8000000000000007</v>
      </c>
      <c r="E1781" s="234" t="s">
        <v>461</v>
      </c>
      <c r="F1781" s="296" t="s">
        <v>467</v>
      </c>
    </row>
    <row r="1782" spans="1:6" x14ac:dyDescent="0.15">
      <c r="A1782" s="232" t="s">
        <v>167</v>
      </c>
    </row>
    <row r="1783" spans="1:6" ht="14" x14ac:dyDescent="0.15">
      <c r="A1783" s="250"/>
      <c r="B1783" s="250" t="s">
        <v>502</v>
      </c>
      <c r="C1783" s="259"/>
      <c r="D1783" s="251">
        <v>25.11</v>
      </c>
      <c r="E1783" s="234" t="s">
        <v>501</v>
      </c>
      <c r="F1783" s="296" t="s">
        <v>516</v>
      </c>
    </row>
    <row r="1784" spans="1:6" ht="14" x14ac:dyDescent="0.15">
      <c r="B1784" s="250" t="s">
        <v>492</v>
      </c>
      <c r="D1784" s="256">
        <f>D1783/D1780</f>
        <v>0.12554999999999999</v>
      </c>
      <c r="E1784" s="234" t="s">
        <v>111</v>
      </c>
      <c r="F1784" s="296" t="s">
        <v>499</v>
      </c>
    </row>
    <row r="1785" spans="1:6" ht="17" x14ac:dyDescent="0.25">
      <c r="B1785" s="233" t="s">
        <v>956</v>
      </c>
      <c r="D1785" s="236">
        <v>0</v>
      </c>
      <c r="E1785" s="234" t="s">
        <v>111</v>
      </c>
      <c r="F1785" s="296" t="s">
        <v>516</v>
      </c>
    </row>
    <row r="1786" spans="1:6" ht="17" x14ac:dyDescent="0.25">
      <c r="B1786" s="233" t="s">
        <v>957</v>
      </c>
      <c r="D1786" s="237">
        <f>'Energy Balance'!Q37</f>
        <v>0.12554999999999999</v>
      </c>
      <c r="E1786" s="234" t="s">
        <v>172</v>
      </c>
      <c r="F1786" s="296" t="s">
        <v>173</v>
      </c>
    </row>
    <row r="1787" spans="1:6" x14ac:dyDescent="0.15">
      <c r="A1787" s="232" t="s">
        <v>174</v>
      </c>
    </row>
    <row r="1788" spans="1:6" ht="17" x14ac:dyDescent="0.25">
      <c r="B1788" s="233" t="s">
        <v>958</v>
      </c>
      <c r="D1788" s="235">
        <v>0</v>
      </c>
      <c r="E1788" s="234" t="s">
        <v>175</v>
      </c>
      <c r="F1788" s="296" t="s">
        <v>295</v>
      </c>
    </row>
    <row r="1789" spans="1:6" ht="30" x14ac:dyDescent="0.25">
      <c r="B1789" s="233" t="s">
        <v>959</v>
      </c>
      <c r="C1789" s="229"/>
      <c r="D1789" s="236">
        <v>0</v>
      </c>
      <c r="E1789" s="234" t="s">
        <v>111</v>
      </c>
      <c r="F1789" s="296" t="s">
        <v>280</v>
      </c>
    </row>
    <row r="1790" spans="1:6" ht="17" x14ac:dyDescent="0.25">
      <c r="B1790" s="233" t="s">
        <v>960</v>
      </c>
      <c r="C1790" s="229"/>
      <c r="D1790" s="236">
        <v>0</v>
      </c>
      <c r="E1790" s="234" t="s">
        <v>111</v>
      </c>
      <c r="F1790" s="296" t="s">
        <v>87</v>
      </c>
    </row>
    <row r="1791" spans="1:6" ht="17" x14ac:dyDescent="0.25">
      <c r="B1791" s="233" t="s">
        <v>961</v>
      </c>
      <c r="C1791" s="229"/>
      <c r="D1791" s="240">
        <f>'Energy Balance'!D37</f>
        <v>0</v>
      </c>
      <c r="E1791" s="234" t="s">
        <v>175</v>
      </c>
      <c r="F1791" s="296" t="s">
        <v>947</v>
      </c>
    </row>
    <row r="1792" spans="1:6" ht="17" x14ac:dyDescent="0.25">
      <c r="B1792" s="233" t="s">
        <v>962</v>
      </c>
      <c r="C1792" s="229"/>
      <c r="D1792" s="229"/>
    </row>
    <row r="1793" spans="1:6" ht="14" x14ac:dyDescent="0.15">
      <c r="A1793" s="250"/>
      <c r="B1793" s="229"/>
      <c r="C1793" s="250" t="s">
        <v>519</v>
      </c>
      <c r="D1793" s="254">
        <v>17900</v>
      </c>
      <c r="E1793" s="234" t="s">
        <v>281</v>
      </c>
      <c r="F1793" s="296" t="s">
        <v>517</v>
      </c>
    </row>
    <row r="1794" spans="1:6" ht="14" x14ac:dyDescent="0.15">
      <c r="A1794" s="250"/>
      <c r="B1794" s="229"/>
      <c r="C1794" s="250" t="s">
        <v>471</v>
      </c>
      <c r="D1794" s="251">
        <v>7.0000000000000007E-2</v>
      </c>
      <c r="E1794" s="234" t="s">
        <v>217</v>
      </c>
      <c r="F1794" s="296" t="s">
        <v>508</v>
      </c>
    </row>
    <row r="1795" spans="1:6" ht="14" x14ac:dyDescent="0.15">
      <c r="A1795" s="250"/>
      <c r="B1795" s="229"/>
      <c r="C1795" s="250" t="s">
        <v>519</v>
      </c>
      <c r="D1795" s="254">
        <f>D1793/D1794</f>
        <v>255714.28571428568</v>
      </c>
      <c r="E1795" s="234" t="s">
        <v>470</v>
      </c>
      <c r="F1795" s="296" t="s">
        <v>66</v>
      </c>
    </row>
    <row r="1796" spans="1:6" ht="14" x14ac:dyDescent="0.15">
      <c r="A1796" s="250"/>
      <c r="B1796" s="229"/>
      <c r="C1796" s="250" t="s">
        <v>519</v>
      </c>
      <c r="D1796" s="254">
        <f>D1795/D1776/D1781</f>
        <v>162.17293614553884</v>
      </c>
      <c r="E1796" s="234" t="s">
        <v>175</v>
      </c>
      <c r="F1796" s="296" t="s">
        <v>467</v>
      </c>
    </row>
    <row r="1797" spans="1:6" ht="14" x14ac:dyDescent="0.15">
      <c r="A1797" s="250"/>
      <c r="B1797" s="229"/>
      <c r="C1797" s="250" t="s">
        <v>520</v>
      </c>
      <c r="D1797" s="254">
        <v>60</v>
      </c>
      <c r="E1797" s="234" t="s">
        <v>175</v>
      </c>
      <c r="F1797" s="298" t="s">
        <v>204</v>
      </c>
    </row>
    <row r="1798" spans="1:6" ht="14" x14ac:dyDescent="0.15">
      <c r="A1798" s="250"/>
      <c r="B1798" s="229"/>
      <c r="C1798" s="250" t="s">
        <v>228</v>
      </c>
      <c r="D1798" s="249">
        <f>D1796+D1797</f>
        <v>222.17293614553884</v>
      </c>
      <c r="E1798" s="234" t="s">
        <v>175</v>
      </c>
      <c r="F1798" s="296" t="s">
        <v>66</v>
      </c>
    </row>
    <row r="1799" spans="1:6" ht="17" x14ac:dyDescent="0.25">
      <c r="B1799" s="233" t="s">
        <v>963</v>
      </c>
      <c r="C1799" s="229"/>
    </row>
    <row r="1800" spans="1:6" ht="14" x14ac:dyDescent="0.15">
      <c r="A1800" s="250"/>
      <c r="B1800" s="229"/>
      <c r="C1800" s="250" t="s">
        <v>523</v>
      </c>
      <c r="D1800" s="254">
        <v>102</v>
      </c>
      <c r="E1800" s="234" t="s">
        <v>501</v>
      </c>
      <c r="F1800" s="296" t="s">
        <v>521</v>
      </c>
    </row>
    <row r="1801" spans="1:6" x14ac:dyDescent="0.15">
      <c r="A1801" s="250"/>
      <c r="B1801" s="229"/>
      <c r="C1801" s="250" t="s">
        <v>523</v>
      </c>
      <c r="D1801" s="255">
        <f>D1800/D1780</f>
        <v>0.51</v>
      </c>
      <c r="E1801" s="234" t="s">
        <v>272</v>
      </c>
    </row>
    <row r="1802" spans="1:6" ht="28" x14ac:dyDescent="0.15">
      <c r="A1802" s="250"/>
      <c r="B1802" s="229"/>
      <c r="C1802" s="250" t="s">
        <v>303</v>
      </c>
      <c r="D1802" s="257">
        <v>8.15</v>
      </c>
      <c r="E1802" s="234" t="s">
        <v>313</v>
      </c>
      <c r="F1802" s="298" t="s">
        <v>522</v>
      </c>
    </row>
    <row r="1803" spans="1:6" ht="28" x14ac:dyDescent="0.15">
      <c r="A1803" s="250"/>
      <c r="B1803" s="229"/>
      <c r="C1803" s="250" t="s">
        <v>308</v>
      </c>
      <c r="D1803" s="234">
        <v>124943</v>
      </c>
      <c r="E1803" s="234" t="s">
        <v>309</v>
      </c>
      <c r="F1803" s="298" t="s">
        <v>522</v>
      </c>
    </row>
    <row r="1804" spans="1:6" ht="14" x14ac:dyDescent="0.15">
      <c r="A1804" s="250"/>
      <c r="B1804" s="229"/>
      <c r="C1804" s="250" t="s">
        <v>307</v>
      </c>
      <c r="D1804" s="257">
        <f>D1803/D1802/3412*2.20462</f>
        <v>9.905560190306316</v>
      </c>
      <c r="E1804" s="234" t="s">
        <v>361</v>
      </c>
      <c r="F1804" s="296" t="s">
        <v>434</v>
      </c>
    </row>
    <row r="1805" spans="1:6" ht="14" x14ac:dyDescent="0.15">
      <c r="A1805" s="250"/>
      <c r="B1805" s="229"/>
      <c r="C1805" s="250" t="s">
        <v>306</v>
      </c>
      <c r="D1805" s="249">
        <f>D1801*D1804*1000</f>
        <v>5051.8356970562209</v>
      </c>
      <c r="E1805" s="234" t="s">
        <v>175</v>
      </c>
      <c r="F1805" s="296" t="s">
        <v>467</v>
      </c>
    </row>
    <row r="1806" spans="1:6" ht="17" x14ac:dyDescent="0.25">
      <c r="A1806" s="250"/>
      <c r="B1806" s="233" t="s">
        <v>964</v>
      </c>
      <c r="C1806" s="259"/>
      <c r="D1806" s="244">
        <f>'Energy Balance'!S37</f>
        <v>17.00135945799531</v>
      </c>
      <c r="E1806" s="234" t="s">
        <v>175</v>
      </c>
      <c r="F1806" s="296" t="s">
        <v>948</v>
      </c>
    </row>
    <row r="1807" spans="1:6" ht="17" x14ac:dyDescent="0.25">
      <c r="B1807" s="233" t="s">
        <v>965</v>
      </c>
      <c r="C1807" s="229"/>
      <c r="D1807" s="229"/>
    </row>
    <row r="1808" spans="1:6" ht="14" x14ac:dyDescent="0.15">
      <c r="A1808" s="250"/>
      <c r="B1808" s="229"/>
      <c r="C1808" s="250" t="s">
        <v>525</v>
      </c>
      <c r="D1808" s="254">
        <v>0</v>
      </c>
      <c r="E1808" s="234" t="s">
        <v>281</v>
      </c>
      <c r="F1808" s="296" t="s">
        <v>517</v>
      </c>
    </row>
    <row r="1809" spans="1:8" ht="14" x14ac:dyDescent="0.15">
      <c r="A1809" s="250"/>
      <c r="B1809" s="229"/>
      <c r="C1809" s="250" t="s">
        <v>526</v>
      </c>
      <c r="D1809" s="234">
        <v>0.01</v>
      </c>
      <c r="E1809" s="234" t="s">
        <v>217</v>
      </c>
      <c r="F1809" s="296" t="s">
        <v>508</v>
      </c>
    </row>
    <row r="1810" spans="1:8" ht="14" x14ac:dyDescent="0.15">
      <c r="A1810" s="250"/>
      <c r="B1810" s="229"/>
      <c r="C1810" s="250" t="s">
        <v>527</v>
      </c>
      <c r="D1810" s="254">
        <f>D1808/D1809</f>
        <v>0</v>
      </c>
      <c r="E1810" s="234" t="s">
        <v>470</v>
      </c>
      <c r="F1810" s="296" t="s">
        <v>524</v>
      </c>
    </row>
    <row r="1811" spans="1:8" ht="14" x14ac:dyDescent="0.15">
      <c r="A1811" s="250"/>
      <c r="B1811" s="229"/>
      <c r="C1811" s="250" t="s">
        <v>527</v>
      </c>
      <c r="D1811" s="254">
        <f>D1810/D1776/D1781</f>
        <v>0</v>
      </c>
      <c r="E1811" s="234" t="s">
        <v>175</v>
      </c>
      <c r="F1811" s="296" t="s">
        <v>467</v>
      </c>
    </row>
    <row r="1812" spans="1:8" ht="14" x14ac:dyDescent="0.15">
      <c r="A1812" s="250"/>
      <c r="B1812" s="229"/>
      <c r="C1812" s="250" t="s">
        <v>527</v>
      </c>
      <c r="D1812" s="247">
        <f>D1811*3412/1000000</f>
        <v>0</v>
      </c>
      <c r="E1812" s="234" t="s">
        <v>178</v>
      </c>
      <c r="F1812" s="296" t="s">
        <v>225</v>
      </c>
    </row>
    <row r="1813" spans="1:8" ht="17" x14ac:dyDescent="0.25">
      <c r="B1813" s="233" t="s">
        <v>966</v>
      </c>
      <c r="C1813" s="229"/>
      <c r="D1813" s="240">
        <f>'Energy Balance'!Y37</f>
        <v>5005.9113018208964</v>
      </c>
      <c r="E1813" s="234" t="s">
        <v>175</v>
      </c>
      <c r="F1813" s="296" t="s">
        <v>176</v>
      </c>
    </row>
    <row r="1814" spans="1:8" ht="17" x14ac:dyDescent="0.25">
      <c r="A1814" s="232" t="s">
        <v>967</v>
      </c>
      <c r="C1814" s="229"/>
    </row>
    <row r="1815" spans="1:8" ht="17" x14ac:dyDescent="0.25">
      <c r="B1815" s="233" t="s">
        <v>968</v>
      </c>
      <c r="C1815" s="229"/>
      <c r="D1815" s="241">
        <f>GWP!P35</f>
        <v>0</v>
      </c>
      <c r="E1815" s="234" t="s">
        <v>969</v>
      </c>
      <c r="F1815" s="296" t="s">
        <v>949</v>
      </c>
    </row>
    <row r="1816" spans="1:8" ht="17" x14ac:dyDescent="0.25">
      <c r="B1816" s="233" t="s">
        <v>970</v>
      </c>
      <c r="C1816" s="229"/>
      <c r="D1816" s="235">
        <v>0</v>
      </c>
      <c r="E1816" s="234" t="s">
        <v>172</v>
      </c>
      <c r="F1816" s="296" t="s">
        <v>190</v>
      </c>
      <c r="G1816" s="234"/>
      <c r="H1816" s="234"/>
    </row>
    <row r="1817" spans="1:8" ht="17" x14ac:dyDescent="0.25">
      <c r="B1817" s="233" t="s">
        <v>971</v>
      </c>
      <c r="C1817" s="229"/>
      <c r="D1817" s="244">
        <f>GWP!R35</f>
        <v>0</v>
      </c>
      <c r="E1817" s="234" t="s">
        <v>969</v>
      </c>
      <c r="F1817" s="296" t="s">
        <v>193</v>
      </c>
    </row>
    <row r="1818" spans="1:8" ht="17" x14ac:dyDescent="0.25">
      <c r="B1818" s="233" t="s">
        <v>972</v>
      </c>
      <c r="C1818" s="229"/>
      <c r="D1818" s="235">
        <v>0</v>
      </c>
      <c r="E1818" s="234" t="s">
        <v>172</v>
      </c>
      <c r="F1818" s="296" t="s">
        <v>192</v>
      </c>
      <c r="G1818" s="234"/>
      <c r="H1818" s="234"/>
    </row>
    <row r="1819" spans="1:8" ht="17" x14ac:dyDescent="0.25">
      <c r="B1819" s="233" t="s">
        <v>973</v>
      </c>
      <c r="C1819" s="229"/>
      <c r="D1819" s="243">
        <f>GWP!T35</f>
        <v>0</v>
      </c>
      <c r="E1819" s="234" t="s">
        <v>969</v>
      </c>
      <c r="F1819" s="296" t="s">
        <v>919</v>
      </c>
    </row>
    <row r="1820" spans="1:8" ht="17" x14ac:dyDescent="0.25">
      <c r="B1820" s="233" t="s">
        <v>974</v>
      </c>
      <c r="C1820" s="229"/>
      <c r="D1820" s="244">
        <f>GWP!Z35</f>
        <v>1611.5355873609344</v>
      </c>
      <c r="E1820" s="234" t="s">
        <v>969</v>
      </c>
      <c r="F1820" s="296" t="s">
        <v>200</v>
      </c>
      <c r="G1820" s="234"/>
      <c r="H1820" s="234"/>
    </row>
    <row r="1821" spans="1:8" ht="17" x14ac:dyDescent="0.25">
      <c r="B1821" s="233" t="s">
        <v>975</v>
      </c>
      <c r="C1821" s="229"/>
      <c r="D1821" s="235">
        <v>0</v>
      </c>
      <c r="E1821" s="234" t="s">
        <v>314</v>
      </c>
      <c r="F1821" s="296" t="s">
        <v>190</v>
      </c>
    </row>
    <row r="1822" spans="1:8" ht="17" x14ac:dyDescent="0.25">
      <c r="B1822" s="233" t="s">
        <v>976</v>
      </c>
      <c r="C1822" s="229"/>
      <c r="D1822" s="244">
        <f>GWP!AB35</f>
        <v>-1511.8591786547047</v>
      </c>
      <c r="E1822" s="234" t="s">
        <v>314</v>
      </c>
      <c r="F1822" s="296" t="s">
        <v>179</v>
      </c>
    </row>
    <row r="1823" spans="1:8" x14ac:dyDescent="0.15">
      <c r="A1823" s="232" t="s">
        <v>41</v>
      </c>
      <c r="C1823" s="229"/>
    </row>
    <row r="1824" spans="1:8" ht="14" x14ac:dyDescent="0.15">
      <c r="A1824" s="250"/>
      <c r="B1824" s="229"/>
      <c r="C1824" s="250" t="s">
        <v>534</v>
      </c>
      <c r="D1824" s="254">
        <v>2550000</v>
      </c>
      <c r="E1824" s="234" t="s">
        <v>86</v>
      </c>
      <c r="F1824" s="296" t="s">
        <v>517</v>
      </c>
    </row>
    <row r="1825" spans="1:6" ht="14" x14ac:dyDescent="0.15">
      <c r="A1825" s="250"/>
      <c r="B1825" s="229"/>
      <c r="C1825" s="250" t="s">
        <v>535</v>
      </c>
      <c r="D1825" s="254">
        <v>215000</v>
      </c>
      <c r="E1825" s="234" t="s">
        <v>86</v>
      </c>
      <c r="F1825" s="296" t="s">
        <v>517</v>
      </c>
    </row>
    <row r="1826" spans="1:6" ht="14" x14ac:dyDescent="0.15">
      <c r="A1826" s="250"/>
      <c r="B1826" s="229"/>
      <c r="C1826" s="250" t="s">
        <v>546</v>
      </c>
      <c r="D1826" s="254">
        <v>215000</v>
      </c>
      <c r="E1826" s="234" t="s">
        <v>86</v>
      </c>
      <c r="F1826" s="296" t="s">
        <v>517</v>
      </c>
    </row>
    <row r="1827" spans="1:6" ht="14" x14ac:dyDescent="0.15">
      <c r="A1827" s="250"/>
      <c r="B1827" s="229"/>
      <c r="C1827" s="250" t="s">
        <v>536</v>
      </c>
      <c r="D1827" s="254">
        <v>956000</v>
      </c>
      <c r="E1827" s="234" t="s">
        <v>86</v>
      </c>
      <c r="F1827" s="296" t="s">
        <v>517</v>
      </c>
    </row>
    <row r="1828" spans="1:6" ht="14" x14ac:dyDescent="0.15">
      <c r="A1828" s="250"/>
      <c r="B1828" s="229"/>
      <c r="C1828" s="250" t="s">
        <v>544</v>
      </c>
      <c r="D1828" s="254">
        <v>956000</v>
      </c>
      <c r="E1828" s="234" t="s">
        <v>86</v>
      </c>
      <c r="F1828" s="296" t="s">
        <v>517</v>
      </c>
    </row>
    <row r="1829" spans="1:6" ht="14" x14ac:dyDescent="0.15">
      <c r="A1829" s="250"/>
      <c r="B1829" s="229"/>
      <c r="C1829" s="250" t="s">
        <v>538</v>
      </c>
      <c r="D1829" s="254">
        <v>991000</v>
      </c>
      <c r="E1829" s="234" t="s">
        <v>86</v>
      </c>
      <c r="F1829" s="296" t="s">
        <v>517</v>
      </c>
    </row>
    <row r="1830" spans="1:6" ht="14" x14ac:dyDescent="0.15">
      <c r="A1830" s="250"/>
      <c r="B1830" s="229"/>
      <c r="C1830" s="250" t="s">
        <v>545</v>
      </c>
      <c r="D1830" s="254">
        <v>1160000</v>
      </c>
      <c r="E1830" s="234" t="s">
        <v>86</v>
      </c>
      <c r="F1830" s="296" t="s">
        <v>517</v>
      </c>
    </row>
    <row r="1831" spans="1:6" ht="14" x14ac:dyDescent="0.15">
      <c r="A1831" s="250"/>
      <c r="B1831" s="229"/>
      <c r="C1831" s="250" t="s">
        <v>540</v>
      </c>
      <c r="D1831" s="254">
        <v>33500</v>
      </c>
      <c r="E1831" s="234" t="s">
        <v>86</v>
      </c>
      <c r="F1831" s="296" t="s">
        <v>517</v>
      </c>
    </row>
    <row r="1832" spans="1:6" ht="14" x14ac:dyDescent="0.15">
      <c r="A1832" s="250"/>
      <c r="B1832" s="229"/>
      <c r="C1832" s="250" t="s">
        <v>207</v>
      </c>
      <c r="D1832" s="254">
        <f>SUM(D1824:D1831)</f>
        <v>7076500</v>
      </c>
      <c r="E1832" s="234" t="s">
        <v>86</v>
      </c>
      <c r="F1832" s="296" t="s">
        <v>66</v>
      </c>
    </row>
    <row r="1833" spans="1:6" ht="14" x14ac:dyDescent="0.15">
      <c r="A1833" s="250"/>
      <c r="B1833" s="229"/>
      <c r="C1833" s="250" t="s">
        <v>207</v>
      </c>
      <c r="D1833" s="254">
        <f>D1832/D1781</f>
        <v>1474270.833333333</v>
      </c>
      <c r="E1833" s="234" t="s">
        <v>811</v>
      </c>
      <c r="F1833" s="296" t="s">
        <v>467</v>
      </c>
    </row>
    <row r="1834" spans="1:6" ht="14" x14ac:dyDescent="0.15">
      <c r="B1834" s="233" t="s">
        <v>800</v>
      </c>
      <c r="D1834" s="260">
        <v>6.6299999999999998E-2</v>
      </c>
      <c r="E1834" s="234" t="s">
        <v>111</v>
      </c>
      <c r="F1834" s="297" t="s">
        <v>797</v>
      </c>
    </row>
    <row r="1835" spans="1:6" x14ac:dyDescent="0.15">
      <c r="B1835" s="233" t="s">
        <v>799</v>
      </c>
      <c r="D1835" s="242">
        <f>D1833*(1+D1834)</f>
        <v>1572014.989583333</v>
      </c>
      <c r="E1835" s="234" t="s">
        <v>404</v>
      </c>
      <c r="F1835" s="297"/>
    </row>
    <row r="1836" spans="1:6" x14ac:dyDescent="0.15">
      <c r="A1836" s="232" t="s">
        <v>195</v>
      </c>
      <c r="C1836" s="229"/>
    </row>
    <row r="1837" spans="1:6" x14ac:dyDescent="0.15">
      <c r="B1837" s="233" t="s">
        <v>42</v>
      </c>
      <c r="C1837" s="229"/>
    </row>
    <row r="1838" spans="1:6" ht="14" x14ac:dyDescent="0.15">
      <c r="A1838" s="250"/>
      <c r="B1838" s="229"/>
      <c r="C1838" s="250" t="s">
        <v>519</v>
      </c>
      <c r="D1838" s="254">
        <f>D1793</f>
        <v>17900</v>
      </c>
      <c r="E1838" s="234" t="s">
        <v>281</v>
      </c>
      <c r="F1838" s="296" t="s">
        <v>517</v>
      </c>
    </row>
    <row r="1839" spans="1:6" ht="14" x14ac:dyDescent="0.15">
      <c r="A1839" s="250"/>
      <c r="B1839" s="229"/>
      <c r="C1839" s="250" t="s">
        <v>525</v>
      </c>
      <c r="D1839" s="254">
        <f>D1808</f>
        <v>0</v>
      </c>
      <c r="E1839" s="234" t="s">
        <v>281</v>
      </c>
      <c r="F1839" s="296" t="s">
        <v>517</v>
      </c>
    </row>
    <row r="1840" spans="1:6" ht="14" x14ac:dyDescent="0.15">
      <c r="A1840" s="250"/>
      <c r="B1840" s="229"/>
      <c r="C1840" s="250" t="s">
        <v>541</v>
      </c>
      <c r="D1840" s="254">
        <v>354000</v>
      </c>
      <c r="E1840" s="234" t="s">
        <v>281</v>
      </c>
      <c r="F1840" s="296" t="s">
        <v>517</v>
      </c>
    </row>
    <row r="1841" spans="1:6" ht="14" x14ac:dyDescent="0.15">
      <c r="A1841" s="250"/>
      <c r="B1841" s="229"/>
      <c r="C1841" s="250" t="s">
        <v>542</v>
      </c>
      <c r="D1841" s="254">
        <v>708000</v>
      </c>
      <c r="E1841" s="234" t="s">
        <v>281</v>
      </c>
      <c r="F1841" s="296" t="s">
        <v>517</v>
      </c>
    </row>
    <row r="1842" spans="1:6" ht="14" x14ac:dyDescent="0.15">
      <c r="A1842" s="250"/>
      <c r="B1842" s="229"/>
      <c r="C1842" s="250" t="s">
        <v>210</v>
      </c>
      <c r="D1842" s="254">
        <f>SUM(D1838:D1841)</f>
        <v>1079900</v>
      </c>
      <c r="E1842" s="254" t="s">
        <v>281</v>
      </c>
      <c r="F1842" s="296" t="s">
        <v>66</v>
      </c>
    </row>
    <row r="1843" spans="1:6" ht="14" x14ac:dyDescent="0.15">
      <c r="A1843" s="250"/>
      <c r="B1843" s="229"/>
      <c r="C1843" s="250" t="s">
        <v>210</v>
      </c>
      <c r="D1843" s="254">
        <f>D1842/D1776/D1781</f>
        <v>684.86808726534741</v>
      </c>
      <c r="E1843" s="234" t="s">
        <v>218</v>
      </c>
      <c r="F1843" s="296" t="s">
        <v>467</v>
      </c>
    </row>
    <row r="1844" spans="1:6" ht="14" x14ac:dyDescent="0.15">
      <c r="B1844" s="233" t="s">
        <v>800</v>
      </c>
      <c r="D1844" s="260">
        <v>6.6299999999999998E-2</v>
      </c>
      <c r="E1844" s="234" t="s">
        <v>111</v>
      </c>
      <c r="F1844" s="297" t="s">
        <v>797</v>
      </c>
    </row>
    <row r="1845" spans="1:6" x14ac:dyDescent="0.15">
      <c r="B1845" s="233" t="s">
        <v>798</v>
      </c>
      <c r="D1845" s="247">
        <f>D1843*(1+D1844)</f>
        <v>730.27484145103995</v>
      </c>
      <c r="E1845" s="234" t="s">
        <v>816</v>
      </c>
    </row>
    <row r="1846" spans="1:6" ht="14" x14ac:dyDescent="0.15">
      <c r="B1846" s="233" t="s">
        <v>197</v>
      </c>
      <c r="C1846" s="229"/>
      <c r="D1846" s="237">
        <f>'Commercial Viability'!F38</f>
        <v>7.2341049543986973</v>
      </c>
      <c r="E1846" s="234" t="s">
        <v>199</v>
      </c>
      <c r="F1846" s="296" t="s">
        <v>950</v>
      </c>
    </row>
    <row r="1847" spans="1:6" x14ac:dyDescent="0.15">
      <c r="B1847" s="233" t="s">
        <v>196</v>
      </c>
      <c r="C1847" s="229"/>
    </row>
    <row r="1848" spans="1:6" ht="14" x14ac:dyDescent="0.15">
      <c r="A1848" s="250"/>
      <c r="B1848" s="229"/>
      <c r="C1848" s="250" t="s">
        <v>532</v>
      </c>
      <c r="D1848" s="234">
        <v>0.55000000000000004</v>
      </c>
      <c r="E1848" s="234" t="s">
        <v>531</v>
      </c>
      <c r="F1848" s="296" t="s">
        <v>953</v>
      </c>
    </row>
    <row r="1849" spans="1:6" ht="14" x14ac:dyDescent="0.15">
      <c r="A1849" s="250"/>
      <c r="B1849" s="229"/>
      <c r="C1849" s="250" t="s">
        <v>533</v>
      </c>
      <c r="D1849" s="254">
        <v>467000</v>
      </c>
      <c r="E1849" s="234" t="s">
        <v>281</v>
      </c>
      <c r="F1849" s="296" t="s">
        <v>517</v>
      </c>
    </row>
    <row r="1850" spans="1:6" ht="14" x14ac:dyDescent="0.15">
      <c r="A1850" s="250"/>
      <c r="B1850" s="229"/>
      <c r="C1850" s="250" t="s">
        <v>533</v>
      </c>
      <c r="D1850" s="254">
        <f>D1849/D1776/D1781</f>
        <v>296.16945712836116</v>
      </c>
      <c r="E1850" s="234" t="s">
        <v>218</v>
      </c>
      <c r="F1850" s="296" t="s">
        <v>467</v>
      </c>
    </row>
    <row r="1851" spans="1:6" ht="14" x14ac:dyDescent="0.15">
      <c r="B1851" s="233" t="s">
        <v>800</v>
      </c>
      <c r="D1851" s="260">
        <v>6.6299999999999998E-2</v>
      </c>
      <c r="E1851" s="234" t="s">
        <v>111</v>
      </c>
      <c r="F1851" s="297" t="s">
        <v>797</v>
      </c>
    </row>
    <row r="1852" spans="1:6" x14ac:dyDescent="0.15">
      <c r="B1852" s="233" t="s">
        <v>809</v>
      </c>
      <c r="D1852" s="247">
        <f>D1850*(1+D1851)</f>
        <v>315.80549213597152</v>
      </c>
      <c r="E1852" s="234" t="s">
        <v>816</v>
      </c>
    </row>
    <row r="1853" spans="1:6" ht="14" x14ac:dyDescent="0.15">
      <c r="B1853" s="233" t="s">
        <v>195</v>
      </c>
      <c r="C1853" s="229"/>
      <c r="D1853" s="244">
        <f>'Commercial Viability'!H38</f>
        <v>-421.7034542694671</v>
      </c>
      <c r="E1853" s="234" t="s">
        <v>199</v>
      </c>
      <c r="F1853" s="296" t="s">
        <v>951</v>
      </c>
    </row>
    <row r="1854" spans="1:6" x14ac:dyDescent="0.15">
      <c r="A1854" s="232" t="s">
        <v>201</v>
      </c>
      <c r="C1854" s="229"/>
    </row>
    <row r="1855" spans="1:6" ht="28" x14ac:dyDescent="0.15">
      <c r="B1855" s="233" t="s">
        <v>6</v>
      </c>
      <c r="D1855" s="235">
        <v>6</v>
      </c>
      <c r="F1855" s="296" t="s">
        <v>550</v>
      </c>
    </row>
    <row r="1856" spans="1:6" x14ac:dyDescent="0.15">
      <c r="A1856" s="250"/>
      <c r="B1856" s="229"/>
      <c r="C1856" s="250"/>
      <c r="D1856" s="270"/>
      <c r="F1856" s="300"/>
    </row>
    <row r="1857" spans="1:6" s="228" customFormat="1" x14ac:dyDescent="0.15">
      <c r="A1857" s="225" t="s">
        <v>1001</v>
      </c>
      <c r="B1857" s="226"/>
      <c r="C1857" s="226"/>
      <c r="D1857" s="227"/>
      <c r="E1857" s="227"/>
      <c r="F1857" s="294"/>
    </row>
    <row r="1858" spans="1:6" ht="14" x14ac:dyDescent="0.15">
      <c r="B1858" s="230" t="s">
        <v>171</v>
      </c>
      <c r="C1858" s="230"/>
      <c r="D1858" s="231" t="s">
        <v>170</v>
      </c>
      <c r="E1858" s="231" t="s">
        <v>169</v>
      </c>
      <c r="F1858" s="295" t="s">
        <v>168</v>
      </c>
    </row>
    <row r="1859" spans="1:6" ht="14" x14ac:dyDescent="0.15">
      <c r="A1859" s="250"/>
      <c r="B1859" s="250" t="s">
        <v>268</v>
      </c>
      <c r="D1859" s="234">
        <v>365</v>
      </c>
      <c r="E1859" s="234" t="s">
        <v>414</v>
      </c>
      <c r="F1859" s="296" t="s">
        <v>87</v>
      </c>
    </row>
    <row r="1860" spans="1:6" ht="14" x14ac:dyDescent="0.15">
      <c r="A1860" s="250"/>
      <c r="B1860" s="250" t="s">
        <v>512</v>
      </c>
      <c r="D1860" s="234">
        <v>0.9</v>
      </c>
      <c r="E1860" s="234" t="s">
        <v>172</v>
      </c>
      <c r="F1860" s="296" t="s">
        <v>554</v>
      </c>
    </row>
    <row r="1861" spans="1:6" ht="14" x14ac:dyDescent="0.15">
      <c r="A1861" s="250"/>
      <c r="B1861" s="250" t="s">
        <v>513</v>
      </c>
      <c r="D1861" s="234">
        <f>D1859*D1860</f>
        <v>328.5</v>
      </c>
      <c r="E1861" s="234" t="s">
        <v>414</v>
      </c>
      <c r="F1861" s="296" t="s">
        <v>509</v>
      </c>
    </row>
    <row r="1862" spans="1:6" ht="14" x14ac:dyDescent="0.15">
      <c r="A1862" s="250"/>
      <c r="B1862" s="250" t="s">
        <v>476</v>
      </c>
      <c r="D1862" s="234">
        <v>24</v>
      </c>
      <c r="E1862" s="234" t="s">
        <v>413</v>
      </c>
      <c r="F1862" s="296" t="s">
        <v>87</v>
      </c>
    </row>
    <row r="1863" spans="1:6" ht="14" x14ac:dyDescent="0.15">
      <c r="A1863" s="250"/>
      <c r="B1863" s="250" t="s">
        <v>551</v>
      </c>
      <c r="D1863" s="234">
        <f>D1862*D1860</f>
        <v>21.6</v>
      </c>
      <c r="E1863" s="234" t="s">
        <v>413</v>
      </c>
      <c r="F1863" s="296" t="s">
        <v>66</v>
      </c>
    </row>
    <row r="1864" spans="1:6" ht="14" x14ac:dyDescent="0.15">
      <c r="A1864" s="250"/>
      <c r="B1864" s="250" t="s">
        <v>515</v>
      </c>
      <c r="D1864" s="234">
        <v>5</v>
      </c>
      <c r="E1864" s="234" t="s">
        <v>461</v>
      </c>
      <c r="F1864" s="296" t="s">
        <v>553</v>
      </c>
    </row>
    <row r="1865" spans="1:6" x14ac:dyDescent="0.15">
      <c r="A1865" s="232" t="s">
        <v>167</v>
      </c>
    </row>
    <row r="1866" spans="1:6" ht="14" x14ac:dyDescent="0.15">
      <c r="B1866" s="250" t="s">
        <v>492</v>
      </c>
      <c r="D1866" s="239">
        <v>0.05</v>
      </c>
      <c r="E1866" s="234" t="s">
        <v>111</v>
      </c>
      <c r="F1866" s="298" t="s">
        <v>562</v>
      </c>
    </row>
    <row r="1867" spans="1:6" ht="17" x14ac:dyDescent="0.25">
      <c r="B1867" s="233" t="s">
        <v>956</v>
      </c>
      <c r="D1867" s="236">
        <v>0</v>
      </c>
      <c r="E1867" s="234" t="s">
        <v>111</v>
      </c>
      <c r="F1867" s="296" t="s">
        <v>555</v>
      </c>
    </row>
    <row r="1868" spans="1:6" ht="17" x14ac:dyDescent="0.25">
      <c r="B1868" s="233" t="s">
        <v>957</v>
      </c>
      <c r="D1868" s="237">
        <f>'Energy Balance'!Q38</f>
        <v>0.05</v>
      </c>
      <c r="E1868" s="234" t="s">
        <v>172</v>
      </c>
      <c r="F1868" s="296" t="s">
        <v>173</v>
      </c>
    </row>
    <row r="1869" spans="1:6" x14ac:dyDescent="0.15">
      <c r="A1869" s="232" t="s">
        <v>174</v>
      </c>
    </row>
    <row r="1870" spans="1:6" ht="17" x14ac:dyDescent="0.25">
      <c r="B1870" s="233" t="s">
        <v>958</v>
      </c>
      <c r="F1870" s="296" t="s">
        <v>295</v>
      </c>
    </row>
    <row r="1871" spans="1:6" ht="14" x14ac:dyDescent="0.15">
      <c r="A1871" s="250"/>
      <c r="B1871" s="229"/>
      <c r="C1871" s="250" t="s">
        <v>558</v>
      </c>
      <c r="D1871" s="234">
        <v>153</v>
      </c>
      <c r="E1871" s="234" t="s">
        <v>392</v>
      </c>
      <c r="F1871" s="296" t="s">
        <v>556</v>
      </c>
    </row>
    <row r="1872" spans="1:6" ht="14" x14ac:dyDescent="0.15">
      <c r="A1872" s="250"/>
      <c r="B1872" s="229"/>
      <c r="C1872" s="250" t="s">
        <v>558</v>
      </c>
      <c r="D1872" s="249">
        <f>D1871*D1863/D1864</f>
        <v>660.96</v>
      </c>
      <c r="E1872" s="234" t="s">
        <v>175</v>
      </c>
      <c r="F1872" s="296" t="s">
        <v>467</v>
      </c>
    </row>
    <row r="1873" spans="1:8" ht="30" x14ac:dyDescent="0.25">
      <c r="B1873" s="233" t="s">
        <v>959</v>
      </c>
      <c r="C1873" s="229"/>
      <c r="D1873" s="236">
        <v>0</v>
      </c>
      <c r="E1873" s="234" t="s">
        <v>111</v>
      </c>
      <c r="F1873" s="296" t="s">
        <v>557</v>
      </c>
    </row>
    <row r="1874" spans="1:8" ht="17" x14ac:dyDescent="0.25">
      <c r="B1874" s="233" t="s">
        <v>960</v>
      </c>
      <c r="C1874" s="229"/>
      <c r="D1874" s="236">
        <v>0</v>
      </c>
      <c r="E1874" s="234" t="s">
        <v>111</v>
      </c>
      <c r="F1874" s="296" t="s">
        <v>87</v>
      </c>
    </row>
    <row r="1875" spans="1:8" ht="17" x14ac:dyDescent="0.25">
      <c r="B1875" s="233" t="s">
        <v>961</v>
      </c>
      <c r="C1875" s="229"/>
      <c r="D1875" s="240">
        <f>'Energy Balance'!D38</f>
        <v>0</v>
      </c>
      <c r="E1875" s="234" t="s">
        <v>175</v>
      </c>
      <c r="F1875" s="296" t="s">
        <v>947</v>
      </c>
    </row>
    <row r="1876" spans="1:8" ht="17" x14ac:dyDescent="0.25">
      <c r="B1876" s="233" t="s">
        <v>962</v>
      </c>
      <c r="C1876" s="250" t="s">
        <v>793</v>
      </c>
      <c r="D1876" s="235">
        <v>60</v>
      </c>
      <c r="E1876" s="234" t="s">
        <v>175</v>
      </c>
      <c r="F1876" s="298" t="s">
        <v>518</v>
      </c>
    </row>
    <row r="1877" spans="1:8" ht="17" x14ac:dyDescent="0.25">
      <c r="B1877" s="233" t="s">
        <v>963</v>
      </c>
      <c r="C1877" s="229"/>
      <c r="D1877" s="235">
        <v>0</v>
      </c>
      <c r="E1877" s="234" t="s">
        <v>175</v>
      </c>
      <c r="F1877" s="296" t="s">
        <v>186</v>
      </c>
    </row>
    <row r="1878" spans="1:8" ht="17" x14ac:dyDescent="0.25">
      <c r="A1878" s="250"/>
      <c r="B1878" s="233" t="s">
        <v>964</v>
      </c>
      <c r="C1878" s="259"/>
      <c r="D1878" s="244">
        <f>'Energy Balance'!S38</f>
        <v>6.7707524723199164</v>
      </c>
      <c r="E1878" s="234" t="s">
        <v>175</v>
      </c>
      <c r="F1878" s="296" t="s">
        <v>191</v>
      </c>
    </row>
    <row r="1879" spans="1:8" ht="17" x14ac:dyDescent="0.25">
      <c r="B1879" s="233" t="s">
        <v>965</v>
      </c>
      <c r="C1879" s="229"/>
      <c r="D1879" s="235">
        <v>0</v>
      </c>
      <c r="E1879" s="234" t="s">
        <v>559</v>
      </c>
      <c r="F1879" s="296" t="s">
        <v>560</v>
      </c>
    </row>
    <row r="1880" spans="1:8" ht="17" x14ac:dyDescent="0.25">
      <c r="B1880" s="233" t="s">
        <v>966</v>
      </c>
      <c r="C1880" s="229"/>
      <c r="D1880" s="240">
        <f>'Energy Balance'!Y38</f>
        <v>630.27925417206779</v>
      </c>
      <c r="E1880" s="234" t="s">
        <v>175</v>
      </c>
      <c r="F1880" s="296" t="s">
        <v>176</v>
      </c>
    </row>
    <row r="1881" spans="1:8" ht="17" x14ac:dyDescent="0.25">
      <c r="A1881" s="232" t="s">
        <v>967</v>
      </c>
      <c r="C1881" s="229"/>
    </row>
    <row r="1882" spans="1:8" ht="17" x14ac:dyDescent="0.25">
      <c r="B1882" s="233" t="s">
        <v>968</v>
      </c>
      <c r="C1882" s="229"/>
      <c r="D1882" s="241">
        <f>GWP!P36</f>
        <v>0</v>
      </c>
      <c r="E1882" s="234" t="s">
        <v>969</v>
      </c>
      <c r="F1882" s="296" t="s">
        <v>949</v>
      </c>
    </row>
    <row r="1883" spans="1:8" ht="17" x14ac:dyDescent="0.25">
      <c r="B1883" s="233" t="s">
        <v>970</v>
      </c>
      <c r="C1883" s="229"/>
      <c r="D1883" s="235">
        <v>0</v>
      </c>
      <c r="E1883" s="234" t="s">
        <v>172</v>
      </c>
      <c r="F1883" s="296" t="s">
        <v>190</v>
      </c>
      <c r="G1883" s="234"/>
      <c r="H1883" s="234"/>
    </row>
    <row r="1884" spans="1:8" ht="17" x14ac:dyDescent="0.25">
      <c r="B1884" s="233" t="s">
        <v>971</v>
      </c>
      <c r="C1884" s="229"/>
      <c r="D1884" s="244">
        <f>GWP!R36</f>
        <v>0</v>
      </c>
      <c r="E1884" s="234" t="s">
        <v>969</v>
      </c>
      <c r="F1884" s="296" t="s">
        <v>193</v>
      </c>
    </row>
    <row r="1885" spans="1:8" ht="17" x14ac:dyDescent="0.25">
      <c r="B1885" s="233" t="s">
        <v>972</v>
      </c>
      <c r="C1885" s="229"/>
      <c r="D1885" s="235">
        <v>0</v>
      </c>
      <c r="E1885" s="234" t="s">
        <v>172</v>
      </c>
      <c r="F1885" s="296" t="s">
        <v>192</v>
      </c>
      <c r="G1885" s="234"/>
      <c r="H1885" s="234"/>
    </row>
    <row r="1886" spans="1:8" ht="17" x14ac:dyDescent="0.25">
      <c r="B1886" s="233" t="s">
        <v>973</v>
      </c>
      <c r="C1886" s="229"/>
      <c r="D1886" s="243">
        <f>GWP!T36</f>
        <v>0</v>
      </c>
      <c r="E1886" s="234" t="s">
        <v>969</v>
      </c>
      <c r="F1886" s="296" t="s">
        <v>919</v>
      </c>
    </row>
    <row r="1887" spans="1:8" ht="17" x14ac:dyDescent="0.25">
      <c r="B1887" s="233" t="s">
        <v>974</v>
      </c>
      <c r="C1887" s="229"/>
      <c r="D1887" s="235">
        <v>0</v>
      </c>
      <c r="E1887" s="234" t="s">
        <v>969</v>
      </c>
      <c r="F1887" s="296" t="s">
        <v>200</v>
      </c>
      <c r="G1887" s="234"/>
      <c r="H1887" s="234"/>
    </row>
    <row r="1888" spans="1:8" ht="17" x14ac:dyDescent="0.25">
      <c r="B1888" s="233" t="s">
        <v>975</v>
      </c>
      <c r="C1888" s="229"/>
      <c r="D1888" s="235">
        <v>0</v>
      </c>
      <c r="E1888" s="234" t="s">
        <v>314</v>
      </c>
      <c r="F1888" s="296" t="s">
        <v>190</v>
      </c>
    </row>
    <row r="1889" spans="1:6" ht="17" x14ac:dyDescent="0.25">
      <c r="B1889" s="233" t="s">
        <v>976</v>
      </c>
      <c r="C1889" s="229"/>
      <c r="D1889" s="244">
        <f>GWP!AB36</f>
        <v>-245.66454016316681</v>
      </c>
      <c r="E1889" s="234" t="s">
        <v>314</v>
      </c>
      <c r="F1889" s="296" t="s">
        <v>179</v>
      </c>
    </row>
    <row r="1890" spans="1:6" x14ac:dyDescent="0.15">
      <c r="A1890" s="232" t="s">
        <v>41</v>
      </c>
      <c r="C1890" s="229"/>
    </row>
    <row r="1891" spans="1:6" ht="14" x14ac:dyDescent="0.15">
      <c r="A1891" s="250"/>
      <c r="B1891" s="233" t="s">
        <v>41</v>
      </c>
      <c r="C1891" s="250"/>
      <c r="D1891" s="254">
        <v>1885000</v>
      </c>
      <c r="E1891" s="234" t="s">
        <v>86</v>
      </c>
      <c r="F1891" s="296" t="s">
        <v>556</v>
      </c>
    </row>
    <row r="1892" spans="1:6" ht="14" x14ac:dyDescent="0.15">
      <c r="A1892" s="250"/>
      <c r="B1892" s="233" t="s">
        <v>207</v>
      </c>
      <c r="C1892" s="250"/>
      <c r="D1892" s="254">
        <f>D1891/D1864</f>
        <v>377000</v>
      </c>
      <c r="E1892" s="234" t="s">
        <v>813</v>
      </c>
      <c r="F1892" s="296" t="s">
        <v>563</v>
      </c>
    </row>
    <row r="1893" spans="1:6" ht="14" x14ac:dyDescent="0.15">
      <c r="B1893" s="233" t="s">
        <v>814</v>
      </c>
      <c r="D1893" s="260">
        <v>0.1769</v>
      </c>
      <c r="E1893" s="234" t="s">
        <v>111</v>
      </c>
      <c r="F1893" s="297" t="s">
        <v>797</v>
      </c>
    </row>
    <row r="1894" spans="1:6" x14ac:dyDescent="0.15">
      <c r="B1894" s="233" t="s">
        <v>799</v>
      </c>
      <c r="D1894" s="242">
        <f>D1892*(1+D1893)</f>
        <v>443691.30000000005</v>
      </c>
      <c r="E1894" s="234" t="s">
        <v>404</v>
      </c>
      <c r="F1894" s="297"/>
    </row>
    <row r="1895" spans="1:6" x14ac:dyDescent="0.15">
      <c r="A1895" s="232" t="s">
        <v>195</v>
      </c>
      <c r="C1895" s="229"/>
    </row>
    <row r="1896" spans="1:6" x14ac:dyDescent="0.15">
      <c r="B1896" s="233" t="s">
        <v>42</v>
      </c>
      <c r="C1896" s="229"/>
    </row>
    <row r="1897" spans="1:6" ht="14" x14ac:dyDescent="0.15">
      <c r="A1897" s="250"/>
      <c r="B1897" s="229"/>
      <c r="C1897" s="250" t="s">
        <v>564</v>
      </c>
      <c r="D1897" s="234">
        <f>0.2+0.26+0.2+0.2+0.1</f>
        <v>0.96000000000000008</v>
      </c>
      <c r="E1897" s="234" t="s">
        <v>95</v>
      </c>
      <c r="F1897" s="296" t="s">
        <v>565</v>
      </c>
    </row>
    <row r="1898" spans="1:6" ht="14" x14ac:dyDescent="0.15">
      <c r="A1898" s="250"/>
      <c r="B1898" s="229"/>
      <c r="C1898" s="250" t="s">
        <v>566</v>
      </c>
      <c r="D1898" s="234">
        <f>0.03+0.01+0.01+0.19+0.37+0.05</f>
        <v>0.66</v>
      </c>
      <c r="E1898" s="234" t="s">
        <v>95</v>
      </c>
      <c r="F1898" s="296" t="s">
        <v>565</v>
      </c>
    </row>
    <row r="1899" spans="1:6" ht="14" x14ac:dyDescent="0.15">
      <c r="A1899" s="250"/>
      <c r="B1899" s="229"/>
      <c r="C1899" s="250" t="s">
        <v>567</v>
      </c>
      <c r="D1899" s="251">
        <f>0.2+0.05+0.15*0.05+0.25*(0.05+0.2+0.15*0.05)+0.0125+0.05</f>
        <v>0.38437500000000002</v>
      </c>
      <c r="E1899" s="234" t="s">
        <v>95</v>
      </c>
      <c r="F1899" s="296" t="s">
        <v>565</v>
      </c>
    </row>
    <row r="1900" spans="1:6" ht="14" x14ac:dyDescent="0.15">
      <c r="A1900" s="250"/>
      <c r="B1900" s="229"/>
      <c r="C1900" s="250" t="s">
        <v>561</v>
      </c>
      <c r="D1900" s="254">
        <f>D1891/(1+SUM(D1897:D1899))</f>
        <v>627418.34824214689</v>
      </c>
      <c r="E1900" s="234" t="s">
        <v>86</v>
      </c>
      <c r="F1900" s="296" t="s">
        <v>568</v>
      </c>
    </row>
    <row r="1901" spans="1:6" ht="14" x14ac:dyDescent="0.15">
      <c r="A1901" s="250"/>
      <c r="B1901" s="229"/>
      <c r="C1901" s="250" t="s">
        <v>570</v>
      </c>
      <c r="D1901" s="254">
        <f>D1900*(D1899)</f>
        <v>241163.92760557521</v>
      </c>
      <c r="E1901" s="234" t="s">
        <v>281</v>
      </c>
      <c r="F1901" s="296" t="s">
        <v>568</v>
      </c>
    </row>
    <row r="1902" spans="1:6" ht="14" x14ac:dyDescent="0.15">
      <c r="A1902" s="250"/>
      <c r="B1902" s="229"/>
      <c r="C1902" s="250" t="s">
        <v>571</v>
      </c>
      <c r="D1902" s="254">
        <f>D1901/D1861</f>
        <v>734.13676592260333</v>
      </c>
      <c r="E1902" s="234" t="s">
        <v>569</v>
      </c>
      <c r="F1902" s="296" t="s">
        <v>509</v>
      </c>
    </row>
    <row r="1903" spans="1:6" ht="14" x14ac:dyDescent="0.15">
      <c r="A1903" s="250"/>
      <c r="B1903" s="229"/>
      <c r="C1903" s="250" t="s">
        <v>42</v>
      </c>
      <c r="D1903" s="254">
        <f>D1902/D1864</f>
        <v>146.82735318452066</v>
      </c>
      <c r="E1903" s="234" t="s">
        <v>815</v>
      </c>
      <c r="F1903" s="296" t="s">
        <v>467</v>
      </c>
    </row>
    <row r="1904" spans="1:6" ht="14" x14ac:dyDescent="0.15">
      <c r="B1904" s="233" t="s">
        <v>814</v>
      </c>
      <c r="D1904" s="260">
        <v>0.1769</v>
      </c>
      <c r="E1904" s="234" t="s">
        <v>111</v>
      </c>
      <c r="F1904" s="297" t="s">
        <v>797</v>
      </c>
    </row>
    <row r="1905" spans="1:6" x14ac:dyDescent="0.15">
      <c r="B1905" s="233" t="s">
        <v>798</v>
      </c>
      <c r="D1905" s="247">
        <f>D1903*(1+D1904)</f>
        <v>172.80111196286236</v>
      </c>
      <c r="E1905" s="234" t="s">
        <v>816</v>
      </c>
    </row>
    <row r="1906" spans="1:6" ht="14" x14ac:dyDescent="0.15">
      <c r="B1906" s="233" t="s">
        <v>197</v>
      </c>
      <c r="C1906" s="229"/>
      <c r="D1906" s="237">
        <f>'Commercial Viability'!F39</f>
        <v>2.8809657325363194</v>
      </c>
      <c r="E1906" s="234" t="s">
        <v>199</v>
      </c>
      <c r="F1906" s="296" t="s">
        <v>950</v>
      </c>
    </row>
    <row r="1907" spans="1:6" x14ac:dyDescent="0.15">
      <c r="B1907" s="233" t="s">
        <v>196</v>
      </c>
      <c r="C1907" s="229"/>
    </row>
    <row r="1908" spans="1:6" x14ac:dyDescent="0.15">
      <c r="A1908" s="250"/>
      <c r="B1908" s="229"/>
      <c r="C1908" s="250" t="s">
        <v>572</v>
      </c>
      <c r="D1908" s="254">
        <f>D1872-D1876</f>
        <v>600.96</v>
      </c>
      <c r="E1908" s="234" t="s">
        <v>175</v>
      </c>
      <c r="F1908" s="302"/>
    </row>
    <row r="1909" spans="1:6" ht="14" x14ac:dyDescent="0.15">
      <c r="C1909" s="233" t="s">
        <v>801</v>
      </c>
      <c r="D1909" s="234">
        <v>6.8099999999999994E-2</v>
      </c>
      <c r="E1909" s="234" t="s">
        <v>217</v>
      </c>
      <c r="F1909" s="299" t="s">
        <v>374</v>
      </c>
    </row>
    <row r="1910" spans="1:6" ht="14" x14ac:dyDescent="0.15">
      <c r="A1910" s="250"/>
      <c r="B1910" s="229"/>
      <c r="C1910" s="250" t="s">
        <v>573</v>
      </c>
      <c r="D1910" s="249">
        <f>D1908*D1909</f>
        <v>40.925376</v>
      </c>
      <c r="E1910" s="234" t="s">
        <v>816</v>
      </c>
      <c r="F1910" s="303" t="s">
        <v>467</v>
      </c>
    </row>
    <row r="1911" spans="1:6" ht="14" x14ac:dyDescent="0.15">
      <c r="B1911" s="233" t="s">
        <v>195</v>
      </c>
      <c r="C1911" s="229"/>
      <c r="D1911" s="244">
        <f>'Commercial Viability'!H39</f>
        <v>-134.75670169539868</v>
      </c>
      <c r="E1911" s="234" t="s">
        <v>199</v>
      </c>
      <c r="F1911" s="296" t="s">
        <v>951</v>
      </c>
    </row>
    <row r="1912" spans="1:6" x14ac:dyDescent="0.15">
      <c r="A1912" s="232" t="s">
        <v>201</v>
      </c>
      <c r="C1912" s="229"/>
    </row>
    <row r="1913" spans="1:6" ht="28" x14ac:dyDescent="0.15">
      <c r="B1913" s="233" t="s">
        <v>6</v>
      </c>
      <c r="D1913" s="235">
        <v>7</v>
      </c>
      <c r="F1913" s="296" t="s">
        <v>326</v>
      </c>
    </row>
    <row r="1915" spans="1:6" s="228" customFormat="1" x14ac:dyDescent="0.15">
      <c r="A1915" s="225" t="s">
        <v>1002</v>
      </c>
      <c r="B1915" s="226"/>
      <c r="C1915" s="226"/>
      <c r="D1915" s="227"/>
      <c r="E1915" s="227"/>
      <c r="F1915" s="294"/>
    </row>
    <row r="1916" spans="1:6" ht="14" x14ac:dyDescent="0.15">
      <c r="B1916" s="230" t="s">
        <v>171</v>
      </c>
      <c r="C1916" s="230"/>
      <c r="D1916" s="231" t="s">
        <v>170</v>
      </c>
      <c r="E1916" s="231" t="s">
        <v>169</v>
      </c>
      <c r="F1916" s="295" t="s">
        <v>168</v>
      </c>
    </row>
    <row r="1917" spans="1:6" ht="14" x14ac:dyDescent="0.15">
      <c r="A1917" s="250"/>
      <c r="B1917" s="250" t="s">
        <v>268</v>
      </c>
      <c r="D1917" s="234">
        <v>365</v>
      </c>
      <c r="E1917" s="234" t="s">
        <v>414</v>
      </c>
      <c r="F1917" s="296" t="s">
        <v>87</v>
      </c>
    </row>
    <row r="1918" spans="1:6" ht="14" x14ac:dyDescent="0.15">
      <c r="A1918" s="250"/>
      <c r="B1918" s="250" t="s">
        <v>512</v>
      </c>
      <c r="D1918" s="234">
        <v>0.9</v>
      </c>
      <c r="E1918" s="234" t="s">
        <v>172</v>
      </c>
      <c r="F1918" s="296" t="s">
        <v>554</v>
      </c>
    </row>
    <row r="1919" spans="1:6" ht="14" x14ac:dyDescent="0.15">
      <c r="A1919" s="250"/>
      <c r="B1919" s="250" t="s">
        <v>513</v>
      </c>
      <c r="D1919" s="234">
        <f>D1917*D1918</f>
        <v>328.5</v>
      </c>
      <c r="E1919" s="234" t="s">
        <v>414</v>
      </c>
      <c r="F1919" s="296" t="s">
        <v>509</v>
      </c>
    </row>
    <row r="1920" spans="1:6" ht="14" x14ac:dyDescent="0.15">
      <c r="A1920" s="250"/>
      <c r="B1920" s="250" t="s">
        <v>476</v>
      </c>
      <c r="D1920" s="234">
        <v>24</v>
      </c>
      <c r="E1920" s="234" t="s">
        <v>413</v>
      </c>
      <c r="F1920" s="296" t="s">
        <v>87</v>
      </c>
    </row>
    <row r="1921" spans="1:6" ht="14" x14ac:dyDescent="0.15">
      <c r="A1921" s="250"/>
      <c r="B1921" s="250" t="s">
        <v>551</v>
      </c>
      <c r="D1921" s="234">
        <f>D1920*D1918</f>
        <v>21.6</v>
      </c>
      <c r="E1921" s="234" t="s">
        <v>413</v>
      </c>
      <c r="F1921" s="296" t="s">
        <v>66</v>
      </c>
    </row>
    <row r="1922" spans="1:6" ht="14" x14ac:dyDescent="0.15">
      <c r="A1922" s="250"/>
      <c r="B1922" s="250" t="s">
        <v>515</v>
      </c>
      <c r="D1922" s="234">
        <v>5</v>
      </c>
      <c r="E1922" s="234" t="s">
        <v>461</v>
      </c>
      <c r="F1922" s="296" t="s">
        <v>553</v>
      </c>
    </row>
    <row r="1923" spans="1:6" x14ac:dyDescent="0.15">
      <c r="A1923" s="232" t="s">
        <v>167</v>
      </c>
    </row>
    <row r="1924" spans="1:6" ht="14" x14ac:dyDescent="0.15">
      <c r="B1924" s="250" t="s">
        <v>492</v>
      </c>
      <c r="D1924" s="239">
        <v>0.08</v>
      </c>
      <c r="E1924" s="234" t="s">
        <v>111</v>
      </c>
      <c r="F1924" s="298" t="s">
        <v>562</v>
      </c>
    </row>
    <row r="1925" spans="1:6" ht="17" x14ac:dyDescent="0.25">
      <c r="B1925" s="233" t="s">
        <v>956</v>
      </c>
      <c r="D1925" s="236">
        <v>0</v>
      </c>
      <c r="E1925" s="234" t="s">
        <v>111</v>
      </c>
      <c r="F1925" s="296" t="s">
        <v>555</v>
      </c>
    </row>
    <row r="1926" spans="1:6" ht="17" x14ac:dyDescent="0.25">
      <c r="B1926" s="233" t="s">
        <v>957</v>
      </c>
      <c r="D1926" s="237">
        <f>'Energy Balance'!Q39</f>
        <v>0.08</v>
      </c>
      <c r="E1926" s="234" t="s">
        <v>172</v>
      </c>
      <c r="F1926" s="296" t="s">
        <v>173</v>
      </c>
    </row>
    <row r="1927" spans="1:6" x14ac:dyDescent="0.15">
      <c r="A1927" s="232" t="s">
        <v>174</v>
      </c>
    </row>
    <row r="1928" spans="1:6" ht="17" x14ac:dyDescent="0.25">
      <c r="B1928" s="233" t="s">
        <v>958</v>
      </c>
      <c r="F1928" s="296" t="s">
        <v>295</v>
      </c>
    </row>
    <row r="1929" spans="1:6" ht="14" x14ac:dyDescent="0.15">
      <c r="A1929" s="250"/>
      <c r="B1929" s="229"/>
      <c r="C1929" s="250" t="s">
        <v>558</v>
      </c>
      <c r="D1929" s="234">
        <v>123.7</v>
      </c>
      <c r="E1929" s="234" t="s">
        <v>392</v>
      </c>
      <c r="F1929" s="296" t="s">
        <v>556</v>
      </c>
    </row>
    <row r="1930" spans="1:6" ht="14" x14ac:dyDescent="0.15">
      <c r="A1930" s="250"/>
      <c r="B1930" s="229"/>
      <c r="C1930" s="250" t="s">
        <v>558</v>
      </c>
      <c r="D1930" s="249">
        <f>D1929*D1921/D1922</f>
        <v>534.38400000000001</v>
      </c>
      <c r="E1930" s="234" t="s">
        <v>175</v>
      </c>
      <c r="F1930" s="296" t="s">
        <v>467</v>
      </c>
    </row>
    <row r="1931" spans="1:6" ht="30" x14ac:dyDescent="0.25">
      <c r="B1931" s="233" t="s">
        <v>959</v>
      </c>
      <c r="C1931" s="229"/>
      <c r="D1931" s="236">
        <v>0</v>
      </c>
      <c r="E1931" s="234" t="s">
        <v>111</v>
      </c>
      <c r="F1931" s="296" t="s">
        <v>557</v>
      </c>
    </row>
    <row r="1932" spans="1:6" ht="17" x14ac:dyDescent="0.25">
      <c r="B1932" s="233" t="s">
        <v>960</v>
      </c>
      <c r="C1932" s="229"/>
      <c r="D1932" s="236">
        <v>0</v>
      </c>
      <c r="E1932" s="234" t="s">
        <v>111</v>
      </c>
      <c r="F1932" s="296" t="s">
        <v>87</v>
      </c>
    </row>
    <row r="1933" spans="1:6" ht="17" x14ac:dyDescent="0.25">
      <c r="B1933" s="233" t="s">
        <v>961</v>
      </c>
      <c r="C1933" s="229"/>
      <c r="D1933" s="240">
        <f>'Energy Balance'!D39</f>
        <v>0</v>
      </c>
      <c r="E1933" s="234" t="s">
        <v>175</v>
      </c>
      <c r="F1933" s="296" t="s">
        <v>947</v>
      </c>
    </row>
    <row r="1934" spans="1:6" ht="17" x14ac:dyDescent="0.25">
      <c r="B1934" s="233" t="s">
        <v>962</v>
      </c>
      <c r="C1934" s="250" t="s">
        <v>793</v>
      </c>
      <c r="D1934" s="235">
        <v>60</v>
      </c>
      <c r="E1934" s="234" t="s">
        <v>175</v>
      </c>
      <c r="F1934" s="298" t="s">
        <v>518</v>
      </c>
    </row>
    <row r="1935" spans="1:6" ht="17" x14ac:dyDescent="0.25">
      <c r="B1935" s="233" t="s">
        <v>963</v>
      </c>
      <c r="C1935" s="229"/>
      <c r="D1935" s="235">
        <v>0</v>
      </c>
      <c r="E1935" s="234" t="s">
        <v>175</v>
      </c>
      <c r="F1935" s="296" t="s">
        <v>186</v>
      </c>
    </row>
    <row r="1936" spans="1:6" ht="17" x14ac:dyDescent="0.25">
      <c r="A1936" s="250"/>
      <c r="B1936" s="233" t="s">
        <v>964</v>
      </c>
      <c r="C1936" s="259"/>
      <c r="D1936" s="244">
        <f>'Energy Balance'!S39</f>
        <v>10.833203955711868</v>
      </c>
      <c r="E1936" s="234" t="s">
        <v>175</v>
      </c>
      <c r="F1936" s="296" t="s">
        <v>948</v>
      </c>
    </row>
    <row r="1937" spans="1:8" ht="17" x14ac:dyDescent="0.25">
      <c r="B1937" s="233" t="s">
        <v>965</v>
      </c>
      <c r="C1937" s="229"/>
      <c r="D1937" s="235">
        <v>0</v>
      </c>
      <c r="E1937" s="234" t="s">
        <v>559</v>
      </c>
      <c r="F1937" s="296" t="s">
        <v>560</v>
      </c>
    </row>
    <row r="1938" spans="1:8" ht="17" x14ac:dyDescent="0.25">
      <c r="B1938" s="233" t="s">
        <v>966</v>
      </c>
      <c r="C1938" s="229"/>
      <c r="D1938" s="240">
        <f>'Energy Balance'!Y39</f>
        <v>490.94171156331123</v>
      </c>
      <c r="E1938" s="234" t="s">
        <v>175</v>
      </c>
      <c r="F1938" s="296" t="s">
        <v>176</v>
      </c>
    </row>
    <row r="1939" spans="1:8" ht="17" x14ac:dyDescent="0.25">
      <c r="A1939" s="232" t="s">
        <v>967</v>
      </c>
      <c r="C1939" s="229"/>
    </row>
    <row r="1940" spans="1:8" ht="17" x14ac:dyDescent="0.25">
      <c r="B1940" s="233" t="s">
        <v>968</v>
      </c>
      <c r="C1940" s="229"/>
      <c r="D1940" s="241">
        <f>GWP!P37</f>
        <v>0</v>
      </c>
      <c r="E1940" s="234" t="s">
        <v>969</v>
      </c>
      <c r="F1940" s="296" t="s">
        <v>949</v>
      </c>
    </row>
    <row r="1941" spans="1:8" ht="17" x14ac:dyDescent="0.25">
      <c r="B1941" s="233" t="s">
        <v>970</v>
      </c>
      <c r="C1941" s="229"/>
      <c r="D1941" s="235">
        <v>0</v>
      </c>
      <c r="E1941" s="234" t="s">
        <v>172</v>
      </c>
      <c r="F1941" s="296" t="s">
        <v>190</v>
      </c>
      <c r="G1941" s="234"/>
      <c r="H1941" s="234"/>
    </row>
    <row r="1942" spans="1:8" ht="17" x14ac:dyDescent="0.25">
      <c r="B1942" s="233" t="s">
        <v>971</v>
      </c>
      <c r="C1942" s="229"/>
      <c r="D1942" s="244">
        <f>GWP!R37</f>
        <v>0</v>
      </c>
      <c r="E1942" s="234" t="s">
        <v>969</v>
      </c>
      <c r="F1942" s="296" t="s">
        <v>193</v>
      </c>
    </row>
    <row r="1943" spans="1:8" ht="17" x14ac:dyDescent="0.25">
      <c r="B1943" s="233" t="s">
        <v>972</v>
      </c>
      <c r="C1943" s="229"/>
      <c r="D1943" s="235">
        <v>0</v>
      </c>
      <c r="E1943" s="234" t="s">
        <v>172</v>
      </c>
      <c r="F1943" s="296" t="s">
        <v>192</v>
      </c>
      <c r="G1943" s="234"/>
      <c r="H1943" s="234"/>
    </row>
    <row r="1944" spans="1:8" ht="17" x14ac:dyDescent="0.25">
      <c r="B1944" s="233" t="s">
        <v>973</v>
      </c>
      <c r="C1944" s="229"/>
      <c r="D1944" s="243">
        <f>GWP!T37</f>
        <v>0</v>
      </c>
      <c r="E1944" s="234" t="s">
        <v>969</v>
      </c>
      <c r="F1944" s="296" t="s">
        <v>919</v>
      </c>
    </row>
    <row r="1945" spans="1:8" ht="17" x14ac:dyDescent="0.25">
      <c r="B1945" s="233" t="s">
        <v>974</v>
      </c>
      <c r="C1945" s="229"/>
      <c r="D1945" s="235">
        <v>0</v>
      </c>
      <c r="E1945" s="234" t="s">
        <v>969</v>
      </c>
      <c r="F1945" s="296" t="s">
        <v>200</v>
      </c>
      <c r="G1945" s="234"/>
      <c r="H1945" s="234"/>
    </row>
    <row r="1946" spans="1:8" ht="17" x14ac:dyDescent="0.25">
      <c r="B1946" s="233" t="s">
        <v>975</v>
      </c>
      <c r="C1946" s="229"/>
      <c r="D1946" s="235">
        <v>0</v>
      </c>
      <c r="E1946" s="234" t="s">
        <v>314</v>
      </c>
      <c r="F1946" s="296" t="s">
        <v>190</v>
      </c>
    </row>
    <row r="1947" spans="1:8" ht="17" x14ac:dyDescent="0.25">
      <c r="B1947" s="233" t="s">
        <v>976</v>
      </c>
      <c r="C1947" s="229"/>
      <c r="D1947" s="244">
        <f>GWP!AB37</f>
        <v>-191.43014535834681</v>
      </c>
      <c r="E1947" s="234" t="s">
        <v>314</v>
      </c>
      <c r="F1947" s="296" t="s">
        <v>179</v>
      </c>
    </row>
    <row r="1948" spans="1:8" x14ac:dyDescent="0.15">
      <c r="A1948" s="232" t="s">
        <v>41</v>
      </c>
      <c r="C1948" s="229"/>
    </row>
    <row r="1949" spans="1:8" ht="14" x14ac:dyDescent="0.15">
      <c r="A1949" s="250"/>
      <c r="B1949" s="233" t="s">
        <v>41</v>
      </c>
      <c r="C1949" s="250"/>
      <c r="D1949" s="254">
        <v>1885000</v>
      </c>
      <c r="E1949" s="234" t="s">
        <v>86</v>
      </c>
      <c r="F1949" s="296" t="s">
        <v>556</v>
      </c>
    </row>
    <row r="1950" spans="1:8" ht="14" x14ac:dyDescent="0.15">
      <c r="A1950" s="250"/>
      <c r="B1950" s="233" t="s">
        <v>207</v>
      </c>
      <c r="C1950" s="250"/>
      <c r="D1950" s="254">
        <f>D1949/D1922</f>
        <v>377000</v>
      </c>
      <c r="E1950" s="234" t="s">
        <v>813</v>
      </c>
      <c r="F1950" s="296" t="s">
        <v>563</v>
      </c>
    </row>
    <row r="1951" spans="1:8" ht="14" x14ac:dyDescent="0.15">
      <c r="B1951" s="233" t="s">
        <v>814</v>
      </c>
      <c r="D1951" s="260">
        <v>0.1769</v>
      </c>
      <c r="E1951" s="234" t="s">
        <v>111</v>
      </c>
      <c r="F1951" s="297" t="s">
        <v>797</v>
      </c>
    </row>
    <row r="1952" spans="1:8" x14ac:dyDescent="0.15">
      <c r="B1952" s="233" t="s">
        <v>799</v>
      </c>
      <c r="D1952" s="242">
        <f>D1950*(1+D1951)</f>
        <v>443691.30000000005</v>
      </c>
      <c r="E1952" s="234" t="s">
        <v>404</v>
      </c>
      <c r="F1952" s="297"/>
    </row>
    <row r="1953" spans="1:6" x14ac:dyDescent="0.15">
      <c r="A1953" s="232" t="s">
        <v>195</v>
      </c>
      <c r="C1953" s="229"/>
    </row>
    <row r="1954" spans="1:6" x14ac:dyDescent="0.15">
      <c r="B1954" s="233" t="s">
        <v>42</v>
      </c>
      <c r="C1954" s="229"/>
    </row>
    <row r="1955" spans="1:6" ht="14" x14ac:dyDescent="0.15">
      <c r="A1955" s="250"/>
      <c r="B1955" s="229"/>
      <c r="C1955" s="250" t="s">
        <v>564</v>
      </c>
      <c r="D1955" s="234">
        <f>0.2+0.26+0.2+0.2+0.1</f>
        <v>0.96000000000000008</v>
      </c>
      <c r="E1955" s="234" t="s">
        <v>95</v>
      </c>
      <c r="F1955" s="296" t="s">
        <v>565</v>
      </c>
    </row>
    <row r="1956" spans="1:6" ht="14" x14ac:dyDescent="0.15">
      <c r="A1956" s="250"/>
      <c r="B1956" s="229"/>
      <c r="C1956" s="250" t="s">
        <v>566</v>
      </c>
      <c r="D1956" s="234">
        <f>0.03+0.01+0.01+0.19+0.37+0.05</f>
        <v>0.66</v>
      </c>
      <c r="E1956" s="234" t="s">
        <v>95</v>
      </c>
      <c r="F1956" s="296" t="s">
        <v>565</v>
      </c>
    </row>
    <row r="1957" spans="1:6" ht="14" x14ac:dyDescent="0.15">
      <c r="A1957" s="250"/>
      <c r="B1957" s="229"/>
      <c r="C1957" s="250" t="s">
        <v>567</v>
      </c>
      <c r="D1957" s="251">
        <f>0.2+0.05+0.15*0.05+0.25*(0.05+0.2+0.15*0.05)+0.0125+0.05</f>
        <v>0.38437500000000002</v>
      </c>
      <c r="E1957" s="234" t="s">
        <v>95</v>
      </c>
      <c r="F1957" s="296" t="s">
        <v>565</v>
      </c>
    </row>
    <row r="1958" spans="1:6" ht="14" x14ac:dyDescent="0.15">
      <c r="A1958" s="250"/>
      <c r="B1958" s="229"/>
      <c r="C1958" s="250" t="s">
        <v>561</v>
      </c>
      <c r="D1958" s="254">
        <f>D1949/(1+SUM(D1955:D1957))</f>
        <v>627418.34824214689</v>
      </c>
      <c r="E1958" s="234" t="s">
        <v>86</v>
      </c>
      <c r="F1958" s="296" t="s">
        <v>568</v>
      </c>
    </row>
    <row r="1959" spans="1:6" ht="14" x14ac:dyDescent="0.15">
      <c r="A1959" s="250"/>
      <c r="B1959" s="229"/>
      <c r="C1959" s="250" t="s">
        <v>570</v>
      </c>
      <c r="D1959" s="254">
        <f>D1958*(D1957)</f>
        <v>241163.92760557521</v>
      </c>
      <c r="E1959" s="234" t="s">
        <v>281</v>
      </c>
      <c r="F1959" s="296" t="s">
        <v>568</v>
      </c>
    </row>
    <row r="1960" spans="1:6" ht="14" x14ac:dyDescent="0.15">
      <c r="A1960" s="250"/>
      <c r="B1960" s="229"/>
      <c r="C1960" s="250" t="s">
        <v>571</v>
      </c>
      <c r="D1960" s="254">
        <f>D1959/D1919</f>
        <v>734.13676592260333</v>
      </c>
      <c r="E1960" s="234" t="s">
        <v>569</v>
      </c>
      <c r="F1960" s="296" t="s">
        <v>509</v>
      </c>
    </row>
    <row r="1961" spans="1:6" ht="14" x14ac:dyDescent="0.15">
      <c r="A1961" s="250"/>
      <c r="B1961" s="229"/>
      <c r="C1961" s="250" t="s">
        <v>42</v>
      </c>
      <c r="D1961" s="254">
        <f>D1960/D1922</f>
        <v>146.82735318452066</v>
      </c>
      <c r="E1961" s="234" t="s">
        <v>817</v>
      </c>
      <c r="F1961" s="296" t="s">
        <v>467</v>
      </c>
    </row>
    <row r="1962" spans="1:6" ht="14" x14ac:dyDescent="0.15">
      <c r="B1962" s="233" t="s">
        <v>814</v>
      </c>
      <c r="D1962" s="260">
        <v>0.1769</v>
      </c>
      <c r="E1962" s="234" t="s">
        <v>111</v>
      </c>
      <c r="F1962" s="297" t="s">
        <v>797</v>
      </c>
    </row>
    <row r="1963" spans="1:6" x14ac:dyDescent="0.15">
      <c r="B1963" s="233" t="s">
        <v>798</v>
      </c>
      <c r="D1963" s="247">
        <f>D1961*(1+D1962)</f>
        <v>172.80111196286236</v>
      </c>
      <c r="E1963" s="234" t="s">
        <v>816</v>
      </c>
    </row>
    <row r="1964" spans="1:6" ht="14" x14ac:dyDescent="0.15">
      <c r="B1964" s="233" t="s">
        <v>197</v>
      </c>
      <c r="C1964" s="229"/>
      <c r="D1964" s="237">
        <f>'Commercial Viability'!F40</f>
        <v>4.6095451720581115</v>
      </c>
      <c r="E1964" s="234" t="s">
        <v>199</v>
      </c>
      <c r="F1964" s="296" t="s">
        <v>950</v>
      </c>
    </row>
    <row r="1965" spans="1:6" x14ac:dyDescent="0.15">
      <c r="B1965" s="233" t="s">
        <v>196</v>
      </c>
      <c r="C1965" s="229"/>
    </row>
    <row r="1966" spans="1:6" x14ac:dyDescent="0.15">
      <c r="A1966" s="250"/>
      <c r="B1966" s="229"/>
      <c r="C1966" s="250" t="s">
        <v>572</v>
      </c>
      <c r="D1966" s="254">
        <f>D1930-D1934</f>
        <v>474.38400000000001</v>
      </c>
      <c r="E1966" s="234" t="s">
        <v>175</v>
      </c>
      <c r="F1966" s="302"/>
    </row>
    <row r="1967" spans="1:6" ht="14" x14ac:dyDescent="0.15">
      <c r="C1967" s="233" t="s">
        <v>801</v>
      </c>
      <c r="D1967" s="234">
        <v>6.8099999999999994E-2</v>
      </c>
      <c r="E1967" s="234" t="s">
        <v>217</v>
      </c>
      <c r="F1967" s="299" t="s">
        <v>374</v>
      </c>
    </row>
    <row r="1968" spans="1:6" ht="14" x14ac:dyDescent="0.15">
      <c r="A1968" s="250"/>
      <c r="B1968" s="229"/>
      <c r="C1968" s="250" t="s">
        <v>573</v>
      </c>
      <c r="D1968" s="249">
        <f>D1966*D1967</f>
        <v>32.305550400000001</v>
      </c>
      <c r="E1968" s="234" t="s">
        <v>816</v>
      </c>
      <c r="F1968" s="303" t="s">
        <v>467</v>
      </c>
    </row>
    <row r="1969" spans="1:6" ht="14" x14ac:dyDescent="0.15">
      <c r="B1969" s="233" t="s">
        <v>195</v>
      </c>
      <c r="C1969" s="229"/>
      <c r="D1969" s="244">
        <f>'Commercial Viability'!H40</f>
        <v>-145.10510673492047</v>
      </c>
      <c r="E1969" s="234" t="s">
        <v>199</v>
      </c>
      <c r="F1969" s="296" t="s">
        <v>951</v>
      </c>
    </row>
    <row r="1970" spans="1:6" x14ac:dyDescent="0.15">
      <c r="A1970" s="232" t="s">
        <v>201</v>
      </c>
      <c r="C1970" s="229"/>
    </row>
    <row r="1971" spans="1:6" ht="28" x14ac:dyDescent="0.15">
      <c r="B1971" s="233" t="s">
        <v>6</v>
      </c>
      <c r="D1971" s="235">
        <v>7</v>
      </c>
      <c r="F1971" s="296" t="s">
        <v>326</v>
      </c>
    </row>
    <row r="1973" spans="1:6" s="228" customFormat="1" x14ac:dyDescent="0.15">
      <c r="A1973" s="225" t="s">
        <v>1003</v>
      </c>
      <c r="B1973" s="226"/>
      <c r="C1973" s="226"/>
      <c r="D1973" s="227"/>
      <c r="E1973" s="227"/>
      <c r="F1973" s="294"/>
    </row>
    <row r="1974" spans="1:6" ht="14" x14ac:dyDescent="0.15">
      <c r="B1974" s="230" t="s">
        <v>171</v>
      </c>
      <c r="C1974" s="230"/>
      <c r="D1974" s="231" t="s">
        <v>170</v>
      </c>
      <c r="E1974" s="231" t="s">
        <v>169</v>
      </c>
      <c r="F1974" s="295" t="s">
        <v>168</v>
      </c>
    </row>
    <row r="1975" spans="1:6" ht="14" x14ac:dyDescent="0.15">
      <c r="A1975" s="250"/>
      <c r="B1975" s="250" t="s">
        <v>593</v>
      </c>
      <c r="D1975" s="234">
        <v>8000</v>
      </c>
      <c r="E1975" s="234" t="s">
        <v>412</v>
      </c>
      <c r="F1975" s="296" t="s">
        <v>574</v>
      </c>
    </row>
    <row r="1976" spans="1:6" ht="14" x14ac:dyDescent="0.15">
      <c r="A1976" s="250"/>
      <c r="B1976" s="250" t="s">
        <v>594</v>
      </c>
      <c r="D1976" s="234">
        <v>24</v>
      </c>
      <c r="E1976" s="234" t="s">
        <v>413</v>
      </c>
      <c r="F1976" s="296" t="s">
        <v>76</v>
      </c>
    </row>
    <row r="1977" spans="1:6" ht="14" x14ac:dyDescent="0.15">
      <c r="A1977" s="250"/>
      <c r="B1977" s="250" t="s">
        <v>595</v>
      </c>
      <c r="D1977" s="234">
        <v>1875</v>
      </c>
      <c r="E1977" s="234" t="s">
        <v>501</v>
      </c>
      <c r="F1977" s="296" t="s">
        <v>575</v>
      </c>
    </row>
    <row r="1978" spans="1:6" ht="14" x14ac:dyDescent="0.15">
      <c r="A1978" s="250"/>
      <c r="B1978" s="250" t="s">
        <v>590</v>
      </c>
      <c r="D1978" s="234">
        <f>D1977*0.2</f>
        <v>375</v>
      </c>
      <c r="E1978" s="234" t="s">
        <v>501</v>
      </c>
      <c r="F1978" s="296" t="s">
        <v>575</v>
      </c>
    </row>
    <row r="1979" spans="1:6" ht="14" x14ac:dyDescent="0.15">
      <c r="A1979" s="250"/>
      <c r="B1979" s="250" t="s">
        <v>596</v>
      </c>
      <c r="D1979" s="234">
        <f>D1977*24/1000</f>
        <v>45</v>
      </c>
      <c r="E1979" s="234" t="s">
        <v>576</v>
      </c>
      <c r="F1979" s="296" t="s">
        <v>76</v>
      </c>
    </row>
    <row r="1980" spans="1:6" ht="14" x14ac:dyDescent="0.15">
      <c r="A1980" s="250"/>
      <c r="B1980" s="250" t="s">
        <v>459</v>
      </c>
      <c r="D1980" s="255">
        <v>0.8</v>
      </c>
      <c r="E1980" s="234" t="s">
        <v>272</v>
      </c>
      <c r="F1980" s="296" t="s">
        <v>76</v>
      </c>
    </row>
    <row r="1981" spans="1:6" ht="14" x14ac:dyDescent="0.15">
      <c r="A1981" s="250"/>
      <c r="B1981" s="250" t="s">
        <v>591</v>
      </c>
      <c r="D1981" s="254">
        <f>D1978*24/1000</f>
        <v>9</v>
      </c>
      <c r="E1981" s="234" t="s">
        <v>461</v>
      </c>
      <c r="F1981" s="296" t="s">
        <v>577</v>
      </c>
    </row>
    <row r="1982" spans="1:6" ht="14" x14ac:dyDescent="0.15">
      <c r="A1982" s="250"/>
      <c r="B1982" s="250" t="s">
        <v>592</v>
      </c>
      <c r="D1982" s="234">
        <f>D1978*D1975/1000</f>
        <v>3000</v>
      </c>
      <c r="E1982" s="234" t="s">
        <v>271</v>
      </c>
      <c r="F1982" s="296" t="s">
        <v>577</v>
      </c>
    </row>
    <row r="1983" spans="1:6" x14ac:dyDescent="0.15">
      <c r="A1983" s="232" t="s">
        <v>167</v>
      </c>
    </row>
    <row r="1984" spans="1:6" ht="14" x14ac:dyDescent="0.15">
      <c r="A1984" s="250"/>
      <c r="B1984" s="229"/>
      <c r="C1984" s="250" t="s">
        <v>578</v>
      </c>
      <c r="D1984" s="234">
        <v>1.9</v>
      </c>
      <c r="E1984" s="234" t="s">
        <v>501</v>
      </c>
      <c r="F1984" s="296" t="s">
        <v>575</v>
      </c>
    </row>
    <row r="1985" spans="1:6" ht="14" x14ac:dyDescent="0.15">
      <c r="A1985" s="250"/>
      <c r="B1985" s="229"/>
      <c r="C1985" s="250" t="s">
        <v>579</v>
      </c>
      <c r="D1985" s="234">
        <v>1.76</v>
      </c>
      <c r="E1985" s="234" t="s">
        <v>501</v>
      </c>
      <c r="F1985" s="296" t="s">
        <v>575</v>
      </c>
    </row>
    <row r="1986" spans="1:6" ht="14" x14ac:dyDescent="0.15">
      <c r="A1986" s="250"/>
      <c r="B1986" s="229"/>
      <c r="C1986" s="250" t="s">
        <v>581</v>
      </c>
      <c r="D1986" s="234">
        <f>D1984-D1985</f>
        <v>0.1399999999999999</v>
      </c>
      <c r="E1986" s="234" t="s">
        <v>501</v>
      </c>
      <c r="F1986" s="296" t="s">
        <v>580</v>
      </c>
    </row>
    <row r="1987" spans="1:6" ht="14" x14ac:dyDescent="0.15">
      <c r="A1987" s="250"/>
      <c r="B1987" s="229"/>
      <c r="C1987" s="250" t="s">
        <v>582</v>
      </c>
      <c r="D1987" s="271">
        <f>D1986/D1978</f>
        <v>3.7333333333333305E-4</v>
      </c>
      <c r="E1987" s="234" t="s">
        <v>272</v>
      </c>
      <c r="F1987" s="296" t="s">
        <v>66</v>
      </c>
    </row>
    <row r="1988" spans="1:6" ht="14" x14ac:dyDescent="0.15">
      <c r="A1988" s="250"/>
      <c r="B1988" s="229"/>
      <c r="C1988" s="250" t="s">
        <v>583</v>
      </c>
      <c r="D1988" s="239">
        <f>D1985/D1984</f>
        <v>0.9263157894736842</v>
      </c>
      <c r="E1988" s="234" t="s">
        <v>272</v>
      </c>
      <c r="F1988" s="296" t="s">
        <v>580</v>
      </c>
    </row>
    <row r="1989" spans="1:6" ht="17" x14ac:dyDescent="0.25">
      <c r="B1989" s="233" t="s">
        <v>957</v>
      </c>
      <c r="D1989" s="237">
        <f>'Energy Balance'!Q40</f>
        <v>5.066666666666662E-3</v>
      </c>
      <c r="E1989" s="234" t="s">
        <v>172</v>
      </c>
      <c r="F1989" s="296" t="s">
        <v>173</v>
      </c>
    </row>
    <row r="1990" spans="1:6" x14ac:dyDescent="0.15">
      <c r="A1990" s="232" t="s">
        <v>174</v>
      </c>
    </row>
    <row r="1991" spans="1:6" ht="17" x14ac:dyDescent="0.25">
      <c r="B1991" s="233" t="s">
        <v>958</v>
      </c>
      <c r="D1991" s="235">
        <v>0</v>
      </c>
      <c r="E1991" s="234" t="s">
        <v>175</v>
      </c>
      <c r="F1991" s="296" t="s">
        <v>295</v>
      </c>
    </row>
    <row r="1992" spans="1:6" ht="30" x14ac:dyDescent="0.25">
      <c r="B1992" s="233" t="s">
        <v>959</v>
      </c>
      <c r="C1992" s="229"/>
      <c r="D1992" s="236">
        <v>0</v>
      </c>
      <c r="E1992" s="234" t="s">
        <v>111</v>
      </c>
      <c r="F1992" s="296" t="s">
        <v>587</v>
      </c>
    </row>
    <row r="1993" spans="1:6" ht="17" x14ac:dyDescent="0.25">
      <c r="B1993" s="233" t="s">
        <v>960</v>
      </c>
      <c r="C1993" s="229"/>
      <c r="D1993" s="236">
        <v>0</v>
      </c>
      <c r="E1993" s="234" t="s">
        <v>111</v>
      </c>
      <c r="F1993" s="296" t="s">
        <v>87</v>
      </c>
    </row>
    <row r="1994" spans="1:6" ht="17" x14ac:dyDescent="0.25">
      <c r="B1994" s="233" t="s">
        <v>961</v>
      </c>
      <c r="C1994" s="229"/>
      <c r="D1994" s="240">
        <f>'Energy Balance'!D40</f>
        <v>0</v>
      </c>
      <c r="E1994" s="234" t="s">
        <v>175</v>
      </c>
      <c r="F1994" s="296" t="s">
        <v>947</v>
      </c>
    </row>
    <row r="1995" spans="1:6" ht="17" x14ac:dyDescent="0.25">
      <c r="B1995" s="233" t="s">
        <v>962</v>
      </c>
      <c r="C1995" s="229"/>
      <c r="D1995" s="229"/>
    </row>
    <row r="1996" spans="1:6" ht="14" x14ac:dyDescent="0.15">
      <c r="A1996" s="250"/>
      <c r="B1996" s="229"/>
      <c r="C1996" s="250" t="s">
        <v>611</v>
      </c>
      <c r="D1996" s="234">
        <v>746300</v>
      </c>
      <c r="E1996" s="234" t="s">
        <v>470</v>
      </c>
      <c r="F1996" s="296" t="s">
        <v>607</v>
      </c>
    </row>
    <row r="1997" spans="1:6" ht="14" x14ac:dyDescent="0.15">
      <c r="A1997" s="250"/>
      <c r="B1997" s="229"/>
      <c r="C1997" s="250" t="s">
        <v>611</v>
      </c>
      <c r="D1997" s="254">
        <f>D1996/D1982</f>
        <v>248.76666666666668</v>
      </c>
      <c r="E1997" s="234" t="s">
        <v>175</v>
      </c>
      <c r="F1997" s="296" t="s">
        <v>467</v>
      </c>
    </row>
    <row r="1998" spans="1:6" ht="14" x14ac:dyDescent="0.15">
      <c r="A1998" s="250"/>
      <c r="B1998" s="229"/>
      <c r="C1998" s="250" t="s">
        <v>227</v>
      </c>
      <c r="D1998" s="234">
        <v>60</v>
      </c>
      <c r="E1998" s="234" t="s">
        <v>175</v>
      </c>
      <c r="F1998" s="298" t="s">
        <v>204</v>
      </c>
    </row>
    <row r="1999" spans="1:6" ht="14" x14ac:dyDescent="0.15">
      <c r="A1999" s="250"/>
      <c r="B1999" s="229"/>
      <c r="C1999" s="250" t="s">
        <v>228</v>
      </c>
      <c r="D1999" s="249">
        <f>SUM(D1997:D1998)</f>
        <v>308.76666666666665</v>
      </c>
      <c r="E1999" s="234" t="s">
        <v>175</v>
      </c>
      <c r="F1999" s="296" t="s">
        <v>66</v>
      </c>
    </row>
    <row r="2000" spans="1:6" ht="17" x14ac:dyDescent="0.25">
      <c r="B2000" s="233" t="s">
        <v>963</v>
      </c>
      <c r="C2000" s="229"/>
    </row>
    <row r="2001" spans="1:8" ht="14" x14ac:dyDescent="0.15">
      <c r="A2001" s="250"/>
      <c r="B2001" s="229"/>
      <c r="C2001" s="250" t="s">
        <v>597</v>
      </c>
      <c r="D2001" s="254">
        <v>1107200</v>
      </c>
      <c r="E2001" s="234" t="s">
        <v>477</v>
      </c>
      <c r="F2001" s="296" t="s">
        <v>588</v>
      </c>
    </row>
    <row r="2002" spans="1:8" ht="14" x14ac:dyDescent="0.15">
      <c r="A2002" s="250"/>
      <c r="B2002" s="229"/>
      <c r="C2002" s="250" t="s">
        <v>598</v>
      </c>
      <c r="D2002" s="236">
        <f>D2001/1000/D1982</f>
        <v>0.36906666666666671</v>
      </c>
      <c r="E2002" s="234" t="s">
        <v>272</v>
      </c>
      <c r="F2002" s="296" t="s">
        <v>589</v>
      </c>
    </row>
    <row r="2003" spans="1:8" ht="14" x14ac:dyDescent="0.15">
      <c r="A2003" s="250"/>
      <c r="B2003" s="229"/>
      <c r="C2003" s="250" t="s">
        <v>600</v>
      </c>
      <c r="D2003" s="234">
        <v>16.7</v>
      </c>
      <c r="E2003" s="234" t="s">
        <v>488</v>
      </c>
      <c r="F2003" s="296" t="s">
        <v>599</v>
      </c>
    </row>
    <row r="2004" spans="1:8" ht="14" x14ac:dyDescent="0.15">
      <c r="A2004" s="250"/>
      <c r="B2004" s="229"/>
      <c r="C2004" s="250" t="s">
        <v>600</v>
      </c>
      <c r="D2004" s="251">
        <f>D2003*947.804*1000/1000000</f>
        <v>15.828326799999999</v>
      </c>
      <c r="E2004" s="234" t="s">
        <v>601</v>
      </c>
      <c r="F2004" s="296" t="s">
        <v>602</v>
      </c>
    </row>
    <row r="2005" spans="1:8" ht="14" x14ac:dyDescent="0.15">
      <c r="A2005" s="250"/>
      <c r="B2005" s="229"/>
      <c r="C2005" s="250" t="s">
        <v>606</v>
      </c>
      <c r="D2005" s="234">
        <f>D2001*D2003</f>
        <v>18490240</v>
      </c>
      <c r="E2005" s="234" t="s">
        <v>603</v>
      </c>
      <c r="F2005" s="296" t="s">
        <v>604</v>
      </c>
    </row>
    <row r="2006" spans="1:8" ht="14" x14ac:dyDescent="0.15">
      <c r="A2006" s="250"/>
      <c r="B2006" s="229"/>
      <c r="C2006" s="250" t="s">
        <v>606</v>
      </c>
      <c r="D2006" s="254">
        <f>D2005/3.6</f>
        <v>5136177.777777778</v>
      </c>
      <c r="E2006" s="234" t="s">
        <v>470</v>
      </c>
      <c r="F2006" s="296" t="s">
        <v>605</v>
      </c>
    </row>
    <row r="2007" spans="1:8" ht="14" x14ac:dyDescent="0.15">
      <c r="A2007" s="250"/>
      <c r="B2007" s="229"/>
      <c r="C2007" s="250" t="s">
        <v>606</v>
      </c>
      <c r="D2007" s="249">
        <f>D2006/D1982</f>
        <v>1712.0592592592593</v>
      </c>
      <c r="E2007" s="234" t="s">
        <v>175</v>
      </c>
      <c r="F2007" s="296" t="s">
        <v>467</v>
      </c>
    </row>
    <row r="2008" spans="1:8" ht="14" x14ac:dyDescent="0.15">
      <c r="A2008" s="250"/>
      <c r="B2008" s="229"/>
      <c r="C2008" s="250" t="s">
        <v>890</v>
      </c>
      <c r="D2008" s="272">
        <v>19.260000000000002</v>
      </c>
      <c r="E2008" s="234" t="s">
        <v>610</v>
      </c>
      <c r="F2008" s="297" t="s">
        <v>374</v>
      </c>
    </row>
    <row r="2009" spans="1:8" ht="14" x14ac:dyDescent="0.15">
      <c r="A2009" s="250"/>
      <c r="B2009" s="229"/>
      <c r="C2009" s="250" t="s">
        <v>890</v>
      </c>
      <c r="D2009" s="272">
        <f>D2008/2000*2204.62</f>
        <v>21.230490600000003</v>
      </c>
      <c r="E2009" s="234" t="s">
        <v>601</v>
      </c>
      <c r="F2009" s="296" t="s">
        <v>891</v>
      </c>
    </row>
    <row r="2010" spans="1:8" ht="17" x14ac:dyDescent="0.25">
      <c r="A2010" s="250"/>
      <c r="B2010" s="233" t="s">
        <v>964</v>
      </c>
      <c r="C2010" s="259"/>
      <c r="D2010" s="244">
        <f>'Energy Balance'!S40</f>
        <v>0.68610291719508432</v>
      </c>
      <c r="E2010" s="234" t="s">
        <v>175</v>
      </c>
      <c r="F2010" s="296" t="s">
        <v>948</v>
      </c>
    </row>
    <row r="2011" spans="1:8" ht="17" x14ac:dyDescent="0.25">
      <c r="B2011" s="233" t="s">
        <v>965</v>
      </c>
      <c r="C2011" s="229"/>
      <c r="D2011" s="235">
        <v>0</v>
      </c>
      <c r="E2011" s="234" t="s">
        <v>178</v>
      </c>
      <c r="F2011" s="296" t="s">
        <v>560</v>
      </c>
    </row>
    <row r="2012" spans="1:8" ht="17" x14ac:dyDescent="0.25">
      <c r="B2012" s="233" t="s">
        <v>966</v>
      </c>
      <c r="C2012" s="229"/>
      <c r="D2012" s="240">
        <f>'Energy Balance'!Y40</f>
        <v>1423.9941869153611</v>
      </c>
      <c r="E2012" s="234" t="s">
        <v>175</v>
      </c>
      <c r="F2012" s="296" t="s">
        <v>176</v>
      </c>
    </row>
    <row r="2013" spans="1:8" ht="17" x14ac:dyDescent="0.25">
      <c r="A2013" s="232" t="s">
        <v>967</v>
      </c>
      <c r="C2013" s="229"/>
    </row>
    <row r="2014" spans="1:8" ht="17" x14ac:dyDescent="0.25">
      <c r="B2014" s="233" t="s">
        <v>968</v>
      </c>
      <c r="C2014" s="229"/>
      <c r="D2014" s="241">
        <f>GWP!P38</f>
        <v>0</v>
      </c>
      <c r="E2014" s="234" t="s">
        <v>969</v>
      </c>
      <c r="F2014" s="296" t="s">
        <v>949</v>
      </c>
    </row>
    <row r="2015" spans="1:8" ht="17" x14ac:dyDescent="0.25">
      <c r="B2015" s="233" t="s">
        <v>970</v>
      </c>
      <c r="C2015" s="229"/>
      <c r="D2015" s="235">
        <v>0</v>
      </c>
      <c r="E2015" s="234" t="s">
        <v>172</v>
      </c>
      <c r="F2015" s="296" t="s">
        <v>190</v>
      </c>
      <c r="G2015" s="234"/>
      <c r="H2015" s="234"/>
    </row>
    <row r="2016" spans="1:8" ht="17" x14ac:dyDescent="0.25">
      <c r="B2016" s="233" t="s">
        <v>971</v>
      </c>
      <c r="C2016" s="229"/>
      <c r="D2016" s="244">
        <f>GWP!R38</f>
        <v>0</v>
      </c>
      <c r="E2016" s="234" t="s">
        <v>969</v>
      </c>
      <c r="F2016" s="296" t="s">
        <v>193</v>
      </c>
    </row>
    <row r="2017" spans="1:8" ht="17" x14ac:dyDescent="0.25">
      <c r="B2017" s="233" t="s">
        <v>972</v>
      </c>
      <c r="C2017" s="229"/>
      <c r="D2017" s="235">
        <v>0</v>
      </c>
      <c r="E2017" s="234" t="s">
        <v>172</v>
      </c>
      <c r="F2017" s="296" t="s">
        <v>192</v>
      </c>
      <c r="G2017" s="234"/>
      <c r="H2017" s="234"/>
    </row>
    <row r="2018" spans="1:8" ht="17" x14ac:dyDescent="0.25">
      <c r="B2018" s="233" t="s">
        <v>973</v>
      </c>
      <c r="C2018" s="229"/>
      <c r="D2018" s="243">
        <f>GWP!T38</f>
        <v>0</v>
      </c>
      <c r="E2018" s="234" t="s">
        <v>969</v>
      </c>
      <c r="F2018" s="296" t="s">
        <v>919</v>
      </c>
    </row>
    <row r="2019" spans="1:8" ht="17" x14ac:dyDescent="0.25">
      <c r="B2019" s="233" t="s">
        <v>974</v>
      </c>
      <c r="C2019" s="229"/>
      <c r="D2019" s="244">
        <f>GWP!Z38</f>
        <v>1751.4366222222222</v>
      </c>
      <c r="E2019" s="234" t="s">
        <v>969</v>
      </c>
      <c r="F2019" s="296" t="s">
        <v>200</v>
      </c>
      <c r="G2019" s="234"/>
      <c r="H2019" s="234"/>
    </row>
    <row r="2020" spans="1:8" ht="17" x14ac:dyDescent="0.25">
      <c r="B2020" s="233" t="s">
        <v>975</v>
      </c>
      <c r="C2020" s="229"/>
      <c r="D2020" s="235">
        <v>0</v>
      </c>
      <c r="E2020" s="234" t="s">
        <v>314</v>
      </c>
      <c r="F2020" s="296" t="s">
        <v>190</v>
      </c>
    </row>
    <row r="2021" spans="1:8" ht="17" x14ac:dyDescent="0.25">
      <c r="B2021" s="233" t="s">
        <v>976</v>
      </c>
      <c r="C2021" s="229"/>
      <c r="D2021" s="244">
        <f>GWP!AB38</f>
        <v>-1623.3260338584823</v>
      </c>
      <c r="E2021" s="234" t="s">
        <v>314</v>
      </c>
      <c r="F2021" s="296" t="s">
        <v>179</v>
      </c>
    </row>
    <row r="2022" spans="1:8" x14ac:dyDescent="0.15">
      <c r="A2022" s="232" t="s">
        <v>41</v>
      </c>
      <c r="C2022" s="229"/>
    </row>
    <row r="2023" spans="1:8" ht="14" x14ac:dyDescent="0.15">
      <c r="A2023" s="250"/>
      <c r="B2023" s="250" t="s">
        <v>584</v>
      </c>
      <c r="D2023" s="254">
        <v>2397462</v>
      </c>
      <c r="E2023" s="234" t="s">
        <v>86</v>
      </c>
      <c r="F2023" s="296" t="s">
        <v>585</v>
      </c>
    </row>
    <row r="2024" spans="1:8" ht="14" x14ac:dyDescent="0.15">
      <c r="A2024" s="250"/>
      <c r="B2024" s="250" t="s">
        <v>207</v>
      </c>
      <c r="D2024" s="254">
        <f>D2023/D1981</f>
        <v>266384.66666666669</v>
      </c>
      <c r="E2024" s="234" t="s">
        <v>818</v>
      </c>
      <c r="F2024" s="296" t="s">
        <v>467</v>
      </c>
    </row>
    <row r="2025" spans="1:8" ht="14" x14ac:dyDescent="0.15">
      <c r="B2025" s="233" t="s">
        <v>821</v>
      </c>
      <c r="D2025" s="260">
        <v>7.51E-2</v>
      </c>
      <c r="E2025" s="234" t="s">
        <v>111</v>
      </c>
      <c r="F2025" s="297" t="s">
        <v>797</v>
      </c>
    </row>
    <row r="2026" spans="1:8" x14ac:dyDescent="0.15">
      <c r="B2026" s="233" t="s">
        <v>799</v>
      </c>
      <c r="D2026" s="242">
        <f>D2024*(1+D2025)</f>
        <v>286390.15513333335</v>
      </c>
      <c r="E2026" s="234" t="s">
        <v>404</v>
      </c>
      <c r="F2026" s="297"/>
    </row>
    <row r="2027" spans="1:8" x14ac:dyDescent="0.15">
      <c r="A2027" s="232" t="s">
        <v>195</v>
      </c>
      <c r="C2027" s="229"/>
    </row>
    <row r="2028" spans="1:8" x14ac:dyDescent="0.15">
      <c r="B2028" s="233" t="s">
        <v>42</v>
      </c>
      <c r="C2028" s="229"/>
    </row>
    <row r="2029" spans="1:8" ht="14" x14ac:dyDescent="0.15">
      <c r="A2029" s="250"/>
      <c r="B2029" s="229"/>
      <c r="C2029" s="250" t="s">
        <v>613</v>
      </c>
      <c r="D2029" s="254">
        <v>1015000</v>
      </c>
      <c r="E2029" s="234" t="s">
        <v>281</v>
      </c>
      <c r="F2029" s="296" t="s">
        <v>607</v>
      </c>
    </row>
    <row r="2030" spans="1:8" ht="14" x14ac:dyDescent="0.15">
      <c r="A2030" s="250"/>
      <c r="B2030" s="229"/>
      <c r="C2030" s="250" t="s">
        <v>210</v>
      </c>
      <c r="D2030" s="254">
        <f>D2029/D1982</f>
        <v>338.33333333333331</v>
      </c>
      <c r="E2030" s="234" t="s">
        <v>819</v>
      </c>
      <c r="F2030" s="296" t="s">
        <v>467</v>
      </c>
    </row>
    <row r="2031" spans="1:8" ht="14" x14ac:dyDescent="0.15">
      <c r="B2031" s="233" t="s">
        <v>821</v>
      </c>
      <c r="D2031" s="260">
        <v>7.51E-2</v>
      </c>
      <c r="E2031" s="234" t="s">
        <v>111</v>
      </c>
      <c r="F2031" s="297" t="s">
        <v>797</v>
      </c>
    </row>
    <row r="2032" spans="1:8" x14ac:dyDescent="0.15">
      <c r="B2032" s="233" t="s">
        <v>798</v>
      </c>
      <c r="D2032" s="247">
        <f>D2030*(1+D2031)</f>
        <v>363.74216666666661</v>
      </c>
      <c r="E2032" s="234" t="s">
        <v>816</v>
      </c>
    </row>
    <row r="2033" spans="1:6" ht="14" x14ac:dyDescent="0.15">
      <c r="B2033" s="233" t="s">
        <v>197</v>
      </c>
      <c r="C2033" s="229"/>
      <c r="D2033" s="237">
        <f>'Commercial Viability'!F41</f>
        <v>0.29193786089701346</v>
      </c>
      <c r="E2033" s="234" t="s">
        <v>199</v>
      </c>
      <c r="F2033" s="296" t="s">
        <v>950</v>
      </c>
    </row>
    <row r="2034" spans="1:6" x14ac:dyDescent="0.15">
      <c r="B2034" s="233" t="s">
        <v>196</v>
      </c>
      <c r="C2034" s="229"/>
    </row>
    <row r="2035" spans="1:6" ht="14" x14ac:dyDescent="0.15">
      <c r="A2035" s="250"/>
      <c r="B2035" s="229"/>
      <c r="C2035" s="250" t="s">
        <v>614</v>
      </c>
      <c r="D2035" s="251">
        <v>7.0000000000000007E-2</v>
      </c>
      <c r="E2035" s="234" t="s">
        <v>323</v>
      </c>
      <c r="F2035" s="296" t="s">
        <v>607</v>
      </c>
    </row>
    <row r="2036" spans="1:6" ht="14" x14ac:dyDescent="0.15">
      <c r="A2036" s="250"/>
      <c r="B2036" s="229"/>
      <c r="C2036" s="250" t="s">
        <v>615</v>
      </c>
      <c r="D2036" s="266">
        <f>D2001*D2035</f>
        <v>77504.000000000015</v>
      </c>
      <c r="E2036" s="234" t="s">
        <v>281</v>
      </c>
      <c r="F2036" s="296" t="s">
        <v>612</v>
      </c>
    </row>
    <row r="2037" spans="1:6" x14ac:dyDescent="0.15">
      <c r="A2037" s="250"/>
      <c r="B2037" s="229"/>
      <c r="C2037" s="250" t="s">
        <v>615</v>
      </c>
      <c r="D2037" s="251">
        <f>D2036/D1982</f>
        <v>25.834666666666671</v>
      </c>
      <c r="E2037" s="234" t="s">
        <v>820</v>
      </c>
    </row>
    <row r="2038" spans="1:6" ht="14" x14ac:dyDescent="0.15">
      <c r="B2038" s="233" t="s">
        <v>821</v>
      </c>
      <c r="D2038" s="260">
        <v>7.51E-2</v>
      </c>
      <c r="E2038" s="234" t="s">
        <v>111</v>
      </c>
      <c r="F2038" s="297" t="s">
        <v>797</v>
      </c>
    </row>
    <row r="2039" spans="1:6" x14ac:dyDescent="0.15">
      <c r="B2039" s="233" t="s">
        <v>809</v>
      </c>
      <c r="D2039" s="247">
        <f>D2037*(1+D2038)</f>
        <v>27.774850133333338</v>
      </c>
      <c r="E2039" s="234" t="s">
        <v>816</v>
      </c>
    </row>
    <row r="2040" spans="1:6" ht="14" x14ac:dyDescent="0.15">
      <c r="B2040" s="233" t="s">
        <v>195</v>
      </c>
      <c r="C2040" s="229"/>
      <c r="D2040" s="244">
        <f>'Commercial Viability'!H41</f>
        <v>-336.25925439423031</v>
      </c>
      <c r="E2040" s="234" t="s">
        <v>199</v>
      </c>
      <c r="F2040" s="296" t="s">
        <v>951</v>
      </c>
    </row>
    <row r="2041" spans="1:6" x14ac:dyDescent="0.15">
      <c r="A2041" s="232" t="s">
        <v>201</v>
      </c>
      <c r="C2041" s="229"/>
    </row>
    <row r="2042" spans="1:6" ht="28" x14ac:dyDescent="0.15">
      <c r="B2042" s="233" t="s">
        <v>6</v>
      </c>
      <c r="D2042" s="235">
        <v>7</v>
      </c>
      <c r="F2042" s="296" t="s">
        <v>326</v>
      </c>
    </row>
    <row r="2043" spans="1:6" x14ac:dyDescent="0.15">
      <c r="A2043" s="250"/>
      <c r="B2043" s="229"/>
      <c r="C2043" s="250"/>
      <c r="D2043" s="270"/>
      <c r="F2043" s="300"/>
    </row>
    <row r="2044" spans="1:6" s="228" customFormat="1" x14ac:dyDescent="0.15">
      <c r="A2044" s="225" t="s">
        <v>1004</v>
      </c>
      <c r="B2044" s="226"/>
      <c r="C2044" s="226"/>
      <c r="D2044" s="227"/>
      <c r="E2044" s="227"/>
      <c r="F2044" s="294"/>
    </row>
    <row r="2045" spans="1:6" ht="14" x14ac:dyDescent="0.15">
      <c r="B2045" s="230" t="s">
        <v>171</v>
      </c>
      <c r="C2045" s="230"/>
      <c r="D2045" s="231" t="s">
        <v>170</v>
      </c>
      <c r="E2045" s="231" t="s">
        <v>169</v>
      </c>
      <c r="F2045" s="295" t="s">
        <v>168</v>
      </c>
    </row>
    <row r="2046" spans="1:6" ht="14" x14ac:dyDescent="0.15">
      <c r="A2046" s="250"/>
      <c r="B2046" s="250" t="s">
        <v>593</v>
      </c>
      <c r="D2046" s="234">
        <v>8000</v>
      </c>
      <c r="E2046" s="234" t="s">
        <v>412</v>
      </c>
      <c r="F2046" s="296" t="s">
        <v>574</v>
      </c>
    </row>
    <row r="2047" spans="1:6" ht="14" x14ac:dyDescent="0.15">
      <c r="A2047" s="250"/>
      <c r="B2047" s="250" t="s">
        <v>594</v>
      </c>
      <c r="D2047" s="234">
        <v>24</v>
      </c>
      <c r="E2047" s="234" t="s">
        <v>413</v>
      </c>
      <c r="F2047" s="296" t="s">
        <v>76</v>
      </c>
    </row>
    <row r="2048" spans="1:6" ht="14" x14ac:dyDescent="0.15">
      <c r="A2048" s="250"/>
      <c r="B2048" s="250" t="s">
        <v>595</v>
      </c>
      <c r="D2048" s="234">
        <v>1875</v>
      </c>
      <c r="E2048" s="234" t="s">
        <v>501</v>
      </c>
      <c r="F2048" s="296" t="s">
        <v>575</v>
      </c>
    </row>
    <row r="2049" spans="1:6" ht="14" x14ac:dyDescent="0.15">
      <c r="A2049" s="250"/>
      <c r="B2049" s="250" t="s">
        <v>590</v>
      </c>
      <c r="D2049" s="234">
        <f>D2048*0.2</f>
        <v>375</v>
      </c>
      <c r="E2049" s="234" t="s">
        <v>501</v>
      </c>
      <c r="F2049" s="296" t="s">
        <v>575</v>
      </c>
    </row>
    <row r="2050" spans="1:6" ht="14" x14ac:dyDescent="0.15">
      <c r="A2050" s="250"/>
      <c r="B2050" s="250" t="s">
        <v>596</v>
      </c>
      <c r="D2050" s="234">
        <f>D2048*24/1000</f>
        <v>45</v>
      </c>
      <c r="E2050" s="234" t="s">
        <v>576</v>
      </c>
      <c r="F2050" s="296" t="s">
        <v>76</v>
      </c>
    </row>
    <row r="2051" spans="1:6" ht="14" x14ac:dyDescent="0.15">
      <c r="A2051" s="250"/>
      <c r="B2051" s="250" t="s">
        <v>459</v>
      </c>
      <c r="D2051" s="255">
        <v>0.8</v>
      </c>
      <c r="E2051" s="234" t="s">
        <v>272</v>
      </c>
      <c r="F2051" s="296" t="s">
        <v>76</v>
      </c>
    </row>
    <row r="2052" spans="1:6" ht="14" x14ac:dyDescent="0.15">
      <c r="A2052" s="250"/>
      <c r="B2052" s="250" t="s">
        <v>591</v>
      </c>
      <c r="D2052" s="254">
        <f>D2049*24/1000</f>
        <v>9</v>
      </c>
      <c r="E2052" s="234" t="s">
        <v>461</v>
      </c>
      <c r="F2052" s="296" t="s">
        <v>577</v>
      </c>
    </row>
    <row r="2053" spans="1:6" ht="14" x14ac:dyDescent="0.15">
      <c r="A2053" s="250"/>
      <c r="B2053" s="250" t="s">
        <v>592</v>
      </c>
      <c r="D2053" s="234">
        <f>D2049*D2046/1000</f>
        <v>3000</v>
      </c>
      <c r="E2053" s="234" t="s">
        <v>271</v>
      </c>
      <c r="F2053" s="296" t="s">
        <v>577</v>
      </c>
    </row>
    <row r="2054" spans="1:6" x14ac:dyDescent="0.15">
      <c r="A2054" s="232" t="s">
        <v>167</v>
      </c>
    </row>
    <row r="2055" spans="1:6" ht="14" x14ac:dyDescent="0.15">
      <c r="A2055" s="250"/>
      <c r="B2055" s="229"/>
      <c r="C2055" s="250" t="s">
        <v>578</v>
      </c>
      <c r="D2055" s="234">
        <v>1.9</v>
      </c>
      <c r="E2055" s="234" t="s">
        <v>501</v>
      </c>
      <c r="F2055" s="296" t="s">
        <v>575</v>
      </c>
    </row>
    <row r="2056" spans="1:6" ht="14" x14ac:dyDescent="0.15">
      <c r="A2056" s="250"/>
      <c r="B2056" s="229"/>
      <c r="C2056" s="250" t="s">
        <v>579</v>
      </c>
      <c r="D2056" s="234">
        <v>1.76</v>
      </c>
      <c r="E2056" s="234" t="s">
        <v>501</v>
      </c>
      <c r="F2056" s="296" t="s">
        <v>575</v>
      </c>
    </row>
    <row r="2057" spans="1:6" ht="14" x14ac:dyDescent="0.15">
      <c r="A2057" s="250"/>
      <c r="B2057" s="229"/>
      <c r="C2057" s="250" t="s">
        <v>581</v>
      </c>
      <c r="D2057" s="234">
        <f>D2055-D2056</f>
        <v>0.1399999999999999</v>
      </c>
      <c r="E2057" s="234" t="s">
        <v>501</v>
      </c>
      <c r="F2057" s="296" t="s">
        <v>580</v>
      </c>
    </row>
    <row r="2058" spans="1:6" ht="14" x14ac:dyDescent="0.15">
      <c r="A2058" s="250"/>
      <c r="B2058" s="229"/>
      <c r="C2058" s="250" t="s">
        <v>582</v>
      </c>
      <c r="D2058" s="271">
        <f>D2057/D2049</f>
        <v>3.7333333333333305E-4</v>
      </c>
      <c r="E2058" s="234" t="s">
        <v>272</v>
      </c>
      <c r="F2058" s="296" t="s">
        <v>66</v>
      </c>
    </row>
    <row r="2059" spans="1:6" ht="14" x14ac:dyDescent="0.15">
      <c r="A2059" s="250"/>
      <c r="B2059" s="229"/>
      <c r="C2059" s="250" t="s">
        <v>583</v>
      </c>
      <c r="D2059" s="239">
        <f>D2056/D2055</f>
        <v>0.9263157894736842</v>
      </c>
      <c r="E2059" s="234" t="s">
        <v>272</v>
      </c>
      <c r="F2059" s="296" t="s">
        <v>580</v>
      </c>
    </row>
    <row r="2060" spans="1:6" ht="17" x14ac:dyDescent="0.25">
      <c r="B2060" s="233" t="s">
        <v>957</v>
      </c>
      <c r="D2060" s="237">
        <f>'Energy Balance'!Q41</f>
        <v>5.066666666666662E-3</v>
      </c>
      <c r="E2060" s="234" t="s">
        <v>172</v>
      </c>
      <c r="F2060" s="296" t="s">
        <v>173</v>
      </c>
    </row>
    <row r="2061" spans="1:6" x14ac:dyDescent="0.15">
      <c r="A2061" s="232" t="s">
        <v>174</v>
      </c>
    </row>
    <row r="2062" spans="1:6" ht="17" x14ac:dyDescent="0.25">
      <c r="B2062" s="233" t="s">
        <v>958</v>
      </c>
      <c r="D2062" s="235">
        <v>0</v>
      </c>
      <c r="E2062" s="234" t="s">
        <v>175</v>
      </c>
      <c r="F2062" s="296" t="s">
        <v>295</v>
      </c>
    </row>
    <row r="2063" spans="1:6" ht="30" x14ac:dyDescent="0.25">
      <c r="B2063" s="233" t="s">
        <v>959</v>
      </c>
      <c r="C2063" s="229"/>
      <c r="D2063" s="236">
        <v>0</v>
      </c>
      <c r="E2063" s="234" t="s">
        <v>111</v>
      </c>
      <c r="F2063" s="296" t="s">
        <v>587</v>
      </c>
    </row>
    <row r="2064" spans="1:6" ht="17" x14ac:dyDescent="0.25">
      <c r="B2064" s="233" t="s">
        <v>960</v>
      </c>
      <c r="C2064" s="229"/>
      <c r="D2064" s="236">
        <v>0</v>
      </c>
      <c r="E2064" s="234" t="s">
        <v>111</v>
      </c>
      <c r="F2064" s="296" t="s">
        <v>87</v>
      </c>
    </row>
    <row r="2065" spans="1:6" ht="17" x14ac:dyDescent="0.25">
      <c r="B2065" s="233" t="s">
        <v>961</v>
      </c>
      <c r="C2065" s="229"/>
      <c r="D2065" s="240">
        <f>'Energy Balance'!D41</f>
        <v>0</v>
      </c>
      <c r="E2065" s="234" t="s">
        <v>175</v>
      </c>
      <c r="F2065" s="296" t="s">
        <v>947</v>
      </c>
    </row>
    <row r="2066" spans="1:6" ht="17" x14ac:dyDescent="0.25">
      <c r="B2066" s="233" t="s">
        <v>962</v>
      </c>
      <c r="C2066" s="229"/>
      <c r="D2066" s="229"/>
    </row>
    <row r="2067" spans="1:6" ht="14" x14ac:dyDescent="0.15">
      <c r="A2067" s="250"/>
      <c r="B2067" s="229"/>
      <c r="C2067" s="250" t="s">
        <v>611</v>
      </c>
      <c r="D2067" s="234">
        <v>746300</v>
      </c>
      <c r="E2067" s="234" t="s">
        <v>470</v>
      </c>
      <c r="F2067" s="296" t="s">
        <v>607</v>
      </c>
    </row>
    <row r="2068" spans="1:6" ht="14" x14ac:dyDescent="0.15">
      <c r="A2068" s="250"/>
      <c r="B2068" s="229"/>
      <c r="C2068" s="250" t="s">
        <v>611</v>
      </c>
      <c r="D2068" s="254">
        <f>D2067/D2053</f>
        <v>248.76666666666668</v>
      </c>
      <c r="E2068" s="234" t="s">
        <v>175</v>
      </c>
      <c r="F2068" s="296" t="s">
        <v>467</v>
      </c>
    </row>
    <row r="2069" spans="1:6" ht="14" x14ac:dyDescent="0.15">
      <c r="A2069" s="250"/>
      <c r="B2069" s="229"/>
      <c r="C2069" s="250" t="s">
        <v>227</v>
      </c>
      <c r="D2069" s="234">
        <v>60</v>
      </c>
      <c r="E2069" s="234" t="s">
        <v>175</v>
      </c>
      <c r="F2069" s="298" t="s">
        <v>204</v>
      </c>
    </row>
    <row r="2070" spans="1:6" ht="14" x14ac:dyDescent="0.15">
      <c r="A2070" s="250"/>
      <c r="B2070" s="229"/>
      <c r="C2070" s="250" t="s">
        <v>228</v>
      </c>
      <c r="D2070" s="249">
        <f>SUM(D2068:D2069)</f>
        <v>308.76666666666665</v>
      </c>
      <c r="E2070" s="234" t="s">
        <v>175</v>
      </c>
      <c r="F2070" s="296" t="s">
        <v>66</v>
      </c>
    </row>
    <row r="2071" spans="1:6" ht="17" x14ac:dyDescent="0.25">
      <c r="B2071" s="233" t="s">
        <v>963</v>
      </c>
      <c r="C2071" s="229"/>
    </row>
    <row r="2072" spans="1:6" ht="14" x14ac:dyDescent="0.15">
      <c r="A2072" s="250"/>
      <c r="B2072" s="229"/>
      <c r="C2072" s="250" t="s">
        <v>597</v>
      </c>
      <c r="D2072" s="254">
        <v>3307200</v>
      </c>
      <c r="E2072" s="234" t="s">
        <v>477</v>
      </c>
      <c r="F2072" s="296" t="s">
        <v>588</v>
      </c>
    </row>
    <row r="2073" spans="1:6" ht="14" x14ac:dyDescent="0.15">
      <c r="A2073" s="250"/>
      <c r="B2073" s="229"/>
      <c r="C2073" s="250" t="s">
        <v>598</v>
      </c>
      <c r="D2073" s="236">
        <f>D2072/1000/D2053</f>
        <v>1.1024</v>
      </c>
      <c r="E2073" s="234" t="s">
        <v>272</v>
      </c>
      <c r="F2073" s="296" t="s">
        <v>589</v>
      </c>
    </row>
    <row r="2074" spans="1:6" ht="14" x14ac:dyDescent="0.15">
      <c r="A2074" s="250"/>
      <c r="B2074" s="229"/>
      <c r="C2074" s="250" t="s">
        <v>600</v>
      </c>
      <c r="D2074" s="234">
        <v>16.7</v>
      </c>
      <c r="E2074" s="234" t="s">
        <v>488</v>
      </c>
      <c r="F2074" s="296" t="s">
        <v>599</v>
      </c>
    </row>
    <row r="2075" spans="1:6" ht="14" x14ac:dyDescent="0.15">
      <c r="A2075" s="250"/>
      <c r="B2075" s="229"/>
      <c r="C2075" s="250" t="s">
        <v>600</v>
      </c>
      <c r="D2075" s="251">
        <f>D2074*947.804*1000/1000000</f>
        <v>15.828326799999999</v>
      </c>
      <c r="E2075" s="234" t="s">
        <v>601</v>
      </c>
      <c r="F2075" s="296" t="s">
        <v>602</v>
      </c>
    </row>
    <row r="2076" spans="1:6" ht="14" x14ac:dyDescent="0.15">
      <c r="A2076" s="250"/>
      <c r="B2076" s="229"/>
      <c r="C2076" s="250" t="s">
        <v>606</v>
      </c>
      <c r="D2076" s="234">
        <f>D2072*D2074</f>
        <v>55230240</v>
      </c>
      <c r="E2076" s="234" t="s">
        <v>603</v>
      </c>
      <c r="F2076" s="296" t="s">
        <v>604</v>
      </c>
    </row>
    <row r="2077" spans="1:6" ht="14" x14ac:dyDescent="0.15">
      <c r="A2077" s="250"/>
      <c r="B2077" s="229"/>
      <c r="C2077" s="250" t="s">
        <v>606</v>
      </c>
      <c r="D2077" s="254">
        <f>D2076/3.6</f>
        <v>15341733.333333332</v>
      </c>
      <c r="E2077" s="234" t="s">
        <v>470</v>
      </c>
      <c r="F2077" s="296" t="s">
        <v>605</v>
      </c>
    </row>
    <row r="2078" spans="1:6" ht="14" x14ac:dyDescent="0.15">
      <c r="A2078" s="250"/>
      <c r="B2078" s="229"/>
      <c r="C2078" s="250" t="s">
        <v>606</v>
      </c>
      <c r="D2078" s="249">
        <f>D2077/D2053</f>
        <v>5113.9111111111106</v>
      </c>
      <c r="E2078" s="234" t="s">
        <v>175</v>
      </c>
      <c r="F2078" s="296" t="s">
        <v>467</v>
      </c>
    </row>
    <row r="2079" spans="1:6" ht="14" x14ac:dyDescent="0.15">
      <c r="A2079" s="250"/>
      <c r="B2079" s="229"/>
      <c r="C2079" s="250" t="s">
        <v>890</v>
      </c>
      <c r="D2079" s="272">
        <v>19.260000000000002</v>
      </c>
      <c r="E2079" s="234" t="s">
        <v>610</v>
      </c>
      <c r="F2079" s="297" t="s">
        <v>374</v>
      </c>
    </row>
    <row r="2080" spans="1:6" ht="14" x14ac:dyDescent="0.15">
      <c r="A2080" s="250"/>
      <c r="B2080" s="229"/>
      <c r="C2080" s="250" t="s">
        <v>890</v>
      </c>
      <c r="D2080" s="272">
        <f>D2079/2000*2204.62</f>
        <v>21.230490600000003</v>
      </c>
      <c r="E2080" s="234" t="s">
        <v>601</v>
      </c>
      <c r="F2080" s="296" t="s">
        <v>891</v>
      </c>
    </row>
    <row r="2081" spans="1:8" ht="17" x14ac:dyDescent="0.25">
      <c r="A2081" s="250"/>
      <c r="B2081" s="233" t="s">
        <v>964</v>
      </c>
      <c r="C2081" s="259"/>
      <c r="D2081" s="244">
        <f>'Energy Balance'!S41</f>
        <v>0.68610291719508432</v>
      </c>
      <c r="E2081" s="234" t="s">
        <v>175</v>
      </c>
      <c r="F2081" s="296" t="s">
        <v>948</v>
      </c>
    </row>
    <row r="2082" spans="1:8" ht="17" x14ac:dyDescent="0.25">
      <c r="B2082" s="233" t="s">
        <v>965</v>
      </c>
      <c r="C2082" s="229"/>
    </row>
    <row r="2083" spans="1:8" ht="14" x14ac:dyDescent="0.15">
      <c r="A2083" s="250"/>
      <c r="B2083" s="229"/>
      <c r="C2083" s="250" t="s">
        <v>485</v>
      </c>
      <c r="D2083" s="234">
        <v>752000</v>
      </c>
      <c r="E2083" s="234" t="s">
        <v>477</v>
      </c>
      <c r="F2083" s="296" t="s">
        <v>88</v>
      </c>
    </row>
    <row r="2084" spans="1:8" ht="28" x14ac:dyDescent="0.15">
      <c r="A2084" s="250"/>
      <c r="B2084" s="229"/>
      <c r="C2084" s="250" t="s">
        <v>486</v>
      </c>
      <c r="D2084" s="254">
        <v>21240</v>
      </c>
      <c r="E2084" s="234" t="s">
        <v>616</v>
      </c>
      <c r="F2084" s="296" t="s">
        <v>89</v>
      </c>
    </row>
    <row r="2085" spans="1:8" ht="14" x14ac:dyDescent="0.15">
      <c r="A2085" s="250"/>
      <c r="B2085" s="229"/>
      <c r="C2085" s="250" t="s">
        <v>486</v>
      </c>
      <c r="D2085" s="254">
        <f>D2084*2.20462</f>
        <v>46826.128799999999</v>
      </c>
      <c r="E2085" s="234" t="s">
        <v>617</v>
      </c>
      <c r="F2085" s="296" t="s">
        <v>618</v>
      </c>
    </row>
    <row r="2086" spans="1:8" ht="14" x14ac:dyDescent="0.15">
      <c r="A2086" s="250"/>
      <c r="B2086" s="229"/>
      <c r="C2086" s="250" t="s">
        <v>485</v>
      </c>
      <c r="D2086" s="254">
        <f>D2085*D2083/1000000</f>
        <v>35213.248857599996</v>
      </c>
      <c r="E2086" s="234" t="s">
        <v>480</v>
      </c>
      <c r="F2086" s="296" t="s">
        <v>66</v>
      </c>
    </row>
    <row r="2087" spans="1:8" ht="14" x14ac:dyDescent="0.15">
      <c r="A2087" s="250"/>
      <c r="B2087" s="229"/>
      <c r="C2087" s="250" t="s">
        <v>485</v>
      </c>
      <c r="D2087" s="247">
        <f>D2086/D2053</f>
        <v>11.737749619199999</v>
      </c>
      <c r="E2087" s="234" t="s">
        <v>178</v>
      </c>
      <c r="F2087" s="296" t="s">
        <v>467</v>
      </c>
    </row>
    <row r="2088" spans="1:8" ht="17" x14ac:dyDescent="0.25">
      <c r="B2088" s="233" t="s">
        <v>966</v>
      </c>
      <c r="C2088" s="229"/>
      <c r="D2088" s="240">
        <f>'Energy Balance'!Y41</f>
        <v>1264.343836414836</v>
      </c>
      <c r="E2088" s="234" t="s">
        <v>175</v>
      </c>
      <c r="F2088" s="296" t="s">
        <v>176</v>
      </c>
    </row>
    <row r="2089" spans="1:8" ht="17" x14ac:dyDescent="0.25">
      <c r="A2089" s="232" t="s">
        <v>967</v>
      </c>
      <c r="C2089" s="229"/>
    </row>
    <row r="2090" spans="1:8" ht="17" x14ac:dyDescent="0.25">
      <c r="B2090" s="233" t="s">
        <v>968</v>
      </c>
      <c r="C2090" s="229"/>
      <c r="D2090" s="241">
        <f>GWP!P39</f>
        <v>0</v>
      </c>
      <c r="E2090" s="234" t="s">
        <v>969</v>
      </c>
      <c r="F2090" s="296" t="s">
        <v>949</v>
      </c>
    </row>
    <row r="2091" spans="1:8" ht="17" x14ac:dyDescent="0.25">
      <c r="B2091" s="233" t="s">
        <v>970</v>
      </c>
      <c r="C2091" s="229"/>
      <c r="D2091" s="235">
        <v>0</v>
      </c>
      <c r="E2091" s="234" t="s">
        <v>172</v>
      </c>
      <c r="F2091" s="296" t="s">
        <v>190</v>
      </c>
      <c r="G2091" s="234"/>
      <c r="H2091" s="234"/>
    </row>
    <row r="2092" spans="1:8" ht="17" x14ac:dyDescent="0.25">
      <c r="B2092" s="233" t="s">
        <v>971</v>
      </c>
      <c r="C2092" s="229"/>
      <c r="D2092" s="244">
        <f>GWP!R39</f>
        <v>0</v>
      </c>
      <c r="E2092" s="234" t="s">
        <v>969</v>
      </c>
      <c r="F2092" s="296" t="s">
        <v>193</v>
      </c>
    </row>
    <row r="2093" spans="1:8" ht="17" x14ac:dyDescent="0.25">
      <c r="B2093" s="233" t="s">
        <v>972</v>
      </c>
      <c r="C2093" s="229"/>
      <c r="D2093" s="235">
        <v>0</v>
      </c>
      <c r="E2093" s="234" t="s">
        <v>172</v>
      </c>
      <c r="F2093" s="296" t="s">
        <v>192</v>
      </c>
      <c r="G2093" s="234"/>
      <c r="H2093" s="234"/>
    </row>
    <row r="2094" spans="1:8" ht="17" x14ac:dyDescent="0.25">
      <c r="B2094" s="233" t="s">
        <v>973</v>
      </c>
      <c r="C2094" s="229"/>
      <c r="D2094" s="243">
        <f>GWP!T39</f>
        <v>0</v>
      </c>
      <c r="E2094" s="234" t="s">
        <v>969</v>
      </c>
      <c r="F2094" s="296" t="s">
        <v>919</v>
      </c>
    </row>
    <row r="2095" spans="1:8" ht="17" x14ac:dyDescent="0.25">
      <c r="B2095" s="233" t="s">
        <v>974</v>
      </c>
      <c r="C2095" s="229"/>
      <c r="D2095" s="244">
        <f>GWP!Z39</f>
        <v>5231.5310666666664</v>
      </c>
      <c r="E2095" s="234" t="s">
        <v>969</v>
      </c>
      <c r="F2095" s="296" t="s">
        <v>200</v>
      </c>
      <c r="G2095" s="234"/>
      <c r="H2095" s="234"/>
    </row>
    <row r="2096" spans="1:8" ht="17" x14ac:dyDescent="0.25">
      <c r="B2096" s="233" t="s">
        <v>975</v>
      </c>
      <c r="C2096" s="229"/>
      <c r="D2096" s="235">
        <v>0</v>
      </c>
      <c r="E2096" s="234" t="s">
        <v>314</v>
      </c>
      <c r="F2096" s="296" t="s">
        <v>190</v>
      </c>
    </row>
    <row r="2097" spans="1:6" ht="17" x14ac:dyDescent="0.25">
      <c r="B2097" s="233" t="s">
        <v>976</v>
      </c>
      <c r="C2097" s="229"/>
      <c r="D2097" s="244">
        <f>GWP!AB39</f>
        <v>-3610.400743621567</v>
      </c>
      <c r="E2097" s="234" t="s">
        <v>314</v>
      </c>
      <c r="F2097" s="296" t="s">
        <v>179</v>
      </c>
    </row>
    <row r="2098" spans="1:6" x14ac:dyDescent="0.15">
      <c r="A2098" s="232" t="s">
        <v>41</v>
      </c>
      <c r="C2098" s="229"/>
    </row>
    <row r="2099" spans="1:6" ht="14" x14ac:dyDescent="0.15">
      <c r="A2099" s="250"/>
      <c r="B2099" s="250" t="s">
        <v>584</v>
      </c>
      <c r="D2099" s="254">
        <v>2268862</v>
      </c>
      <c r="E2099" s="234" t="s">
        <v>86</v>
      </c>
      <c r="F2099" s="296" t="s">
        <v>619</v>
      </c>
    </row>
    <row r="2100" spans="1:6" ht="14" x14ac:dyDescent="0.15">
      <c r="A2100" s="250"/>
      <c r="B2100" s="250" t="s">
        <v>207</v>
      </c>
      <c r="D2100" s="254">
        <f>D2099/D2052</f>
        <v>252095.77777777778</v>
      </c>
      <c r="E2100" s="234" t="s">
        <v>818</v>
      </c>
      <c r="F2100" s="296" t="s">
        <v>467</v>
      </c>
    </row>
    <row r="2101" spans="1:6" ht="14" x14ac:dyDescent="0.15">
      <c r="B2101" s="233" t="s">
        <v>821</v>
      </c>
      <c r="D2101" s="260">
        <v>7.51E-2</v>
      </c>
      <c r="E2101" s="234" t="s">
        <v>111</v>
      </c>
      <c r="F2101" s="297" t="s">
        <v>797</v>
      </c>
    </row>
    <row r="2102" spans="1:6" x14ac:dyDescent="0.15">
      <c r="B2102" s="233" t="s">
        <v>799</v>
      </c>
      <c r="D2102" s="242">
        <f>D2100*(1+D2101)</f>
        <v>271028.17068888887</v>
      </c>
      <c r="E2102" s="234" t="s">
        <v>404</v>
      </c>
      <c r="F2102" s="297"/>
    </row>
    <row r="2103" spans="1:6" x14ac:dyDescent="0.15">
      <c r="A2103" s="232" t="s">
        <v>195</v>
      </c>
      <c r="C2103" s="229"/>
    </row>
    <row r="2104" spans="1:6" x14ac:dyDescent="0.15">
      <c r="B2104" s="233" t="s">
        <v>42</v>
      </c>
      <c r="C2104" s="229"/>
    </row>
    <row r="2105" spans="1:6" ht="14" x14ac:dyDescent="0.15">
      <c r="A2105" s="250"/>
      <c r="B2105" s="229"/>
      <c r="C2105" s="250" t="s">
        <v>613</v>
      </c>
      <c r="D2105" s="254">
        <v>1517000</v>
      </c>
      <c r="E2105" s="234" t="s">
        <v>281</v>
      </c>
      <c r="F2105" s="296" t="s">
        <v>607</v>
      </c>
    </row>
    <row r="2106" spans="1:6" ht="14" x14ac:dyDescent="0.15">
      <c r="A2106" s="250"/>
      <c r="B2106" s="229"/>
      <c r="C2106" s="250" t="s">
        <v>210</v>
      </c>
      <c r="D2106" s="254">
        <f>D2105/D2053</f>
        <v>505.66666666666669</v>
      </c>
      <c r="E2106" s="234" t="s">
        <v>819</v>
      </c>
      <c r="F2106" s="296" t="s">
        <v>467</v>
      </c>
    </row>
    <row r="2107" spans="1:6" ht="14" x14ac:dyDescent="0.15">
      <c r="B2107" s="233" t="s">
        <v>821</v>
      </c>
      <c r="D2107" s="260">
        <v>7.51E-2</v>
      </c>
      <c r="E2107" s="234" t="s">
        <v>111</v>
      </c>
      <c r="F2107" s="297" t="s">
        <v>797</v>
      </c>
    </row>
    <row r="2108" spans="1:6" x14ac:dyDescent="0.15">
      <c r="B2108" s="233" t="s">
        <v>798</v>
      </c>
      <c r="D2108" s="247">
        <f>D2106*(1+D2107)</f>
        <v>543.64223333333337</v>
      </c>
      <c r="E2108" s="234" t="s">
        <v>816</v>
      </c>
    </row>
    <row r="2109" spans="1:6" ht="14" x14ac:dyDescent="0.15">
      <c r="B2109" s="233" t="s">
        <v>197</v>
      </c>
      <c r="C2109" s="229"/>
      <c r="D2109" s="237">
        <f>'Commercial Viability'!F42</f>
        <v>0.29193786089701346</v>
      </c>
      <c r="E2109" s="234" t="s">
        <v>199</v>
      </c>
      <c r="F2109" s="296" t="s">
        <v>950</v>
      </c>
    </row>
    <row r="2110" spans="1:6" x14ac:dyDescent="0.15">
      <c r="B2110" s="233" t="s">
        <v>196</v>
      </c>
      <c r="C2110" s="229"/>
    </row>
    <row r="2111" spans="1:6" ht="14" x14ac:dyDescent="0.15">
      <c r="A2111" s="250"/>
      <c r="B2111" s="229"/>
      <c r="C2111" s="250" t="s">
        <v>614</v>
      </c>
      <c r="D2111" s="251">
        <v>7.0000000000000007E-2</v>
      </c>
      <c r="E2111" s="234" t="s">
        <v>323</v>
      </c>
      <c r="F2111" s="296" t="s">
        <v>607</v>
      </c>
    </row>
    <row r="2112" spans="1:6" ht="14" x14ac:dyDescent="0.15">
      <c r="A2112" s="250"/>
      <c r="B2112" s="229"/>
      <c r="C2112" s="250" t="s">
        <v>615</v>
      </c>
      <c r="D2112" s="266">
        <f>D2072*D2111</f>
        <v>231504.00000000003</v>
      </c>
      <c r="E2112" s="234" t="s">
        <v>281</v>
      </c>
      <c r="F2112" s="296" t="s">
        <v>612</v>
      </c>
    </row>
    <row r="2113" spans="1:6" x14ac:dyDescent="0.15">
      <c r="A2113" s="250"/>
      <c r="B2113" s="229"/>
      <c r="C2113" s="250" t="s">
        <v>615</v>
      </c>
      <c r="D2113" s="254">
        <f>D2112/D2053</f>
        <v>77.168000000000006</v>
      </c>
      <c r="E2113" s="234" t="s">
        <v>819</v>
      </c>
    </row>
    <row r="2114" spans="1:6" ht="14" x14ac:dyDescent="0.15">
      <c r="B2114" s="233" t="s">
        <v>821</v>
      </c>
      <c r="D2114" s="260">
        <v>7.51E-2</v>
      </c>
      <c r="E2114" s="234" t="s">
        <v>111</v>
      </c>
      <c r="F2114" s="297" t="s">
        <v>797</v>
      </c>
    </row>
    <row r="2115" spans="1:6" x14ac:dyDescent="0.15">
      <c r="B2115" s="233" t="s">
        <v>809</v>
      </c>
      <c r="D2115" s="247">
        <f>D2113*(1+D2114)</f>
        <v>82.963316800000001</v>
      </c>
      <c r="E2115" s="234" t="s">
        <v>816</v>
      </c>
    </row>
    <row r="2116" spans="1:6" ht="14" x14ac:dyDescent="0.15">
      <c r="B2116" s="233" t="s">
        <v>195</v>
      </c>
      <c r="C2116" s="229"/>
      <c r="D2116" s="244">
        <f>'Commercial Viability'!H42</f>
        <v>-460.9708543942304</v>
      </c>
      <c r="E2116" s="234" t="s">
        <v>199</v>
      </c>
      <c r="F2116" s="296" t="s">
        <v>951</v>
      </c>
    </row>
    <row r="2117" spans="1:6" x14ac:dyDescent="0.15">
      <c r="A2117" s="232" t="s">
        <v>201</v>
      </c>
      <c r="C2117" s="229"/>
    </row>
    <row r="2118" spans="1:6" ht="28" x14ac:dyDescent="0.15">
      <c r="B2118" s="233" t="s">
        <v>6</v>
      </c>
      <c r="D2118" s="235">
        <v>7</v>
      </c>
      <c r="F2118" s="296" t="s">
        <v>326</v>
      </c>
    </row>
    <row r="2120" spans="1:6" s="228" customFormat="1" x14ac:dyDescent="0.15">
      <c r="A2120" s="225" t="s">
        <v>1005</v>
      </c>
      <c r="B2120" s="226"/>
      <c r="C2120" s="226"/>
      <c r="D2120" s="227"/>
      <c r="E2120" s="227"/>
      <c r="F2120" s="294"/>
    </row>
    <row r="2121" spans="1:6" ht="14" x14ac:dyDescent="0.15">
      <c r="B2121" s="230" t="s">
        <v>171</v>
      </c>
      <c r="C2121" s="230"/>
      <c r="D2121" s="231" t="s">
        <v>170</v>
      </c>
      <c r="E2121" s="231" t="s">
        <v>169</v>
      </c>
      <c r="F2121" s="295" t="s">
        <v>168</v>
      </c>
    </row>
    <row r="2122" spans="1:6" ht="14" x14ac:dyDescent="0.15">
      <c r="A2122" s="250"/>
      <c r="B2122" s="250" t="s">
        <v>268</v>
      </c>
      <c r="D2122" s="234">
        <v>320</v>
      </c>
      <c r="E2122" s="234" t="s">
        <v>414</v>
      </c>
      <c r="F2122" s="296" t="s">
        <v>621</v>
      </c>
    </row>
    <row r="2123" spans="1:6" ht="14" x14ac:dyDescent="0.15">
      <c r="A2123" s="250"/>
      <c r="B2123" s="250" t="s">
        <v>624</v>
      </c>
      <c r="D2123" s="234">
        <v>3174.5</v>
      </c>
      <c r="E2123" s="234" t="s">
        <v>620</v>
      </c>
      <c r="F2123" s="296" t="s">
        <v>622</v>
      </c>
    </row>
    <row r="2124" spans="1:6" ht="14" x14ac:dyDescent="0.15">
      <c r="A2124" s="250"/>
      <c r="B2124" s="250" t="s">
        <v>625</v>
      </c>
      <c r="D2124" s="234">
        <v>265</v>
      </c>
      <c r="E2124" s="234" t="s">
        <v>461</v>
      </c>
      <c r="F2124" s="296" t="s">
        <v>623</v>
      </c>
    </row>
    <row r="2125" spans="1:6" ht="14" x14ac:dyDescent="0.15">
      <c r="A2125" s="250"/>
      <c r="B2125" s="250" t="s">
        <v>625</v>
      </c>
      <c r="D2125" s="234">
        <f>D2124*D2122</f>
        <v>84800</v>
      </c>
      <c r="E2125" s="234" t="s">
        <v>271</v>
      </c>
      <c r="F2125" s="296" t="s">
        <v>463</v>
      </c>
    </row>
    <row r="2126" spans="1:6" ht="14" x14ac:dyDescent="0.15">
      <c r="A2126" s="250"/>
      <c r="B2126" s="250" t="s">
        <v>626</v>
      </c>
      <c r="D2126" s="234">
        <v>10.81</v>
      </c>
      <c r="E2126" s="234" t="s">
        <v>461</v>
      </c>
      <c r="F2126" s="296" t="s">
        <v>623</v>
      </c>
    </row>
    <row r="2127" spans="1:6" x14ac:dyDescent="0.15">
      <c r="A2127" s="232" t="s">
        <v>167</v>
      </c>
    </row>
    <row r="2128" spans="1:6" ht="14" x14ac:dyDescent="0.15">
      <c r="A2128" s="250"/>
      <c r="B2128" s="250" t="s">
        <v>628</v>
      </c>
      <c r="D2128" s="234">
        <v>308.52</v>
      </c>
      <c r="E2128" s="234" t="s">
        <v>620</v>
      </c>
      <c r="F2128" s="296" t="s">
        <v>623</v>
      </c>
    </row>
    <row r="2129" spans="1:6" ht="14" x14ac:dyDescent="0.15">
      <c r="A2129" s="250"/>
      <c r="B2129" s="250" t="s">
        <v>840</v>
      </c>
      <c r="D2129" s="256">
        <f>D2128/1000/D2124</f>
        <v>1.1642264150943395E-3</v>
      </c>
      <c r="E2129" s="234" t="s">
        <v>627</v>
      </c>
      <c r="F2129" s="296" t="s">
        <v>580</v>
      </c>
    </row>
    <row r="2130" spans="1:6" x14ac:dyDescent="0.15">
      <c r="A2130" s="250"/>
      <c r="B2130" s="250" t="s">
        <v>583</v>
      </c>
      <c r="D2130" s="239">
        <v>0</v>
      </c>
      <c r="E2130" s="234" t="s">
        <v>272</v>
      </c>
    </row>
    <row r="2131" spans="1:6" ht="17" x14ac:dyDescent="0.25">
      <c r="B2131" s="233" t="s">
        <v>957</v>
      </c>
      <c r="D2131" s="237">
        <f>'Energy Balance'!Q42</f>
        <v>1.1642264150943395E-3</v>
      </c>
      <c r="E2131" s="234" t="s">
        <v>172</v>
      </c>
      <c r="F2131" s="296" t="s">
        <v>173</v>
      </c>
    </row>
    <row r="2132" spans="1:6" x14ac:dyDescent="0.15">
      <c r="A2132" s="232" t="s">
        <v>174</v>
      </c>
    </row>
    <row r="2133" spans="1:6" ht="17" x14ac:dyDescent="0.25">
      <c r="B2133" s="233" t="s">
        <v>958</v>
      </c>
      <c r="D2133" s="235">
        <v>0</v>
      </c>
      <c r="E2133" s="234" t="s">
        <v>175</v>
      </c>
      <c r="F2133" s="296" t="s">
        <v>295</v>
      </c>
    </row>
    <row r="2134" spans="1:6" ht="30" x14ac:dyDescent="0.25">
      <c r="B2134" s="233" t="s">
        <v>959</v>
      </c>
      <c r="C2134" s="229"/>
      <c r="D2134" s="236">
        <v>0</v>
      </c>
      <c r="E2134" s="234" t="s">
        <v>111</v>
      </c>
      <c r="F2134" s="296" t="s">
        <v>629</v>
      </c>
    </row>
    <row r="2135" spans="1:6" ht="17" x14ac:dyDescent="0.25">
      <c r="B2135" s="233" t="s">
        <v>960</v>
      </c>
      <c r="C2135" s="229"/>
      <c r="D2135" s="236">
        <v>0</v>
      </c>
      <c r="E2135" s="234" t="s">
        <v>111</v>
      </c>
      <c r="F2135" s="296" t="s">
        <v>87</v>
      </c>
    </row>
    <row r="2136" spans="1:6" ht="17" x14ac:dyDescent="0.25">
      <c r="B2136" s="233" t="s">
        <v>961</v>
      </c>
      <c r="C2136" s="229"/>
      <c r="D2136" s="240">
        <f>'Energy Balance'!D42</f>
        <v>0</v>
      </c>
      <c r="E2136" s="234" t="s">
        <v>175</v>
      </c>
      <c r="F2136" s="296" t="s">
        <v>947</v>
      </c>
    </row>
    <row r="2137" spans="1:6" ht="17" x14ac:dyDescent="0.25">
      <c r="B2137" s="233" t="s">
        <v>962</v>
      </c>
      <c r="C2137" s="229"/>
      <c r="D2137" s="229"/>
    </row>
    <row r="2138" spans="1:6" ht="14" x14ac:dyDescent="0.15">
      <c r="A2138" s="250"/>
      <c r="B2138" s="229"/>
      <c r="C2138" s="250" t="s">
        <v>653</v>
      </c>
      <c r="D2138" s="234">
        <v>5.54</v>
      </c>
      <c r="E2138" s="234" t="s">
        <v>632</v>
      </c>
      <c r="F2138" s="296" t="s">
        <v>623</v>
      </c>
    </row>
    <row r="2139" spans="1:6" ht="14" x14ac:dyDescent="0.15">
      <c r="A2139" s="250"/>
      <c r="B2139" s="229"/>
      <c r="C2139" s="250" t="s">
        <v>654</v>
      </c>
      <c r="D2139" s="234">
        <v>764.22</v>
      </c>
      <c r="E2139" s="234" t="s">
        <v>632</v>
      </c>
      <c r="F2139" s="296" t="s">
        <v>623</v>
      </c>
    </row>
    <row r="2140" spans="1:6" ht="14" x14ac:dyDescent="0.15">
      <c r="A2140" s="250"/>
      <c r="B2140" s="229"/>
      <c r="C2140" s="250" t="s">
        <v>655</v>
      </c>
      <c r="D2140" s="234">
        <v>153536</v>
      </c>
      <c r="E2140" s="234" t="s">
        <v>632</v>
      </c>
      <c r="F2140" s="296" t="s">
        <v>623</v>
      </c>
    </row>
    <row r="2141" spans="1:6" x14ac:dyDescent="0.15">
      <c r="A2141" s="250"/>
      <c r="B2141" s="229"/>
      <c r="C2141" s="250" t="s">
        <v>228</v>
      </c>
      <c r="D2141" s="234">
        <f>D2138+D2139+D2140</f>
        <v>154305.76</v>
      </c>
      <c r="E2141" s="234" t="s">
        <v>632</v>
      </c>
    </row>
    <row r="2142" spans="1:6" ht="14" x14ac:dyDescent="0.15">
      <c r="A2142" s="250"/>
      <c r="B2142" s="229"/>
      <c r="C2142" s="250" t="s">
        <v>228</v>
      </c>
      <c r="D2142" s="249">
        <f>D2141/D2124</f>
        <v>582.28588679245286</v>
      </c>
      <c r="E2142" s="234" t="s">
        <v>175</v>
      </c>
      <c r="F2142" s="296" t="s">
        <v>467</v>
      </c>
    </row>
    <row r="2143" spans="1:6" ht="17" x14ac:dyDescent="0.25">
      <c r="B2143" s="233" t="s">
        <v>963</v>
      </c>
      <c r="C2143" s="229"/>
    </row>
    <row r="2144" spans="1:6" ht="14" x14ac:dyDescent="0.15">
      <c r="A2144" s="250"/>
      <c r="B2144" s="229"/>
      <c r="C2144" s="250" t="s">
        <v>636</v>
      </c>
      <c r="D2144" s="234">
        <v>137220</v>
      </c>
      <c r="E2144" s="234" t="s">
        <v>630</v>
      </c>
      <c r="F2144" s="296" t="s">
        <v>635</v>
      </c>
    </row>
    <row r="2145" spans="1:6" ht="14" x14ac:dyDescent="0.15">
      <c r="A2145" s="250"/>
      <c r="B2145" s="229"/>
      <c r="C2145" s="250" t="s">
        <v>637</v>
      </c>
      <c r="D2145" s="273">
        <v>137381</v>
      </c>
      <c r="E2145" s="234" t="s">
        <v>309</v>
      </c>
      <c r="F2145" s="296" t="s">
        <v>90</v>
      </c>
    </row>
    <row r="2146" spans="1:6" x14ac:dyDescent="0.15">
      <c r="A2146" s="250"/>
      <c r="B2146" s="229"/>
      <c r="C2146" s="250" t="s">
        <v>637</v>
      </c>
      <c r="D2146" s="273">
        <f>D2145/3412</f>
        <v>40.264067995310668</v>
      </c>
      <c r="E2146" s="234" t="s">
        <v>631</v>
      </c>
    </row>
    <row r="2147" spans="1:6" x14ac:dyDescent="0.15">
      <c r="A2147" s="250"/>
      <c r="B2147" s="229"/>
      <c r="C2147" s="250" t="s">
        <v>637</v>
      </c>
      <c r="D2147" s="273">
        <f>D2146*D2144</f>
        <v>5525035.4103165297</v>
      </c>
      <c r="E2147" s="234" t="s">
        <v>470</v>
      </c>
    </row>
    <row r="2148" spans="1:6" x14ac:dyDescent="0.15">
      <c r="A2148" s="250"/>
      <c r="B2148" s="229"/>
      <c r="C2148" s="250" t="s">
        <v>638</v>
      </c>
      <c r="D2148" s="274">
        <f>D2147/D2125</f>
        <v>65.153719461279834</v>
      </c>
      <c r="E2148" s="234" t="s">
        <v>175</v>
      </c>
    </row>
    <row r="2149" spans="1:6" ht="14" x14ac:dyDescent="0.15">
      <c r="A2149" s="250"/>
      <c r="B2149" s="229"/>
      <c r="C2149" s="250" t="s">
        <v>639</v>
      </c>
      <c r="D2149" s="260">
        <v>0.28599999999999998</v>
      </c>
      <c r="E2149" s="234" t="s">
        <v>272</v>
      </c>
      <c r="F2149" s="296" t="s">
        <v>635</v>
      </c>
    </row>
    <row r="2150" spans="1:6" x14ac:dyDescent="0.15">
      <c r="A2150" s="250"/>
      <c r="B2150" s="229"/>
      <c r="C2150" s="250" t="s">
        <v>639</v>
      </c>
      <c r="D2150" s="275">
        <f>D2149*D2126*1000</f>
        <v>3091.66</v>
      </c>
      <c r="E2150" s="234" t="s">
        <v>620</v>
      </c>
    </row>
    <row r="2151" spans="1:6" ht="14" x14ac:dyDescent="0.15">
      <c r="A2151" s="250"/>
      <c r="B2151" s="229"/>
      <c r="C2151" s="250" t="s">
        <v>640</v>
      </c>
      <c r="D2151" s="234">
        <v>30.7</v>
      </c>
      <c r="E2151" s="234" t="s">
        <v>488</v>
      </c>
      <c r="F2151" s="296" t="s">
        <v>635</v>
      </c>
    </row>
    <row r="2152" spans="1:6" ht="14" x14ac:dyDescent="0.15">
      <c r="A2152" s="250"/>
      <c r="B2152" s="229"/>
      <c r="C2152" s="250" t="s">
        <v>640</v>
      </c>
      <c r="D2152" s="258">
        <f>D2151/3.6</f>
        <v>8.5277777777777768</v>
      </c>
      <c r="E2152" s="234" t="s">
        <v>361</v>
      </c>
      <c r="F2152" s="296" t="s">
        <v>466</v>
      </c>
    </row>
    <row r="2153" spans="1:6" x14ac:dyDescent="0.15">
      <c r="A2153" s="250"/>
      <c r="B2153" s="229"/>
      <c r="C2153" s="250" t="s">
        <v>641</v>
      </c>
      <c r="D2153" s="254">
        <f>D2152*D2150</f>
        <v>26364.98944444444</v>
      </c>
      <c r="E2153" s="234" t="s">
        <v>632</v>
      </c>
    </row>
    <row r="2154" spans="1:6" x14ac:dyDescent="0.15">
      <c r="A2154" s="250"/>
      <c r="B2154" s="229"/>
      <c r="C2154" s="250" t="s">
        <v>641</v>
      </c>
      <c r="D2154" s="258">
        <f>D2153/D2124</f>
        <v>99.49052620545072</v>
      </c>
      <c r="E2154" s="234" t="s">
        <v>175</v>
      </c>
    </row>
    <row r="2155" spans="1:6" ht="14" x14ac:dyDescent="0.15">
      <c r="A2155" s="250"/>
      <c r="B2155" s="229"/>
      <c r="C2155" s="250" t="s">
        <v>642</v>
      </c>
      <c r="D2155" s="260">
        <v>0.2074</v>
      </c>
      <c r="E2155" s="234" t="s">
        <v>272</v>
      </c>
      <c r="F2155" s="296" t="s">
        <v>635</v>
      </c>
    </row>
    <row r="2156" spans="1:6" x14ac:dyDescent="0.15">
      <c r="A2156" s="250"/>
      <c r="B2156" s="229"/>
      <c r="C2156" s="250" t="s">
        <v>642</v>
      </c>
      <c r="D2156" s="254">
        <f>D2155*D2124*1000</f>
        <v>54961</v>
      </c>
      <c r="E2156" s="234" t="s">
        <v>620</v>
      </c>
    </row>
    <row r="2157" spans="1:6" x14ac:dyDescent="0.15">
      <c r="A2157" s="250"/>
      <c r="B2157" s="229"/>
      <c r="C2157" s="250" t="s">
        <v>643</v>
      </c>
      <c r="D2157" s="234">
        <v>31.53</v>
      </c>
      <c r="E2157" s="234" t="s">
        <v>488</v>
      </c>
    </row>
    <row r="2158" spans="1:6" ht="14" x14ac:dyDescent="0.15">
      <c r="A2158" s="250"/>
      <c r="B2158" s="229"/>
      <c r="C2158" s="250" t="s">
        <v>643</v>
      </c>
      <c r="D2158" s="258">
        <f>D2157/3.6</f>
        <v>8.7583333333333329</v>
      </c>
      <c r="E2158" s="234" t="s">
        <v>361</v>
      </c>
      <c r="F2158" s="296" t="s">
        <v>466</v>
      </c>
    </row>
    <row r="2159" spans="1:6" x14ac:dyDescent="0.15">
      <c r="A2159" s="250"/>
      <c r="B2159" s="229"/>
      <c r="C2159" s="250" t="s">
        <v>644</v>
      </c>
      <c r="D2159" s="254">
        <f>D2158*D2156</f>
        <v>481366.7583333333</v>
      </c>
      <c r="E2159" s="234" t="s">
        <v>632</v>
      </c>
    </row>
    <row r="2160" spans="1:6" x14ac:dyDescent="0.15">
      <c r="A2160" s="250"/>
      <c r="B2160" s="229"/>
      <c r="C2160" s="250" t="s">
        <v>644</v>
      </c>
      <c r="D2160" s="258">
        <f>D2159/D2124</f>
        <v>1816.4783333333332</v>
      </c>
      <c r="E2160" s="234" t="s">
        <v>175</v>
      </c>
    </row>
    <row r="2161" spans="1:6" x14ac:dyDescent="0.15">
      <c r="A2161" s="250"/>
      <c r="B2161" s="229"/>
      <c r="C2161" s="250" t="s">
        <v>883</v>
      </c>
      <c r="D2161" s="276">
        <f>D2154+D2160</f>
        <v>1915.968859538784</v>
      </c>
      <c r="E2161" s="234" t="s">
        <v>175</v>
      </c>
    </row>
    <row r="2162" spans="1:6" x14ac:dyDescent="0.15">
      <c r="A2162" s="250"/>
      <c r="B2162" s="229"/>
      <c r="C2162" s="250" t="s">
        <v>645</v>
      </c>
      <c r="D2162" s="277">
        <v>0.26</v>
      </c>
      <c r="E2162" s="234" t="s">
        <v>272</v>
      </c>
    </row>
    <row r="2163" spans="1:6" ht="14" x14ac:dyDescent="0.15">
      <c r="A2163" s="250"/>
      <c r="B2163" s="229"/>
      <c r="C2163" s="250" t="s">
        <v>646</v>
      </c>
      <c r="D2163" s="258">
        <v>15.5</v>
      </c>
      <c r="E2163" s="234" t="s">
        <v>488</v>
      </c>
      <c r="F2163" s="296" t="s">
        <v>635</v>
      </c>
    </row>
    <row r="2164" spans="1:6" x14ac:dyDescent="0.15">
      <c r="A2164" s="250"/>
      <c r="B2164" s="229"/>
      <c r="C2164" s="250" t="s">
        <v>647</v>
      </c>
      <c r="D2164" s="258">
        <f>D2126*D2162*D2163*1000</f>
        <v>43564.30000000001</v>
      </c>
      <c r="E2164" s="234" t="s">
        <v>633</v>
      </c>
    </row>
    <row r="2165" spans="1:6" x14ac:dyDescent="0.15">
      <c r="A2165" s="250"/>
      <c r="B2165" s="229"/>
      <c r="C2165" s="250" t="s">
        <v>647</v>
      </c>
      <c r="D2165" s="258">
        <f>D2164/3.6</f>
        <v>12101.194444444447</v>
      </c>
      <c r="E2165" s="234" t="s">
        <v>634</v>
      </c>
    </row>
    <row r="2166" spans="1:6" x14ac:dyDescent="0.15">
      <c r="A2166" s="250"/>
      <c r="B2166" s="229"/>
      <c r="C2166" s="250" t="s">
        <v>648</v>
      </c>
      <c r="D2166" s="277">
        <v>0.2873</v>
      </c>
      <c r="E2166" s="234" t="s">
        <v>272</v>
      </c>
    </row>
    <row r="2167" spans="1:6" ht="14" x14ac:dyDescent="0.15">
      <c r="A2167" s="250"/>
      <c r="B2167" s="229"/>
      <c r="C2167" s="250" t="s">
        <v>649</v>
      </c>
      <c r="D2167" s="251">
        <v>9.4600000000000009</v>
      </c>
      <c r="E2167" s="234" t="s">
        <v>488</v>
      </c>
      <c r="F2167" s="296" t="s">
        <v>635</v>
      </c>
    </row>
    <row r="2168" spans="1:6" x14ac:dyDescent="0.15">
      <c r="A2168" s="250"/>
      <c r="B2168" s="229"/>
      <c r="C2168" s="250" t="s">
        <v>650</v>
      </c>
      <c r="D2168" s="254">
        <f>D2124*D2166*D2167*1000</f>
        <v>720232.37000000011</v>
      </c>
      <c r="E2168" s="234" t="s">
        <v>633</v>
      </c>
    </row>
    <row r="2169" spans="1:6" ht="14" x14ac:dyDescent="0.15">
      <c r="A2169" s="250"/>
      <c r="B2169" s="229"/>
      <c r="C2169" s="250" t="s">
        <v>650</v>
      </c>
      <c r="D2169" s="278">
        <f>D2168/3.6</f>
        <v>200064.54722222226</v>
      </c>
      <c r="E2169" s="234" t="s">
        <v>634</v>
      </c>
      <c r="F2169" s="296" t="s">
        <v>466</v>
      </c>
    </row>
    <row r="2170" spans="1:6" x14ac:dyDescent="0.15">
      <c r="A2170" s="250"/>
      <c r="B2170" s="229"/>
      <c r="C2170" s="250" t="s">
        <v>651</v>
      </c>
      <c r="D2170" s="249">
        <f>(D2165+D2169)/D2124</f>
        <v>800.6254402515724</v>
      </c>
      <c r="E2170" s="234" t="s">
        <v>175</v>
      </c>
    </row>
    <row r="2171" spans="1:6" x14ac:dyDescent="0.15">
      <c r="A2171" s="250"/>
      <c r="B2171" s="229"/>
      <c r="C2171" s="250" t="s">
        <v>652</v>
      </c>
      <c r="D2171" s="249">
        <f>SUM(D2170,D2160,D2154,D2148)</f>
        <v>2781.7480192516364</v>
      </c>
      <c r="E2171" s="234" t="s">
        <v>175</v>
      </c>
    </row>
    <row r="2172" spans="1:6" ht="17" x14ac:dyDescent="0.25">
      <c r="A2172" s="250"/>
      <c r="B2172" s="233" t="s">
        <v>964</v>
      </c>
      <c r="C2172" s="259"/>
      <c r="D2172" s="244">
        <f>'Energy Balance'!S42</f>
        <v>0.15765377756680304</v>
      </c>
      <c r="E2172" s="234" t="s">
        <v>175</v>
      </c>
      <c r="F2172" s="296" t="s">
        <v>948</v>
      </c>
    </row>
    <row r="2173" spans="1:6" ht="17" x14ac:dyDescent="0.25">
      <c r="B2173" s="233" t="s">
        <v>965</v>
      </c>
      <c r="C2173" s="229"/>
    </row>
    <row r="2174" spans="1:6" ht="14" x14ac:dyDescent="0.15">
      <c r="A2174" s="250"/>
      <c r="B2174" s="229"/>
      <c r="C2174" s="250" t="s">
        <v>670</v>
      </c>
      <c r="D2174" s="254">
        <v>1054.6300000000001</v>
      </c>
      <c r="E2174" s="234" t="s">
        <v>633</v>
      </c>
      <c r="F2174" s="296" t="s">
        <v>623</v>
      </c>
    </row>
    <row r="2175" spans="1:6" ht="14" x14ac:dyDescent="0.15">
      <c r="A2175" s="250"/>
      <c r="B2175" s="229"/>
      <c r="C2175" s="250" t="s">
        <v>670</v>
      </c>
      <c r="D2175" s="254">
        <f>D2174/3.6</f>
        <v>292.95277777777778</v>
      </c>
      <c r="E2175" s="234" t="s">
        <v>632</v>
      </c>
      <c r="F2175" s="296" t="s">
        <v>466</v>
      </c>
    </row>
    <row r="2176" spans="1:6" ht="14" x14ac:dyDescent="0.15">
      <c r="A2176" s="250"/>
      <c r="B2176" s="229"/>
      <c r="C2176" s="250" t="s">
        <v>670</v>
      </c>
      <c r="D2176" s="249">
        <f>D2175*3412/D2124/1000000</f>
        <v>3.7719051991614259E-3</v>
      </c>
      <c r="E2176" s="234" t="s">
        <v>178</v>
      </c>
      <c r="F2176" s="296" t="s">
        <v>467</v>
      </c>
    </row>
    <row r="2177" spans="1:8" ht="17" x14ac:dyDescent="0.25">
      <c r="B2177" s="233" t="s">
        <v>966</v>
      </c>
      <c r="C2177" s="229"/>
      <c r="D2177" s="240">
        <f>'Energy Balance'!Y42</f>
        <v>2301.7802064793473</v>
      </c>
      <c r="E2177" s="234" t="s">
        <v>175</v>
      </c>
      <c r="F2177" s="296" t="s">
        <v>176</v>
      </c>
    </row>
    <row r="2178" spans="1:8" ht="17" x14ac:dyDescent="0.25">
      <c r="A2178" s="232" t="s">
        <v>967</v>
      </c>
      <c r="C2178" s="229"/>
    </row>
    <row r="2179" spans="1:8" ht="17" x14ac:dyDescent="0.25">
      <c r="B2179" s="233" t="s">
        <v>968</v>
      </c>
      <c r="C2179" s="229"/>
      <c r="D2179" s="241">
        <f>GWP!P40</f>
        <v>0</v>
      </c>
      <c r="E2179" s="234" t="s">
        <v>969</v>
      </c>
      <c r="F2179" s="296" t="s">
        <v>949</v>
      </c>
    </row>
    <row r="2180" spans="1:8" ht="17" x14ac:dyDescent="0.25">
      <c r="B2180" s="233" t="s">
        <v>970</v>
      </c>
      <c r="C2180" s="229"/>
      <c r="D2180" s="235">
        <v>0</v>
      </c>
      <c r="E2180" s="234" t="s">
        <v>172</v>
      </c>
      <c r="F2180" s="296" t="s">
        <v>190</v>
      </c>
      <c r="G2180" s="234"/>
      <c r="H2180" s="234"/>
    </row>
    <row r="2181" spans="1:8" ht="17" x14ac:dyDescent="0.25">
      <c r="B2181" s="233" t="s">
        <v>971</v>
      </c>
      <c r="C2181" s="229"/>
      <c r="D2181" s="244">
        <f>GWP!R40</f>
        <v>0</v>
      </c>
      <c r="E2181" s="234" t="s">
        <v>969</v>
      </c>
      <c r="F2181" s="296" t="s">
        <v>193</v>
      </c>
    </row>
    <row r="2182" spans="1:8" ht="17" x14ac:dyDescent="0.25">
      <c r="B2182" s="233" t="s">
        <v>972</v>
      </c>
      <c r="C2182" s="229"/>
      <c r="D2182" s="235">
        <v>0</v>
      </c>
      <c r="E2182" s="234" t="s">
        <v>172</v>
      </c>
      <c r="F2182" s="296" t="s">
        <v>192</v>
      </c>
      <c r="G2182" s="234"/>
      <c r="H2182" s="234"/>
    </row>
    <row r="2183" spans="1:8" ht="17" x14ac:dyDescent="0.25">
      <c r="B2183" s="233" t="s">
        <v>973</v>
      </c>
      <c r="C2183" s="229"/>
      <c r="D2183" s="243">
        <f>GWP!T40</f>
        <v>0</v>
      </c>
      <c r="E2183" s="234" t="s">
        <v>969</v>
      </c>
      <c r="F2183" s="296" t="s">
        <v>919</v>
      </c>
    </row>
    <row r="2184" spans="1:8" ht="17" x14ac:dyDescent="0.25">
      <c r="B2184" s="233" t="s">
        <v>974</v>
      </c>
      <c r="C2184" s="229"/>
      <c r="D2184" s="244">
        <f>GWP!Z40</f>
        <v>988.24529589747567</v>
      </c>
      <c r="E2184" s="234" t="s">
        <v>969</v>
      </c>
      <c r="F2184" s="296" t="s">
        <v>200</v>
      </c>
      <c r="G2184" s="234"/>
      <c r="H2184" s="234"/>
    </row>
    <row r="2185" spans="1:8" ht="17" x14ac:dyDescent="0.25">
      <c r="B2185" s="233" t="s">
        <v>975</v>
      </c>
      <c r="C2185" s="229"/>
      <c r="D2185" s="235">
        <v>0</v>
      </c>
      <c r="E2185" s="234" t="s">
        <v>314</v>
      </c>
      <c r="F2185" s="296" t="s">
        <v>190</v>
      </c>
    </row>
    <row r="2186" spans="1:8" ht="17" x14ac:dyDescent="0.25">
      <c r="B2186" s="233" t="s">
        <v>976</v>
      </c>
      <c r="C2186" s="229"/>
      <c r="D2186" s="244">
        <f>GWP!AB40</f>
        <v>-746.6847302210673</v>
      </c>
      <c r="E2186" s="234" t="s">
        <v>314</v>
      </c>
      <c r="F2186" s="296" t="s">
        <v>179</v>
      </c>
    </row>
    <row r="2187" spans="1:8" x14ac:dyDescent="0.15">
      <c r="A2187" s="232" t="s">
        <v>41</v>
      </c>
      <c r="C2187" s="229"/>
    </row>
    <row r="2188" spans="1:8" ht="14" x14ac:dyDescent="0.15">
      <c r="A2188" s="250"/>
      <c r="B2188" s="250" t="s">
        <v>584</v>
      </c>
      <c r="D2188" s="254">
        <v>35678607</v>
      </c>
      <c r="E2188" s="234" t="s">
        <v>86</v>
      </c>
      <c r="F2188" s="296" t="s">
        <v>668</v>
      </c>
    </row>
    <row r="2189" spans="1:8" ht="14" x14ac:dyDescent="0.15">
      <c r="A2189" s="250"/>
      <c r="B2189" s="250" t="s">
        <v>207</v>
      </c>
      <c r="D2189" s="254">
        <f>D2188/D2124</f>
        <v>134636.25283018869</v>
      </c>
      <c r="E2189" s="234" t="s">
        <v>822</v>
      </c>
      <c r="F2189" s="296" t="s">
        <v>467</v>
      </c>
    </row>
    <row r="2190" spans="1:8" ht="14" x14ac:dyDescent="0.15">
      <c r="B2190" s="233" t="s">
        <v>802</v>
      </c>
      <c r="D2190" s="260">
        <v>7.6899999999999996E-2</v>
      </c>
      <c r="E2190" s="234" t="s">
        <v>111</v>
      </c>
      <c r="F2190" s="297" t="s">
        <v>797</v>
      </c>
    </row>
    <row r="2191" spans="1:8" x14ac:dyDescent="0.15">
      <c r="B2191" s="233" t="s">
        <v>799</v>
      </c>
      <c r="D2191" s="242">
        <f>D2189*(1+D2190)</f>
        <v>144989.78067283021</v>
      </c>
      <c r="E2191" s="234" t="s">
        <v>404</v>
      </c>
      <c r="F2191" s="297"/>
    </row>
    <row r="2192" spans="1:8" x14ac:dyDescent="0.15">
      <c r="A2192" s="232" t="s">
        <v>195</v>
      </c>
      <c r="C2192" s="229"/>
    </row>
    <row r="2193" spans="1:6" x14ac:dyDescent="0.15">
      <c r="B2193" s="233" t="s">
        <v>42</v>
      </c>
      <c r="C2193" s="229"/>
    </row>
    <row r="2194" spans="1:6" ht="14" x14ac:dyDescent="0.15">
      <c r="A2194" s="250"/>
      <c r="B2194" s="229"/>
      <c r="C2194" s="250" t="s">
        <v>669</v>
      </c>
      <c r="D2194" s="266">
        <v>8445532</v>
      </c>
      <c r="E2194" s="234" t="s">
        <v>281</v>
      </c>
      <c r="F2194" s="296" t="s">
        <v>607</v>
      </c>
    </row>
    <row r="2195" spans="1:6" ht="14" x14ac:dyDescent="0.15">
      <c r="A2195" s="250"/>
      <c r="B2195" s="229"/>
      <c r="C2195" s="250" t="s">
        <v>210</v>
      </c>
      <c r="D2195" s="254">
        <f>D2194/(D2124*D2122)</f>
        <v>99.593537735849054</v>
      </c>
      <c r="E2195" s="234" t="s">
        <v>823</v>
      </c>
      <c r="F2195" s="296" t="s">
        <v>467</v>
      </c>
    </row>
    <row r="2196" spans="1:6" ht="14" x14ac:dyDescent="0.15">
      <c r="B2196" s="233" t="s">
        <v>802</v>
      </c>
      <c r="D2196" s="260">
        <v>7.6899999999999996E-2</v>
      </c>
      <c r="E2196" s="234" t="s">
        <v>111</v>
      </c>
      <c r="F2196" s="297" t="s">
        <v>797</v>
      </c>
    </row>
    <row r="2197" spans="1:6" x14ac:dyDescent="0.15">
      <c r="B2197" s="233" t="s">
        <v>798</v>
      </c>
      <c r="D2197" s="247">
        <f>D2195*(1+D2196)</f>
        <v>107.25228078773584</v>
      </c>
      <c r="E2197" s="234" t="s">
        <v>816</v>
      </c>
    </row>
    <row r="2198" spans="1:6" ht="14" x14ac:dyDescent="0.15">
      <c r="B2198" s="233" t="s">
        <v>197</v>
      </c>
      <c r="C2198" s="229"/>
      <c r="D2198" s="237">
        <f>'Commercial Viability'!F43</f>
        <v>6.708192813600794E-2</v>
      </c>
      <c r="E2198" s="234" t="s">
        <v>199</v>
      </c>
      <c r="F2198" s="296" t="s">
        <v>950</v>
      </c>
    </row>
    <row r="2199" spans="1:6" x14ac:dyDescent="0.15">
      <c r="B2199" s="233" t="s">
        <v>196</v>
      </c>
      <c r="C2199" s="229"/>
    </row>
    <row r="2200" spans="1:6" ht="14" x14ac:dyDescent="0.15">
      <c r="A2200" s="250"/>
      <c r="B2200" s="229"/>
      <c r="C2200" s="250" t="s">
        <v>659</v>
      </c>
      <c r="D2200" s="269">
        <v>3.0950000000000002</v>
      </c>
      <c r="E2200" s="234" t="s">
        <v>384</v>
      </c>
      <c r="F2200" s="296" t="s">
        <v>635</v>
      </c>
    </row>
    <row r="2201" spans="1:6" x14ac:dyDescent="0.15">
      <c r="A2201" s="250"/>
      <c r="B2201" s="229"/>
      <c r="C2201" s="250" t="s">
        <v>660</v>
      </c>
      <c r="D2201" s="254">
        <f>D2144*D2200</f>
        <v>424695.9</v>
      </c>
      <c r="E2201" s="234" t="s">
        <v>281</v>
      </c>
      <c r="F2201" s="300"/>
    </row>
    <row r="2202" spans="1:6" x14ac:dyDescent="0.15">
      <c r="A2202" s="250"/>
      <c r="B2202" s="229"/>
      <c r="C2202" s="250" t="s">
        <v>660</v>
      </c>
      <c r="D2202" s="254">
        <f>D2201/D2125</f>
        <v>5.0082063679245286</v>
      </c>
      <c r="E2202" s="234" t="s">
        <v>199</v>
      </c>
      <c r="F2202" s="300"/>
    </row>
    <row r="2203" spans="1:6" ht="14" x14ac:dyDescent="0.15">
      <c r="A2203" s="250"/>
      <c r="B2203" s="229"/>
      <c r="C2203" s="250" t="s">
        <v>661</v>
      </c>
      <c r="D2203" s="266">
        <v>50</v>
      </c>
      <c r="E2203" s="234" t="s">
        <v>658</v>
      </c>
      <c r="F2203" s="296" t="s">
        <v>374</v>
      </c>
    </row>
    <row r="2204" spans="1:6" ht="14" x14ac:dyDescent="0.15">
      <c r="A2204" s="250"/>
      <c r="B2204" s="229"/>
      <c r="C2204" s="250" t="s">
        <v>662</v>
      </c>
      <c r="D2204" s="254">
        <v>43</v>
      </c>
      <c r="E2204" s="234" t="s">
        <v>488</v>
      </c>
      <c r="F2204" s="296" t="s">
        <v>635</v>
      </c>
    </row>
    <row r="2205" spans="1:6" ht="14" x14ac:dyDescent="0.15">
      <c r="A2205" s="250"/>
      <c r="B2205" s="229"/>
      <c r="C2205" s="250" t="s">
        <v>663</v>
      </c>
      <c r="D2205" s="254">
        <v>7.33</v>
      </c>
      <c r="E2205" s="234" t="s">
        <v>656</v>
      </c>
      <c r="F2205" s="296" t="s">
        <v>635</v>
      </c>
    </row>
    <row r="2206" spans="1:6" ht="14" x14ac:dyDescent="0.15">
      <c r="A2206" s="250"/>
      <c r="B2206" s="229"/>
      <c r="C2206" s="250" t="s">
        <v>657</v>
      </c>
      <c r="D2206" s="234">
        <f>D2151</f>
        <v>30.7</v>
      </c>
      <c r="E2206" s="234" t="s">
        <v>488</v>
      </c>
      <c r="F2206" s="296" t="s">
        <v>635</v>
      </c>
    </row>
    <row r="2207" spans="1:6" ht="14" x14ac:dyDescent="0.15">
      <c r="A2207" s="250"/>
      <c r="B2207" s="229"/>
      <c r="C2207" s="250" t="s">
        <v>664</v>
      </c>
      <c r="D2207" s="251">
        <f>D2206/D2124*(D2150/1000)*D2205*D2203/D2204</f>
        <v>3.0527395412900393</v>
      </c>
      <c r="E2207" s="234" t="s">
        <v>199</v>
      </c>
      <c r="F2207" s="296" t="s">
        <v>66</v>
      </c>
    </row>
    <row r="2208" spans="1:6" ht="14" x14ac:dyDescent="0.15">
      <c r="A2208" s="250"/>
      <c r="B2208" s="229"/>
      <c r="C2208" s="250" t="s">
        <v>665</v>
      </c>
      <c r="D2208" s="254">
        <f>D2157/D2124*(D2156/1000)*D2205*D2203/D2204</f>
        <v>55.736314255813951</v>
      </c>
      <c r="E2208" s="234" t="s">
        <v>199</v>
      </c>
      <c r="F2208" s="296" t="s">
        <v>66</v>
      </c>
    </row>
    <row r="2209" spans="1:6" ht="14" x14ac:dyDescent="0.15">
      <c r="A2209" s="250"/>
      <c r="B2209" s="229"/>
      <c r="C2209" s="250" t="s">
        <v>666</v>
      </c>
      <c r="D2209" s="266">
        <v>1229305</v>
      </c>
      <c r="E2209" s="234" t="s">
        <v>281</v>
      </c>
      <c r="F2209" s="296" t="s">
        <v>635</v>
      </c>
    </row>
    <row r="2210" spans="1:6" ht="14" x14ac:dyDescent="0.15">
      <c r="A2210" s="250"/>
      <c r="B2210" s="229"/>
      <c r="C2210" s="250" t="s">
        <v>666</v>
      </c>
      <c r="D2210" s="254">
        <f>D2209/D2125</f>
        <v>14.496521226415094</v>
      </c>
      <c r="E2210" s="234" t="s">
        <v>199</v>
      </c>
      <c r="F2210" s="296" t="s">
        <v>66</v>
      </c>
    </row>
    <row r="2211" spans="1:6" ht="14" x14ac:dyDescent="0.15">
      <c r="A2211" s="250"/>
      <c r="B2211" s="229"/>
      <c r="C2211" s="250" t="s">
        <v>667</v>
      </c>
      <c r="D2211" s="266">
        <v>1324874</v>
      </c>
      <c r="E2211" s="234" t="s">
        <v>281</v>
      </c>
      <c r="F2211" s="296" t="s">
        <v>635</v>
      </c>
    </row>
    <row r="2212" spans="1:6" x14ac:dyDescent="0.15">
      <c r="A2212" s="250"/>
      <c r="B2212" s="229"/>
      <c r="C2212" s="250" t="s">
        <v>667</v>
      </c>
      <c r="D2212" s="254">
        <f>D2211/D2125</f>
        <v>15.623514150943397</v>
      </c>
      <c r="E2212" s="234" t="s">
        <v>199</v>
      </c>
      <c r="F2212" s="300"/>
    </row>
    <row r="2213" spans="1:6" x14ac:dyDescent="0.15">
      <c r="A2213" s="250"/>
      <c r="B2213" s="229"/>
      <c r="C2213" s="250" t="s">
        <v>388</v>
      </c>
      <c r="D2213" s="254">
        <f>SUM(D2202,D2207,D2208,D2210,D2212)</f>
        <v>93.917295542387009</v>
      </c>
      <c r="E2213" s="234" t="s">
        <v>823</v>
      </c>
      <c r="F2213" s="300"/>
    </row>
    <row r="2214" spans="1:6" ht="14" x14ac:dyDescent="0.15">
      <c r="B2214" s="233" t="s">
        <v>802</v>
      </c>
      <c r="D2214" s="260">
        <v>7.6899999999999996E-2</v>
      </c>
      <c r="E2214" s="234" t="s">
        <v>111</v>
      </c>
      <c r="F2214" s="297" t="s">
        <v>797</v>
      </c>
    </row>
    <row r="2215" spans="1:6" x14ac:dyDescent="0.15">
      <c r="B2215" s="233" t="s">
        <v>809</v>
      </c>
      <c r="D2215" s="247">
        <f>D2213*(1+D2214)</f>
        <v>101.13953556959656</v>
      </c>
      <c r="E2215" s="234" t="s">
        <v>816</v>
      </c>
    </row>
    <row r="2216" spans="1:6" ht="14" x14ac:dyDescent="0.15">
      <c r="B2216" s="233" t="s">
        <v>195</v>
      </c>
      <c r="C2216" s="229"/>
      <c r="D2216" s="244">
        <f>'Commercial Viability'!H43</f>
        <v>-6.1798271462752865</v>
      </c>
      <c r="E2216" s="234" t="s">
        <v>199</v>
      </c>
      <c r="F2216" s="296" t="s">
        <v>951</v>
      </c>
    </row>
    <row r="2217" spans="1:6" x14ac:dyDescent="0.15">
      <c r="A2217" s="232" t="s">
        <v>201</v>
      </c>
      <c r="C2217" s="229"/>
    </row>
    <row r="2218" spans="1:6" ht="28" x14ac:dyDescent="0.15">
      <c r="B2218" s="233" t="s">
        <v>6</v>
      </c>
      <c r="D2218" s="235">
        <v>3</v>
      </c>
      <c r="F2218" s="296" t="s">
        <v>671</v>
      </c>
    </row>
    <row r="2220" spans="1:6" s="228" customFormat="1" x14ac:dyDescent="0.15">
      <c r="A2220" s="225" t="s">
        <v>1006</v>
      </c>
      <c r="B2220" s="226"/>
      <c r="C2220" s="226"/>
      <c r="D2220" s="227"/>
      <c r="E2220" s="227"/>
      <c r="F2220" s="294"/>
    </row>
    <row r="2221" spans="1:6" ht="14" x14ac:dyDescent="0.15">
      <c r="B2221" s="230" t="s">
        <v>171</v>
      </c>
      <c r="C2221" s="230"/>
      <c r="D2221" s="231" t="s">
        <v>170</v>
      </c>
      <c r="E2221" s="231" t="s">
        <v>169</v>
      </c>
      <c r="F2221" s="295" t="s">
        <v>168</v>
      </c>
    </row>
    <row r="2222" spans="1:6" x14ac:dyDescent="0.15">
      <c r="A2222" s="250"/>
      <c r="B2222" s="250" t="s">
        <v>515</v>
      </c>
      <c r="D2222" s="234">
        <v>50</v>
      </c>
      <c r="E2222" s="234" t="s">
        <v>501</v>
      </c>
      <c r="F2222" s="300"/>
    </row>
    <row r="2223" spans="1:6" x14ac:dyDescent="0.15">
      <c r="A2223" s="250"/>
      <c r="B2223" s="250" t="s">
        <v>476</v>
      </c>
      <c r="D2223" s="234">
        <v>4725</v>
      </c>
      <c r="E2223" s="234" t="s">
        <v>276</v>
      </c>
      <c r="F2223" s="300"/>
    </row>
    <row r="2224" spans="1:6" x14ac:dyDescent="0.15">
      <c r="A2224" s="250"/>
      <c r="B2224" s="250" t="s">
        <v>515</v>
      </c>
      <c r="D2224" s="234">
        <f>D2222*D2223/1000</f>
        <v>236.25</v>
      </c>
      <c r="E2224" s="234" t="s">
        <v>271</v>
      </c>
      <c r="F2224" s="300"/>
    </row>
    <row r="2225" spans="1:6" x14ac:dyDescent="0.15">
      <c r="A2225" s="250"/>
      <c r="B2225" s="250" t="s">
        <v>515</v>
      </c>
      <c r="D2225" s="234">
        <f>D2224/D2223*24</f>
        <v>1.2000000000000002</v>
      </c>
      <c r="E2225" s="234" t="s">
        <v>461</v>
      </c>
      <c r="F2225" s="300"/>
    </row>
    <row r="2226" spans="1:6" x14ac:dyDescent="0.15">
      <c r="A2226" s="232" t="s">
        <v>167</v>
      </c>
    </row>
    <row r="2227" spans="1:6" ht="14" x14ac:dyDescent="0.15">
      <c r="A2227" s="250"/>
      <c r="B2227" s="250" t="s">
        <v>672</v>
      </c>
      <c r="D2227" s="236">
        <v>0</v>
      </c>
      <c r="E2227" s="234" t="s">
        <v>272</v>
      </c>
      <c r="F2227" s="296" t="s">
        <v>673</v>
      </c>
    </row>
    <row r="2228" spans="1:6" ht="14" x14ac:dyDescent="0.15">
      <c r="A2228" s="250"/>
      <c r="B2228" s="250" t="s">
        <v>583</v>
      </c>
      <c r="D2228" s="239">
        <v>0</v>
      </c>
      <c r="E2228" s="234" t="s">
        <v>272</v>
      </c>
      <c r="F2228" s="296" t="s">
        <v>673</v>
      </c>
    </row>
    <row r="2229" spans="1:6" ht="17" x14ac:dyDescent="0.25">
      <c r="B2229" s="233" t="s">
        <v>957</v>
      </c>
      <c r="D2229" s="237">
        <f>'Energy Balance'!Q43</f>
        <v>1E-3</v>
      </c>
      <c r="E2229" s="234" t="s">
        <v>172</v>
      </c>
      <c r="F2229" s="296" t="s">
        <v>173</v>
      </c>
    </row>
    <row r="2230" spans="1:6" x14ac:dyDescent="0.15">
      <c r="A2230" s="232" t="s">
        <v>174</v>
      </c>
    </row>
    <row r="2231" spans="1:6" ht="17" x14ac:dyDescent="0.25">
      <c r="B2231" s="233" t="s">
        <v>958</v>
      </c>
      <c r="D2231" s="235">
        <v>0</v>
      </c>
      <c r="E2231" s="234" t="s">
        <v>175</v>
      </c>
      <c r="F2231" s="296" t="s">
        <v>295</v>
      </c>
    </row>
    <row r="2232" spans="1:6" ht="30" x14ac:dyDescent="0.25">
      <c r="B2232" s="233" t="s">
        <v>959</v>
      </c>
      <c r="C2232" s="229"/>
      <c r="D2232" s="236">
        <v>0</v>
      </c>
      <c r="E2232" s="234" t="s">
        <v>111</v>
      </c>
      <c r="F2232" s="296" t="s">
        <v>629</v>
      </c>
    </row>
    <row r="2233" spans="1:6" ht="17" x14ac:dyDescent="0.25">
      <c r="B2233" s="233" t="s">
        <v>960</v>
      </c>
      <c r="C2233" s="229"/>
      <c r="D2233" s="236">
        <v>0</v>
      </c>
      <c r="E2233" s="234" t="s">
        <v>111</v>
      </c>
      <c r="F2233" s="296" t="s">
        <v>87</v>
      </c>
    </row>
    <row r="2234" spans="1:6" ht="17" x14ac:dyDescent="0.25">
      <c r="B2234" s="233" t="s">
        <v>961</v>
      </c>
      <c r="C2234" s="229"/>
      <c r="D2234" s="240">
        <f>'Energy Balance'!D43</f>
        <v>0</v>
      </c>
      <c r="E2234" s="234" t="s">
        <v>175</v>
      </c>
      <c r="F2234" s="296" t="s">
        <v>947</v>
      </c>
    </row>
    <row r="2235" spans="1:6" ht="17" x14ac:dyDescent="0.25">
      <c r="B2235" s="233" t="s">
        <v>962</v>
      </c>
      <c r="C2235" s="229"/>
      <c r="D2235" s="229"/>
    </row>
    <row r="2236" spans="1:6" s="232" customFormat="1" ht="14" x14ac:dyDescent="0.15">
      <c r="A2236" s="279"/>
      <c r="C2236" s="250" t="s">
        <v>691</v>
      </c>
      <c r="D2236" s="234">
        <v>0.89</v>
      </c>
      <c r="E2236" s="234" t="s">
        <v>688</v>
      </c>
      <c r="F2236" s="296" t="s">
        <v>689</v>
      </c>
    </row>
    <row r="2237" spans="1:6" s="232" customFormat="1" ht="14" x14ac:dyDescent="0.15">
      <c r="A2237" s="279"/>
      <c r="C2237" s="250" t="s">
        <v>692</v>
      </c>
      <c r="D2237" s="234">
        <v>1.78</v>
      </c>
      <c r="E2237" s="234" t="s">
        <v>688</v>
      </c>
      <c r="F2237" s="296" t="s">
        <v>689</v>
      </c>
    </row>
    <row r="2238" spans="1:6" s="232" customFormat="1" ht="14" x14ac:dyDescent="0.15">
      <c r="A2238" s="279"/>
      <c r="C2238" s="250" t="s">
        <v>693</v>
      </c>
      <c r="D2238" s="234">
        <v>34</v>
      </c>
      <c r="E2238" s="234" t="s">
        <v>688</v>
      </c>
      <c r="F2238" s="296" t="s">
        <v>689</v>
      </c>
    </row>
    <row r="2239" spans="1:6" s="232" customFormat="1" ht="14" x14ac:dyDescent="0.15">
      <c r="A2239" s="279"/>
      <c r="C2239" s="250" t="s">
        <v>694</v>
      </c>
      <c r="D2239" s="234">
        <v>0.56000000000000005</v>
      </c>
      <c r="E2239" s="234" t="s">
        <v>688</v>
      </c>
      <c r="F2239" s="296" t="s">
        <v>689</v>
      </c>
    </row>
    <row r="2240" spans="1:6" s="232" customFormat="1" ht="14" x14ac:dyDescent="0.15">
      <c r="A2240" s="279"/>
      <c r="C2240" s="250" t="s">
        <v>695</v>
      </c>
      <c r="D2240" s="234">
        <v>15.8</v>
      </c>
      <c r="E2240" s="234" t="s">
        <v>688</v>
      </c>
      <c r="F2240" s="296" t="s">
        <v>689</v>
      </c>
    </row>
    <row r="2241" spans="1:6" s="232" customFormat="1" ht="14" x14ac:dyDescent="0.15">
      <c r="A2241" s="279"/>
      <c r="C2241" s="280" t="s">
        <v>85</v>
      </c>
      <c r="D2241" s="281">
        <f>SUM(D2236:D2240)</f>
        <v>53.03</v>
      </c>
      <c r="E2241" s="234" t="s">
        <v>688</v>
      </c>
      <c r="F2241" s="296" t="s">
        <v>66</v>
      </c>
    </row>
    <row r="2242" spans="1:6" s="232" customFormat="1" ht="14" x14ac:dyDescent="0.15">
      <c r="A2242" s="279"/>
      <c r="C2242" s="250" t="s">
        <v>696</v>
      </c>
      <c r="D2242" s="251">
        <f>D2241/3.6</f>
        <v>14.730555555555556</v>
      </c>
      <c r="E2242" s="234" t="s">
        <v>392</v>
      </c>
      <c r="F2242" s="296" t="s">
        <v>690</v>
      </c>
    </row>
    <row r="2243" spans="1:6" s="232" customFormat="1" ht="14" x14ac:dyDescent="0.15">
      <c r="A2243" s="279"/>
      <c r="C2243" s="250" t="s">
        <v>696</v>
      </c>
      <c r="D2243" s="251">
        <f>D2242*D2223</f>
        <v>69601.875</v>
      </c>
      <c r="E2243" s="234" t="s">
        <v>470</v>
      </c>
      <c r="F2243" s="296" t="s">
        <v>609</v>
      </c>
    </row>
    <row r="2244" spans="1:6" s="232" customFormat="1" ht="14" x14ac:dyDescent="0.15">
      <c r="A2244" s="279"/>
      <c r="C2244" s="280" t="s">
        <v>697</v>
      </c>
      <c r="D2244" s="247">
        <f>D2243/D2224</f>
        <v>294.61111111111109</v>
      </c>
      <c r="E2244" s="234" t="s">
        <v>175</v>
      </c>
      <c r="F2244" s="296" t="s">
        <v>66</v>
      </c>
    </row>
    <row r="2245" spans="1:6" ht="17" x14ac:dyDescent="0.25">
      <c r="B2245" s="233" t="s">
        <v>963</v>
      </c>
      <c r="C2245" s="229"/>
    </row>
    <row r="2246" spans="1:6" ht="14" x14ac:dyDescent="0.15">
      <c r="A2246" s="250"/>
      <c r="B2246" s="229"/>
      <c r="C2246" s="250" t="s">
        <v>674</v>
      </c>
      <c r="D2246" s="234">
        <v>66.150000000000006</v>
      </c>
      <c r="E2246" s="234" t="s">
        <v>608</v>
      </c>
      <c r="F2246" s="296" t="s">
        <v>680</v>
      </c>
    </row>
    <row r="2247" spans="1:6" ht="14" x14ac:dyDescent="0.15">
      <c r="A2247" s="250"/>
      <c r="B2247" s="229"/>
      <c r="C2247" s="250" t="s">
        <v>674</v>
      </c>
      <c r="D2247" s="236">
        <f>D2246/D2224</f>
        <v>0.28000000000000003</v>
      </c>
      <c r="E2247" s="234" t="s">
        <v>272</v>
      </c>
      <c r="F2247" s="304" t="s">
        <v>467</v>
      </c>
    </row>
    <row r="2248" spans="1:6" ht="14" x14ac:dyDescent="0.15">
      <c r="A2248" s="250"/>
      <c r="B2248" s="229"/>
      <c r="C2248" s="250" t="s">
        <v>681</v>
      </c>
      <c r="D2248" s="234">
        <v>14</v>
      </c>
      <c r="E2248" s="234" t="s">
        <v>488</v>
      </c>
      <c r="F2248" s="296" t="s">
        <v>677</v>
      </c>
    </row>
    <row r="2249" spans="1:6" x14ac:dyDescent="0.15">
      <c r="A2249" s="250"/>
      <c r="B2249" s="229"/>
      <c r="C2249" s="250" t="s">
        <v>681</v>
      </c>
      <c r="D2249" s="247">
        <f>D2248*1000*947.817/1000000</f>
        <v>13.269437999999999</v>
      </c>
      <c r="E2249" s="234" t="s">
        <v>601</v>
      </c>
    </row>
    <row r="2250" spans="1:6" ht="14" x14ac:dyDescent="0.15">
      <c r="A2250" s="250"/>
      <c r="B2250" s="229"/>
      <c r="C2250" s="250" t="s">
        <v>682</v>
      </c>
      <c r="D2250" s="249">
        <f>D2248*1000*D2246/3.6/D2224</f>
        <v>1088.8888888888889</v>
      </c>
      <c r="E2250" s="234" t="s">
        <v>175</v>
      </c>
      <c r="F2250" s="296" t="s">
        <v>466</v>
      </c>
    </row>
    <row r="2251" spans="1:6" ht="14" x14ac:dyDescent="0.15">
      <c r="A2251" s="250"/>
      <c r="B2251" s="229"/>
      <c r="C2251" s="250" t="s">
        <v>890</v>
      </c>
      <c r="D2251" s="272">
        <v>19.260000000000002</v>
      </c>
      <c r="E2251" s="234" t="s">
        <v>610</v>
      </c>
      <c r="F2251" s="297" t="s">
        <v>374</v>
      </c>
    </row>
    <row r="2252" spans="1:6" ht="14" x14ac:dyDescent="0.15">
      <c r="A2252" s="250"/>
      <c r="B2252" s="229"/>
      <c r="C2252" s="250" t="s">
        <v>890</v>
      </c>
      <c r="D2252" s="272">
        <f>D2251/2000*2204.62</f>
        <v>21.230490600000003</v>
      </c>
      <c r="E2252" s="234" t="s">
        <v>601</v>
      </c>
      <c r="F2252" s="296" t="s">
        <v>891</v>
      </c>
    </row>
    <row r="2253" spans="1:6" ht="14" x14ac:dyDescent="0.15">
      <c r="A2253" s="250"/>
      <c r="B2253" s="229"/>
      <c r="C2253" s="250" t="s">
        <v>675</v>
      </c>
      <c r="D2253" s="234">
        <v>63.786999999999999</v>
      </c>
      <c r="E2253" s="234" t="s">
        <v>608</v>
      </c>
      <c r="F2253" s="296" t="s">
        <v>680</v>
      </c>
    </row>
    <row r="2254" spans="1:6" ht="14" x14ac:dyDescent="0.15">
      <c r="A2254" s="250"/>
      <c r="B2254" s="229"/>
      <c r="C2254" s="250" t="s">
        <v>675</v>
      </c>
      <c r="D2254" s="236">
        <f>D2253/D2224</f>
        <v>0.26999788359788357</v>
      </c>
      <c r="E2254" s="234" t="s">
        <v>272</v>
      </c>
      <c r="F2254" s="304" t="s">
        <v>467</v>
      </c>
    </row>
    <row r="2255" spans="1:6" ht="14" x14ac:dyDescent="0.15">
      <c r="A2255" s="250"/>
      <c r="B2255" s="229"/>
      <c r="C2255" s="250" t="s">
        <v>683</v>
      </c>
      <c r="D2255" s="234">
        <v>9.4600000000000009</v>
      </c>
      <c r="E2255" s="234" t="s">
        <v>488</v>
      </c>
      <c r="F2255" s="296" t="s">
        <v>678</v>
      </c>
    </row>
    <row r="2256" spans="1:6" ht="14" x14ac:dyDescent="0.15">
      <c r="A2256" s="250"/>
      <c r="B2256" s="229"/>
      <c r="C2256" s="250" t="s">
        <v>684</v>
      </c>
      <c r="D2256" s="249">
        <f>D2255*1000*D2253/3.6/D2224</f>
        <v>709.49443856554967</v>
      </c>
      <c r="E2256" s="234" t="s">
        <v>175</v>
      </c>
      <c r="F2256" s="296" t="s">
        <v>466</v>
      </c>
    </row>
    <row r="2257" spans="1:8" ht="14" x14ac:dyDescent="0.15">
      <c r="A2257" s="250"/>
      <c r="B2257" s="229"/>
      <c r="C2257" s="250" t="s">
        <v>676</v>
      </c>
      <c r="D2257" s="234">
        <v>106.312</v>
      </c>
      <c r="E2257" s="234" t="s">
        <v>608</v>
      </c>
      <c r="F2257" s="296" t="s">
        <v>680</v>
      </c>
    </row>
    <row r="2258" spans="1:8" ht="14" x14ac:dyDescent="0.15">
      <c r="A2258" s="250"/>
      <c r="B2258" s="229"/>
      <c r="C2258" s="250" t="s">
        <v>676</v>
      </c>
      <c r="D2258" s="236">
        <f>D2257/D2224</f>
        <v>0.44999788359788356</v>
      </c>
      <c r="E2258" s="234" t="s">
        <v>272</v>
      </c>
      <c r="F2258" s="304" t="s">
        <v>467</v>
      </c>
    </row>
    <row r="2259" spans="1:8" ht="14" x14ac:dyDescent="0.15">
      <c r="A2259" s="250"/>
      <c r="B2259" s="229"/>
      <c r="C2259" s="250" t="s">
        <v>685</v>
      </c>
      <c r="D2259" s="234">
        <v>16.5</v>
      </c>
      <c r="E2259" s="234" t="s">
        <v>488</v>
      </c>
      <c r="F2259" s="296" t="s">
        <v>679</v>
      </c>
    </row>
    <row r="2260" spans="1:8" ht="14" x14ac:dyDescent="0.15">
      <c r="A2260" s="250"/>
      <c r="B2260" s="229"/>
      <c r="C2260" s="250" t="s">
        <v>686</v>
      </c>
      <c r="D2260" s="249">
        <f>D2259*1000*D2257/3.6/D2224</f>
        <v>2062.490299823633</v>
      </c>
      <c r="E2260" s="234" t="s">
        <v>175</v>
      </c>
      <c r="F2260" s="296" t="s">
        <v>466</v>
      </c>
    </row>
    <row r="2261" spans="1:8" ht="14" x14ac:dyDescent="0.15">
      <c r="A2261" s="250"/>
      <c r="B2261" s="229"/>
      <c r="C2261" s="250" t="s">
        <v>687</v>
      </c>
      <c r="D2261" s="249">
        <f>SUM(D2260,D2250,D2256)</f>
        <v>3860.8736272780716</v>
      </c>
      <c r="E2261" s="234" t="s">
        <v>175</v>
      </c>
      <c r="F2261" s="296" t="s">
        <v>66</v>
      </c>
    </row>
    <row r="2262" spans="1:8" ht="17" x14ac:dyDescent="0.25">
      <c r="A2262" s="250"/>
      <c r="B2262" s="233" t="s">
        <v>964</v>
      </c>
      <c r="C2262" s="259"/>
      <c r="D2262" s="244">
        <f>'Energy Balance'!S43</f>
        <v>0.13541504944639832</v>
      </c>
      <c r="E2262" s="234" t="s">
        <v>175</v>
      </c>
      <c r="F2262" s="296" t="s">
        <v>948</v>
      </c>
    </row>
    <row r="2263" spans="1:8" ht="17" x14ac:dyDescent="0.25">
      <c r="B2263" s="233" t="s">
        <v>965</v>
      </c>
      <c r="C2263" s="229"/>
    </row>
    <row r="2264" spans="1:8" s="232" customFormat="1" ht="14" x14ac:dyDescent="0.15">
      <c r="A2264" s="279"/>
      <c r="C2264" s="250" t="s">
        <v>721</v>
      </c>
      <c r="D2264" s="251">
        <v>4.7</v>
      </c>
      <c r="E2264" s="234" t="s">
        <v>392</v>
      </c>
      <c r="F2264" s="296" t="s">
        <v>689</v>
      </c>
    </row>
    <row r="2265" spans="1:8" s="232" customFormat="1" ht="14" x14ac:dyDescent="0.15">
      <c r="A2265" s="279"/>
      <c r="C2265" s="250" t="s">
        <v>721</v>
      </c>
      <c r="D2265" s="254">
        <f>D2264*D2223</f>
        <v>22207.5</v>
      </c>
      <c r="E2265" s="234" t="s">
        <v>470</v>
      </c>
      <c r="F2265" s="296" t="s">
        <v>463</v>
      </c>
    </row>
    <row r="2266" spans="1:8" s="232" customFormat="1" ht="14" x14ac:dyDescent="0.15">
      <c r="A2266" s="279"/>
      <c r="C2266" s="250" t="s">
        <v>722</v>
      </c>
      <c r="D2266" s="254">
        <f>D2265/D2224</f>
        <v>94</v>
      </c>
      <c r="E2266" s="234" t="s">
        <v>175</v>
      </c>
      <c r="F2266" s="296" t="s">
        <v>467</v>
      </c>
    </row>
    <row r="2267" spans="1:8" s="232" customFormat="1" ht="14" x14ac:dyDescent="0.15">
      <c r="A2267" s="279"/>
      <c r="C2267" s="250" t="s">
        <v>723</v>
      </c>
      <c r="D2267" s="247">
        <f>D2266*3412/1000000</f>
        <v>0.32072800000000001</v>
      </c>
      <c r="E2267" s="234" t="s">
        <v>178</v>
      </c>
      <c r="F2267" s="296" t="s">
        <v>66</v>
      </c>
    </row>
    <row r="2268" spans="1:8" ht="17" x14ac:dyDescent="0.25">
      <c r="B2268" s="233" t="s">
        <v>966</v>
      </c>
      <c r="C2268" s="229"/>
      <c r="D2268" s="240">
        <f>'Energy Balance'!Y43</f>
        <v>3601.8121907506902</v>
      </c>
      <c r="E2268" s="234" t="s">
        <v>175</v>
      </c>
      <c r="F2268" s="296" t="s">
        <v>176</v>
      </c>
    </row>
    <row r="2269" spans="1:8" ht="17" x14ac:dyDescent="0.25">
      <c r="A2269" s="232" t="s">
        <v>967</v>
      </c>
      <c r="C2269" s="229"/>
    </row>
    <row r="2270" spans="1:8" ht="17" x14ac:dyDescent="0.25">
      <c r="B2270" s="233" t="s">
        <v>968</v>
      </c>
      <c r="C2270" s="229"/>
      <c r="D2270" s="241">
        <f>GWP!P41</f>
        <v>0</v>
      </c>
      <c r="E2270" s="234" t="s">
        <v>969</v>
      </c>
      <c r="F2270" s="296" t="s">
        <v>949</v>
      </c>
    </row>
    <row r="2271" spans="1:8" ht="17" x14ac:dyDescent="0.25">
      <c r="B2271" s="233" t="s">
        <v>970</v>
      </c>
      <c r="C2271" s="229"/>
      <c r="D2271" s="235">
        <v>0</v>
      </c>
      <c r="E2271" s="234" t="s">
        <v>172</v>
      </c>
      <c r="F2271" s="296" t="s">
        <v>190</v>
      </c>
      <c r="G2271" s="234"/>
      <c r="H2271" s="234"/>
    </row>
    <row r="2272" spans="1:8" ht="17" x14ac:dyDescent="0.25">
      <c r="B2272" s="233" t="s">
        <v>971</v>
      </c>
      <c r="C2272" s="229"/>
      <c r="D2272" s="244">
        <f>GWP!R41</f>
        <v>0</v>
      </c>
      <c r="E2272" s="234" t="s">
        <v>969</v>
      </c>
      <c r="F2272" s="296" t="s">
        <v>193</v>
      </c>
    </row>
    <row r="2273" spans="1:8" ht="17" x14ac:dyDescent="0.25">
      <c r="B2273" s="233" t="s">
        <v>972</v>
      </c>
      <c r="C2273" s="229"/>
      <c r="D2273" s="235">
        <v>0</v>
      </c>
      <c r="E2273" s="234" t="s">
        <v>172</v>
      </c>
      <c r="F2273" s="296" t="s">
        <v>192</v>
      </c>
      <c r="G2273" s="234"/>
      <c r="H2273" s="234"/>
    </row>
    <row r="2274" spans="1:8" ht="17" x14ac:dyDescent="0.25">
      <c r="B2274" s="233" t="s">
        <v>973</v>
      </c>
      <c r="C2274" s="229"/>
      <c r="D2274" s="243">
        <f>GWP!T41</f>
        <v>0</v>
      </c>
      <c r="E2274" s="234" t="s">
        <v>969</v>
      </c>
      <c r="F2274" s="296" t="s">
        <v>919</v>
      </c>
    </row>
    <row r="2275" spans="1:8" ht="17" x14ac:dyDescent="0.25">
      <c r="B2275" s="233" t="s">
        <v>974</v>
      </c>
      <c r="D2275" s="244">
        <f>GWP!Z41</f>
        <v>2079.788325314521</v>
      </c>
      <c r="E2275" s="234" t="s">
        <v>969</v>
      </c>
      <c r="F2275" s="296" t="s">
        <v>200</v>
      </c>
      <c r="G2275" s="234"/>
      <c r="H2275" s="234"/>
    </row>
    <row r="2276" spans="1:8" ht="17" x14ac:dyDescent="0.25">
      <c r="B2276" s="233" t="s">
        <v>975</v>
      </c>
      <c r="C2276" s="229"/>
      <c r="D2276" s="235">
        <v>0</v>
      </c>
      <c r="E2276" s="234" t="s">
        <v>314</v>
      </c>
      <c r="F2276" s="296" t="s">
        <v>190</v>
      </c>
    </row>
    <row r="2277" spans="1:8" ht="17" x14ac:dyDescent="0.25">
      <c r="B2277" s="233" t="s">
        <v>976</v>
      </c>
      <c r="C2277" s="229"/>
      <c r="D2277" s="244">
        <f>GWP!AB41</f>
        <v>-1916.9907600165168</v>
      </c>
      <c r="E2277" s="234" t="s">
        <v>314</v>
      </c>
      <c r="F2277" s="296" t="s">
        <v>179</v>
      </c>
    </row>
    <row r="2278" spans="1:8" x14ac:dyDescent="0.15">
      <c r="A2278" s="232" t="s">
        <v>41</v>
      </c>
      <c r="C2278" s="229"/>
    </row>
    <row r="2279" spans="1:8" ht="14" x14ac:dyDescent="0.15">
      <c r="A2279" s="250"/>
      <c r="B2279" s="229"/>
      <c r="C2279" s="250" t="s">
        <v>709</v>
      </c>
      <c r="D2279" s="234">
        <v>19378</v>
      </c>
      <c r="E2279" s="234" t="s">
        <v>708</v>
      </c>
      <c r="F2279" s="296" t="s">
        <v>712</v>
      </c>
    </row>
    <row r="2280" spans="1:8" ht="14" x14ac:dyDescent="0.15">
      <c r="A2280" s="250"/>
      <c r="B2280" s="229"/>
      <c r="C2280" s="250" t="s">
        <v>710</v>
      </c>
      <c r="D2280" s="234">
        <v>49825</v>
      </c>
      <c r="E2280" s="234" t="s">
        <v>708</v>
      </c>
      <c r="F2280" s="296" t="s">
        <v>712</v>
      </c>
    </row>
    <row r="2281" spans="1:8" ht="14" x14ac:dyDescent="0.15">
      <c r="A2281" s="250"/>
      <c r="B2281" s="229"/>
      <c r="C2281" s="250" t="s">
        <v>207</v>
      </c>
      <c r="D2281" s="234">
        <f>SUM(D2279:D2280)</f>
        <v>69203</v>
      </c>
      <c r="E2281" s="234" t="s">
        <v>708</v>
      </c>
      <c r="F2281" s="296" t="s">
        <v>712</v>
      </c>
    </row>
    <row r="2282" spans="1:8" x14ac:dyDescent="0.15">
      <c r="A2282" s="250"/>
      <c r="B2282" s="229"/>
      <c r="C2282" s="250" t="s">
        <v>703</v>
      </c>
      <c r="D2282" s="234">
        <v>1.17</v>
      </c>
      <c r="E2282" s="234" t="s">
        <v>825</v>
      </c>
      <c r="F2282" s="300"/>
    </row>
    <row r="2283" spans="1:8" ht="14" x14ac:dyDescent="0.15">
      <c r="A2283" s="250"/>
      <c r="B2283" s="229"/>
      <c r="C2283" s="250" t="s">
        <v>207</v>
      </c>
      <c r="D2283" s="254">
        <f>D2281*D2305</f>
        <v>80967.509999999995</v>
      </c>
      <c r="E2283" s="234" t="s">
        <v>86</v>
      </c>
      <c r="F2283" s="296" t="s">
        <v>713</v>
      </c>
    </row>
    <row r="2284" spans="1:8" x14ac:dyDescent="0.15">
      <c r="A2284" s="250"/>
      <c r="B2284" s="229"/>
      <c r="C2284" s="250" t="s">
        <v>711</v>
      </c>
      <c r="D2284" s="254">
        <f>D2283/D2225</f>
        <v>67472.924999999988</v>
      </c>
      <c r="E2284" s="234" t="s">
        <v>824</v>
      </c>
    </row>
    <row r="2285" spans="1:8" ht="14" x14ac:dyDescent="0.15">
      <c r="B2285" s="233" t="s">
        <v>796</v>
      </c>
      <c r="D2285" s="260">
        <v>1.8100000000000002E-2</v>
      </c>
      <c r="E2285" s="234" t="s">
        <v>111</v>
      </c>
      <c r="F2285" s="297" t="s">
        <v>797</v>
      </c>
    </row>
    <row r="2286" spans="1:8" x14ac:dyDescent="0.15">
      <c r="B2286" s="233" t="s">
        <v>799</v>
      </c>
      <c r="D2286" s="242">
        <f>D2284*(1+D2285)</f>
        <v>68694.184942499982</v>
      </c>
      <c r="E2286" s="234" t="s">
        <v>404</v>
      </c>
      <c r="F2286" s="297"/>
    </row>
    <row r="2287" spans="1:8" x14ac:dyDescent="0.15">
      <c r="A2287" s="232" t="s">
        <v>195</v>
      </c>
      <c r="C2287" s="229"/>
    </row>
    <row r="2288" spans="1:8" x14ac:dyDescent="0.15">
      <c r="B2288" s="233" t="s">
        <v>42</v>
      </c>
      <c r="C2288" s="229"/>
    </row>
    <row r="2289" spans="1:6" ht="14" x14ac:dyDescent="0.15">
      <c r="A2289" s="250"/>
      <c r="B2289" s="229"/>
      <c r="C2289" s="250" t="s">
        <v>716</v>
      </c>
      <c r="D2289" s="234">
        <v>4218</v>
      </c>
      <c r="E2289" s="234" t="s">
        <v>715</v>
      </c>
      <c r="F2289" s="296" t="s">
        <v>712</v>
      </c>
    </row>
    <row r="2290" spans="1:6" ht="14" x14ac:dyDescent="0.15">
      <c r="A2290" s="250"/>
      <c r="B2290" s="229"/>
      <c r="C2290" s="250" t="s">
        <v>717</v>
      </c>
      <c r="D2290" s="234">
        <v>152901</v>
      </c>
      <c r="E2290" s="234" t="s">
        <v>715</v>
      </c>
      <c r="F2290" s="296" t="s">
        <v>712</v>
      </c>
    </row>
    <row r="2291" spans="1:6" ht="14" x14ac:dyDescent="0.15">
      <c r="A2291" s="250"/>
      <c r="B2291" s="229"/>
      <c r="C2291" s="250" t="s">
        <v>718</v>
      </c>
      <c r="D2291" s="234">
        <v>9129</v>
      </c>
      <c r="E2291" s="234" t="s">
        <v>715</v>
      </c>
      <c r="F2291" s="296" t="s">
        <v>712</v>
      </c>
    </row>
    <row r="2292" spans="1:6" ht="14" x14ac:dyDescent="0.15">
      <c r="A2292" s="250"/>
      <c r="B2292" s="229"/>
      <c r="C2292" s="250" t="s">
        <v>720</v>
      </c>
      <c r="D2292" s="234">
        <v>4149</v>
      </c>
      <c r="E2292" s="234" t="s">
        <v>715</v>
      </c>
      <c r="F2292" s="296" t="s">
        <v>712</v>
      </c>
    </row>
    <row r="2293" spans="1:6" ht="14" x14ac:dyDescent="0.15">
      <c r="A2293" s="250"/>
      <c r="B2293" s="229"/>
      <c r="C2293" s="250" t="s">
        <v>719</v>
      </c>
      <c r="D2293" s="234">
        <v>15290</v>
      </c>
      <c r="E2293" s="234" t="s">
        <v>715</v>
      </c>
      <c r="F2293" s="296" t="s">
        <v>712</v>
      </c>
    </row>
    <row r="2294" spans="1:6" x14ac:dyDescent="0.15">
      <c r="A2294" s="250"/>
      <c r="B2294" s="229"/>
      <c r="C2294" s="280" t="s">
        <v>210</v>
      </c>
      <c r="D2294" s="281">
        <f>SUM(D2289:D2293)</f>
        <v>185687</v>
      </c>
      <c r="E2294" s="234" t="s">
        <v>715</v>
      </c>
      <c r="F2294" s="300"/>
    </row>
    <row r="2295" spans="1:6" x14ac:dyDescent="0.15">
      <c r="A2295" s="250"/>
      <c r="B2295" s="229"/>
      <c r="C2295" s="250" t="s">
        <v>703</v>
      </c>
      <c r="D2295" s="234">
        <v>1.17</v>
      </c>
      <c r="E2295" s="234" t="s">
        <v>825</v>
      </c>
      <c r="F2295" s="300"/>
    </row>
    <row r="2296" spans="1:6" x14ac:dyDescent="0.15">
      <c r="A2296" s="250"/>
      <c r="B2296" s="229"/>
      <c r="C2296" s="250" t="s">
        <v>210</v>
      </c>
      <c r="D2296" s="254">
        <f>D2294*D2305</f>
        <v>217253.78999999998</v>
      </c>
      <c r="E2296" s="234" t="s">
        <v>281</v>
      </c>
      <c r="F2296" s="300"/>
    </row>
    <row r="2297" spans="1:6" x14ac:dyDescent="0.15">
      <c r="A2297" s="250"/>
      <c r="B2297" s="229"/>
      <c r="C2297" s="250" t="s">
        <v>42</v>
      </c>
      <c r="D2297" s="254">
        <f>D2296/D2224</f>
        <v>919.5927619047618</v>
      </c>
      <c r="E2297" s="234" t="s">
        <v>824</v>
      </c>
      <c r="F2297" s="300"/>
    </row>
    <row r="2298" spans="1:6" ht="14" x14ac:dyDescent="0.15">
      <c r="B2298" s="233" t="s">
        <v>796</v>
      </c>
      <c r="D2298" s="260">
        <v>1.8100000000000002E-2</v>
      </c>
      <c r="E2298" s="234" t="s">
        <v>111</v>
      </c>
      <c r="F2298" s="297" t="s">
        <v>797</v>
      </c>
    </row>
    <row r="2299" spans="1:6" x14ac:dyDescent="0.15">
      <c r="B2299" s="233" t="s">
        <v>798</v>
      </c>
      <c r="D2299" s="247">
        <f>D2297*(1+D2298)</f>
        <v>936.23739089523804</v>
      </c>
      <c r="E2299" s="234" t="s">
        <v>816</v>
      </c>
    </row>
    <row r="2300" spans="1:6" ht="14" x14ac:dyDescent="0.15">
      <c r="B2300" s="233" t="s">
        <v>197</v>
      </c>
      <c r="C2300" s="229"/>
      <c r="D2300" s="237">
        <f>'Commercial Viability'!F44</f>
        <v>5.7619314650726387E-2</v>
      </c>
      <c r="E2300" s="234" t="s">
        <v>199</v>
      </c>
      <c r="F2300" s="296" t="s">
        <v>950</v>
      </c>
    </row>
    <row r="2301" spans="1:6" x14ac:dyDescent="0.15">
      <c r="B2301" s="233" t="s">
        <v>196</v>
      </c>
      <c r="C2301" s="229"/>
    </row>
    <row r="2302" spans="1:6" ht="14" x14ac:dyDescent="0.15">
      <c r="A2302" s="250"/>
      <c r="B2302" s="229"/>
      <c r="C2302" s="250" t="s">
        <v>698</v>
      </c>
      <c r="D2302" s="234">
        <v>3.6999999999999998E-2</v>
      </c>
      <c r="E2302" s="234" t="s">
        <v>699</v>
      </c>
      <c r="F2302" s="296" t="s">
        <v>714</v>
      </c>
    </row>
    <row r="2303" spans="1:6" ht="14" x14ac:dyDescent="0.15">
      <c r="A2303" s="250"/>
      <c r="B2303" s="229"/>
      <c r="C2303" s="250" t="s">
        <v>701</v>
      </c>
      <c r="D2303" s="234">
        <v>4.4999999999999998E-2</v>
      </c>
      <c r="E2303" s="234" t="s">
        <v>699</v>
      </c>
      <c r="F2303" s="296" t="s">
        <v>714</v>
      </c>
    </row>
    <row r="2304" spans="1:6" ht="14" x14ac:dyDescent="0.15">
      <c r="A2304" s="250"/>
      <c r="B2304" s="229"/>
      <c r="C2304" s="250" t="s">
        <v>702</v>
      </c>
      <c r="D2304" s="254">
        <v>291.95999999999998</v>
      </c>
      <c r="E2304" s="234" t="s">
        <v>700</v>
      </c>
      <c r="F2304" s="296" t="s">
        <v>678</v>
      </c>
    </row>
    <row r="2305" spans="1:6" x14ac:dyDescent="0.15">
      <c r="A2305" s="250"/>
      <c r="B2305" s="229"/>
      <c r="C2305" s="250" t="s">
        <v>703</v>
      </c>
      <c r="D2305" s="234">
        <v>1.17</v>
      </c>
      <c r="E2305" s="234" t="s">
        <v>825</v>
      </c>
      <c r="F2305" s="300"/>
    </row>
    <row r="2306" spans="1:6" ht="14" x14ac:dyDescent="0.15">
      <c r="A2306" s="250"/>
      <c r="B2306" s="229"/>
      <c r="C2306" s="250" t="s">
        <v>704</v>
      </c>
      <c r="D2306" s="251">
        <f>D2246*1000/D2224*D2302*D2305</f>
        <v>12.121199999999998</v>
      </c>
      <c r="E2306" s="234" t="s">
        <v>199</v>
      </c>
      <c r="F2306" s="296" t="s">
        <v>724</v>
      </c>
    </row>
    <row r="2307" spans="1:6" ht="14" x14ac:dyDescent="0.15">
      <c r="A2307" s="250"/>
      <c r="B2307" s="229"/>
      <c r="C2307" s="250" t="s">
        <v>705</v>
      </c>
      <c r="D2307" s="251">
        <f>D2253*1000/D2224*D2303*D2305</f>
        <v>14.215388571428569</v>
      </c>
      <c r="E2307" s="234" t="s">
        <v>199</v>
      </c>
      <c r="F2307" s="296" t="s">
        <v>724</v>
      </c>
    </row>
    <row r="2308" spans="1:6" ht="14" x14ac:dyDescent="0.15">
      <c r="A2308" s="250"/>
      <c r="B2308" s="229"/>
      <c r="C2308" s="250" t="s">
        <v>706</v>
      </c>
      <c r="D2308" s="254">
        <f>D2257/D2224*D2304</f>
        <v>131.38138209523808</v>
      </c>
      <c r="E2308" s="234" t="s">
        <v>199</v>
      </c>
      <c r="F2308" s="296" t="s">
        <v>724</v>
      </c>
    </row>
    <row r="2309" spans="1:6" ht="14" x14ac:dyDescent="0.15">
      <c r="A2309" s="250"/>
      <c r="B2309" s="229"/>
      <c r="C2309" s="250" t="s">
        <v>707</v>
      </c>
      <c r="D2309" s="254">
        <f>SUM(D2306:D2308)</f>
        <v>157.71797066666664</v>
      </c>
      <c r="E2309" s="234" t="s">
        <v>824</v>
      </c>
      <c r="F2309" s="296" t="s">
        <v>66</v>
      </c>
    </row>
    <row r="2310" spans="1:6" ht="14" x14ac:dyDescent="0.15">
      <c r="B2310" s="233" t="s">
        <v>796</v>
      </c>
      <c r="D2310" s="260">
        <v>1.8100000000000002E-2</v>
      </c>
      <c r="E2310" s="234" t="s">
        <v>111</v>
      </c>
      <c r="F2310" s="297" t="s">
        <v>797</v>
      </c>
    </row>
    <row r="2311" spans="1:6" x14ac:dyDescent="0.15">
      <c r="B2311" s="233" t="s">
        <v>809</v>
      </c>
      <c r="D2311" s="247">
        <f>D2309*(1+D2310)</f>
        <v>160.57266593573331</v>
      </c>
      <c r="E2311" s="234" t="s">
        <v>816</v>
      </c>
    </row>
    <row r="2312" spans="1:6" ht="14" x14ac:dyDescent="0.15">
      <c r="B2312" s="233" t="s">
        <v>195</v>
      </c>
      <c r="C2312" s="229"/>
      <c r="D2312" s="244">
        <f>'Commercial Viability'!H44</f>
        <v>-775.72234427415549</v>
      </c>
      <c r="E2312" s="234" t="s">
        <v>199</v>
      </c>
      <c r="F2312" s="296" t="s">
        <v>951</v>
      </c>
    </row>
    <row r="2313" spans="1:6" x14ac:dyDescent="0.15">
      <c r="A2313" s="232" t="s">
        <v>201</v>
      </c>
      <c r="C2313" s="229"/>
    </row>
    <row r="2314" spans="1:6" ht="28" x14ac:dyDescent="0.15">
      <c r="B2314" s="233" t="s">
        <v>6</v>
      </c>
      <c r="D2314" s="235">
        <v>7</v>
      </c>
      <c r="F2314" s="296" t="s">
        <v>326</v>
      </c>
    </row>
    <row r="2316" spans="1:6" s="228" customFormat="1" x14ac:dyDescent="0.15">
      <c r="A2316" s="225" t="s">
        <v>1007</v>
      </c>
      <c r="B2316" s="226"/>
      <c r="C2316" s="226"/>
      <c r="D2316" s="227"/>
      <c r="E2316" s="227"/>
      <c r="F2316" s="294"/>
    </row>
    <row r="2317" spans="1:6" ht="14" x14ac:dyDescent="0.15">
      <c r="B2317" s="230" t="s">
        <v>171</v>
      </c>
      <c r="C2317" s="230"/>
      <c r="D2317" s="231" t="s">
        <v>170</v>
      </c>
      <c r="E2317" s="231" t="s">
        <v>169</v>
      </c>
      <c r="F2317" s="295" t="s">
        <v>168</v>
      </c>
    </row>
    <row r="2318" spans="1:6" ht="14" x14ac:dyDescent="0.15">
      <c r="A2318" s="250"/>
      <c r="B2318" s="250" t="s">
        <v>725</v>
      </c>
      <c r="D2318" s="282">
        <v>365</v>
      </c>
      <c r="E2318" s="234" t="s">
        <v>414</v>
      </c>
      <c r="F2318" s="296" t="s">
        <v>729</v>
      </c>
    </row>
    <row r="2319" spans="1:6" ht="14" x14ac:dyDescent="0.15">
      <c r="A2319" s="250"/>
      <c r="B2319" s="250" t="s">
        <v>733</v>
      </c>
      <c r="D2319" s="282">
        <v>68500000</v>
      </c>
      <c r="E2319" s="234" t="s">
        <v>708</v>
      </c>
      <c r="F2319" s="296" t="s">
        <v>730</v>
      </c>
    </row>
    <row r="2320" spans="1:6" x14ac:dyDescent="0.15">
      <c r="A2320" s="250"/>
      <c r="B2320" s="250" t="s">
        <v>570</v>
      </c>
      <c r="D2320" s="282">
        <v>68.5</v>
      </c>
      <c r="E2320" s="234" t="s">
        <v>734</v>
      </c>
    </row>
    <row r="2321" spans="1:6" ht="28" x14ac:dyDescent="0.15">
      <c r="A2321" s="250"/>
      <c r="B2321" s="250" t="s">
        <v>596</v>
      </c>
      <c r="D2321" s="234">
        <f>D2319/20/D2320</f>
        <v>50000</v>
      </c>
      <c r="E2321" s="234" t="s">
        <v>736</v>
      </c>
      <c r="F2321" s="296" t="s">
        <v>735</v>
      </c>
    </row>
    <row r="2322" spans="1:6" ht="14" x14ac:dyDescent="0.15">
      <c r="A2322" s="250"/>
      <c r="B2322" s="250" t="s">
        <v>726</v>
      </c>
      <c r="D2322" s="254">
        <f>D2321/D2318</f>
        <v>136.98630136986301</v>
      </c>
      <c r="E2322" s="234" t="s">
        <v>403</v>
      </c>
      <c r="F2322" s="296" t="s">
        <v>66</v>
      </c>
    </row>
    <row r="2323" spans="1:6" ht="14" x14ac:dyDescent="0.15">
      <c r="A2323" s="250"/>
      <c r="B2323" s="250" t="s">
        <v>727</v>
      </c>
      <c r="D2323" s="255">
        <v>0.85</v>
      </c>
      <c r="E2323" s="234" t="s">
        <v>272</v>
      </c>
      <c r="F2323" s="296" t="s">
        <v>731</v>
      </c>
    </row>
    <row r="2324" spans="1:6" ht="14" x14ac:dyDescent="0.15">
      <c r="A2324" s="250"/>
      <c r="B2324" s="250" t="s">
        <v>728</v>
      </c>
      <c r="D2324" s="258">
        <f>D2322*(1-D2323)</f>
        <v>20.547945205479454</v>
      </c>
      <c r="E2324" s="234" t="s">
        <v>270</v>
      </c>
      <c r="F2324" s="296" t="s">
        <v>66</v>
      </c>
    </row>
    <row r="2325" spans="1:6" x14ac:dyDescent="0.15">
      <c r="A2325" s="232" t="s">
        <v>167</v>
      </c>
    </row>
    <row r="2326" spans="1:6" ht="14" x14ac:dyDescent="0.15">
      <c r="A2326" s="250"/>
      <c r="B2326" s="250" t="s">
        <v>762</v>
      </c>
      <c r="D2326" s="255">
        <v>0.06</v>
      </c>
      <c r="E2326" s="234" t="s">
        <v>272</v>
      </c>
      <c r="F2326" s="296" t="s">
        <v>737</v>
      </c>
    </row>
    <row r="2327" spans="1:6" ht="14" x14ac:dyDescent="0.15">
      <c r="A2327" s="250"/>
      <c r="B2327" s="250" t="s">
        <v>762</v>
      </c>
      <c r="D2327" s="257">
        <v>0.85199999999999998</v>
      </c>
      <c r="E2327" s="234" t="s">
        <v>760</v>
      </c>
      <c r="F2327" s="296" t="s">
        <v>738</v>
      </c>
    </row>
    <row r="2328" spans="1:6" ht="14" x14ac:dyDescent="0.15">
      <c r="A2328" s="250"/>
      <c r="B2328" s="250" t="s">
        <v>762</v>
      </c>
      <c r="D2328" s="239">
        <f>D2327*D2326/(1-D2323)</f>
        <v>0.34079999999999994</v>
      </c>
      <c r="E2328" s="234" t="s">
        <v>761</v>
      </c>
      <c r="F2328" s="296" t="s">
        <v>732</v>
      </c>
    </row>
    <row r="2329" spans="1:6" ht="14" x14ac:dyDescent="0.15">
      <c r="A2329" s="250"/>
      <c r="B2329" s="250" t="s">
        <v>583</v>
      </c>
      <c r="D2329" s="239">
        <v>0.8</v>
      </c>
      <c r="E2329" s="234" t="s">
        <v>272</v>
      </c>
      <c r="F2329" s="296" t="s">
        <v>87</v>
      </c>
    </row>
    <row r="2330" spans="1:6" ht="17" x14ac:dyDescent="0.25">
      <c r="B2330" s="233" t="s">
        <v>957</v>
      </c>
      <c r="D2330" s="237">
        <f>'Energy Balance'!Q44</f>
        <v>1.704</v>
      </c>
      <c r="E2330" s="234" t="s">
        <v>172</v>
      </c>
      <c r="F2330" s="296" t="s">
        <v>173</v>
      </c>
    </row>
    <row r="2331" spans="1:6" x14ac:dyDescent="0.15">
      <c r="A2331" s="232" t="s">
        <v>174</v>
      </c>
    </row>
    <row r="2332" spans="1:6" ht="17" x14ac:dyDescent="0.25">
      <c r="B2332" s="233" t="s">
        <v>958</v>
      </c>
    </row>
    <row r="2333" spans="1:6" ht="14" x14ac:dyDescent="0.15">
      <c r="A2333" s="250"/>
      <c r="B2333" s="229"/>
      <c r="C2333" s="250" t="s">
        <v>763</v>
      </c>
      <c r="D2333" s="234">
        <v>26.8</v>
      </c>
      <c r="E2333" s="234" t="s">
        <v>742</v>
      </c>
      <c r="F2333" s="296" t="s">
        <v>738</v>
      </c>
    </row>
    <row r="2334" spans="1:6" ht="14" x14ac:dyDescent="0.15">
      <c r="A2334" s="250"/>
      <c r="B2334" s="229"/>
      <c r="C2334" s="250" t="s">
        <v>763</v>
      </c>
      <c r="D2334" s="249">
        <f>D2333/(1-D2323)</f>
        <v>178.66666666666666</v>
      </c>
      <c r="E2334" s="234" t="s">
        <v>175</v>
      </c>
      <c r="F2334" s="296" t="s">
        <v>739</v>
      </c>
    </row>
    <row r="2335" spans="1:6" ht="17" x14ac:dyDescent="0.25">
      <c r="B2335" s="233" t="s">
        <v>959</v>
      </c>
      <c r="C2335" s="250"/>
      <c r="D2335" s="236">
        <v>0</v>
      </c>
      <c r="E2335" s="234" t="s">
        <v>111</v>
      </c>
      <c r="F2335" s="296" t="s">
        <v>740</v>
      </c>
    </row>
    <row r="2336" spans="1:6" ht="17" x14ac:dyDescent="0.25">
      <c r="B2336" s="233" t="s">
        <v>960</v>
      </c>
      <c r="C2336" s="250"/>
      <c r="D2336" s="236">
        <v>0</v>
      </c>
      <c r="E2336" s="234" t="s">
        <v>111</v>
      </c>
      <c r="F2336" s="296" t="s">
        <v>87</v>
      </c>
    </row>
    <row r="2337" spans="1:6" ht="17" x14ac:dyDescent="0.25">
      <c r="B2337" s="233" t="s">
        <v>961</v>
      </c>
      <c r="C2337" s="250"/>
      <c r="D2337" s="240">
        <f>'Energy Balance'!D44</f>
        <v>0</v>
      </c>
      <c r="E2337" s="234" t="s">
        <v>175</v>
      </c>
      <c r="F2337" s="296" t="s">
        <v>947</v>
      </c>
    </row>
    <row r="2338" spans="1:6" ht="30" x14ac:dyDescent="0.25">
      <c r="B2338" s="233" t="s">
        <v>962</v>
      </c>
      <c r="C2338" s="229"/>
      <c r="D2338" s="235">
        <v>0</v>
      </c>
      <c r="E2338" s="234" t="s">
        <v>175</v>
      </c>
      <c r="F2338" s="296" t="s">
        <v>749</v>
      </c>
    </row>
    <row r="2339" spans="1:6" ht="17" x14ac:dyDescent="0.25">
      <c r="B2339" s="233" t="s">
        <v>963</v>
      </c>
      <c r="C2339" s="250"/>
    </row>
    <row r="2340" spans="1:6" ht="14" x14ac:dyDescent="0.15">
      <c r="A2340" s="250"/>
      <c r="B2340" s="229"/>
      <c r="C2340" s="250" t="s">
        <v>764</v>
      </c>
      <c r="D2340" s="251">
        <v>5.97</v>
      </c>
      <c r="E2340" s="234" t="s">
        <v>741</v>
      </c>
      <c r="F2340" s="296" t="s">
        <v>738</v>
      </c>
    </row>
    <row r="2341" spans="1:6" ht="14" x14ac:dyDescent="0.15">
      <c r="A2341" s="250"/>
      <c r="B2341" s="229"/>
      <c r="C2341" s="250" t="s">
        <v>764</v>
      </c>
      <c r="D2341" s="251">
        <f>D2340/3.6/(1-$E$1983)</f>
        <v>1.6583333333333332</v>
      </c>
      <c r="E2341" s="234" t="s">
        <v>175</v>
      </c>
      <c r="F2341" s="296" t="s">
        <v>743</v>
      </c>
    </row>
    <row r="2342" spans="1:6" ht="14" x14ac:dyDescent="0.15">
      <c r="A2342" s="250"/>
      <c r="B2342" s="229"/>
      <c r="C2342" s="250" t="s">
        <v>765</v>
      </c>
      <c r="D2342" s="234">
        <v>61.7</v>
      </c>
      <c r="E2342" s="234" t="s">
        <v>741</v>
      </c>
      <c r="F2342" s="296" t="s">
        <v>738</v>
      </c>
    </row>
    <row r="2343" spans="1:6" ht="14" x14ac:dyDescent="0.15">
      <c r="A2343" s="250"/>
      <c r="B2343" s="229"/>
      <c r="C2343" s="250" t="s">
        <v>765</v>
      </c>
      <c r="D2343" s="251">
        <f>D2342/3.6/(1-$E$1983)</f>
        <v>17.138888888888889</v>
      </c>
      <c r="E2343" s="234" t="s">
        <v>175</v>
      </c>
      <c r="F2343" s="296" t="s">
        <v>743</v>
      </c>
    </row>
    <row r="2344" spans="1:6" ht="14" x14ac:dyDescent="0.15">
      <c r="A2344" s="250"/>
      <c r="B2344" s="229"/>
      <c r="C2344" s="250" t="s">
        <v>766</v>
      </c>
      <c r="D2344" s="234">
        <v>1000</v>
      </c>
      <c r="E2344" s="234" t="s">
        <v>746</v>
      </c>
      <c r="F2344" s="296" t="s">
        <v>738</v>
      </c>
    </row>
    <row r="2345" spans="1:6" ht="14" x14ac:dyDescent="0.15">
      <c r="A2345" s="250"/>
      <c r="B2345" s="229"/>
      <c r="C2345" s="250" t="s">
        <v>767</v>
      </c>
      <c r="D2345" s="262">
        <f>D2344*(1-D2323)</f>
        <v>150.00000000000003</v>
      </c>
      <c r="E2345" s="234" t="s">
        <v>746</v>
      </c>
      <c r="F2345" s="296" t="s">
        <v>739</v>
      </c>
    </row>
    <row r="2346" spans="1:6" ht="14" x14ac:dyDescent="0.15">
      <c r="A2346" s="250"/>
      <c r="B2346" s="229"/>
      <c r="C2346" s="250" t="s">
        <v>768</v>
      </c>
      <c r="D2346" s="262">
        <v>26</v>
      </c>
      <c r="E2346" s="234" t="s">
        <v>746</v>
      </c>
      <c r="F2346" s="296" t="s">
        <v>745</v>
      </c>
    </row>
    <row r="2347" spans="1:6" ht="14" x14ac:dyDescent="0.15">
      <c r="A2347" s="250"/>
      <c r="B2347" s="229"/>
      <c r="C2347" s="250" t="s">
        <v>769</v>
      </c>
      <c r="D2347" s="246">
        <f>D2346/D2345</f>
        <v>0.17333333333333331</v>
      </c>
      <c r="E2347" s="234" t="s">
        <v>272</v>
      </c>
      <c r="F2347" s="296" t="s">
        <v>739</v>
      </c>
    </row>
    <row r="2348" spans="1:6" ht="14" x14ac:dyDescent="0.15">
      <c r="A2348" s="250"/>
      <c r="B2348" s="229"/>
      <c r="C2348" s="250" t="s">
        <v>770</v>
      </c>
      <c r="D2348" s="234">
        <v>562</v>
      </c>
      <c r="E2348" s="234" t="s">
        <v>893</v>
      </c>
      <c r="F2348" s="296" t="s">
        <v>744</v>
      </c>
    </row>
    <row r="2349" spans="1:6" ht="14" x14ac:dyDescent="0.15">
      <c r="A2349" s="250"/>
      <c r="B2349" s="229"/>
      <c r="C2349" s="250" t="s">
        <v>770</v>
      </c>
      <c r="D2349" s="254">
        <f>D2348/(1-D2323)</f>
        <v>3746.6666666666661</v>
      </c>
      <c r="E2349" s="234" t="s">
        <v>747</v>
      </c>
      <c r="F2349" s="296" t="s">
        <v>743</v>
      </c>
    </row>
    <row r="2350" spans="1:6" ht="14" x14ac:dyDescent="0.15">
      <c r="A2350" s="250"/>
      <c r="B2350" s="229"/>
      <c r="C2350" s="250" t="s">
        <v>770</v>
      </c>
      <c r="D2350" s="249">
        <f>D2349/3.6</f>
        <v>1040.7407407407406</v>
      </c>
      <c r="E2350" s="234" t="s">
        <v>175</v>
      </c>
      <c r="F2350" s="296" t="s">
        <v>466</v>
      </c>
    </row>
    <row r="2351" spans="1:6" ht="14" x14ac:dyDescent="0.15">
      <c r="A2351" s="250"/>
      <c r="B2351" s="229"/>
      <c r="C2351" s="250" t="s">
        <v>748</v>
      </c>
      <c r="D2351" s="249">
        <f>D2350+D2343+D2341</f>
        <v>1059.5379629629629</v>
      </c>
      <c r="E2351" s="234" t="s">
        <v>175</v>
      </c>
      <c r="F2351" s="296" t="s">
        <v>66</v>
      </c>
    </row>
    <row r="2352" spans="1:6" ht="17" x14ac:dyDescent="0.25">
      <c r="A2352" s="250"/>
      <c r="B2352" s="233" t="s">
        <v>964</v>
      </c>
      <c r="C2352" s="259"/>
      <c r="D2352" s="244">
        <f>'Energy Balance'!S44</f>
        <v>230.74724425666275</v>
      </c>
      <c r="E2352" s="234" t="s">
        <v>175</v>
      </c>
      <c r="F2352" s="296" t="s">
        <v>948</v>
      </c>
    </row>
    <row r="2353" spans="1:8" ht="30" x14ac:dyDescent="0.25">
      <c r="B2353" s="233" t="s">
        <v>965</v>
      </c>
      <c r="C2353" s="229"/>
      <c r="D2353" s="235">
        <v>0</v>
      </c>
      <c r="E2353" s="234" t="s">
        <v>178</v>
      </c>
      <c r="F2353" s="296" t="s">
        <v>750</v>
      </c>
    </row>
    <row r="2354" spans="1:8" ht="17" x14ac:dyDescent="0.25">
      <c r="B2354" s="233" t="s">
        <v>966</v>
      </c>
      <c r="C2354" s="229"/>
      <c r="D2354" s="240">
        <f>'Energy Balance'!Y44</f>
        <v>978.42248208704291</v>
      </c>
      <c r="E2354" s="234" t="s">
        <v>175</v>
      </c>
      <c r="F2354" s="296" t="s">
        <v>176</v>
      </c>
    </row>
    <row r="2355" spans="1:8" ht="17" x14ac:dyDescent="0.25">
      <c r="A2355" s="232" t="s">
        <v>967</v>
      </c>
      <c r="C2355" s="229"/>
    </row>
    <row r="2356" spans="1:8" ht="17" x14ac:dyDescent="0.25">
      <c r="B2356" s="233" t="s">
        <v>968</v>
      </c>
      <c r="C2356" s="229"/>
      <c r="D2356" s="241">
        <f>GWP!P42</f>
        <v>0</v>
      </c>
      <c r="E2356" s="234" t="s">
        <v>969</v>
      </c>
      <c r="F2356" s="296" t="s">
        <v>949</v>
      </c>
    </row>
    <row r="2357" spans="1:8" ht="17" x14ac:dyDescent="0.25">
      <c r="B2357" s="233" t="s">
        <v>970</v>
      </c>
      <c r="C2357" s="229"/>
      <c r="D2357" s="239">
        <f>D2328</f>
        <v>0.34079999999999994</v>
      </c>
      <c r="E2357" s="234" t="s">
        <v>172</v>
      </c>
      <c r="F2357" s="296" t="s">
        <v>776</v>
      </c>
      <c r="G2357" s="234"/>
      <c r="H2357" s="234"/>
    </row>
    <row r="2358" spans="1:8" ht="17" x14ac:dyDescent="0.25">
      <c r="B2358" s="233" t="s">
        <v>971</v>
      </c>
      <c r="C2358" s="229"/>
      <c r="D2358" s="244">
        <f>GWP!R42</f>
        <v>76.604050285714266</v>
      </c>
      <c r="E2358" s="234" t="s">
        <v>969</v>
      </c>
      <c r="F2358" s="296" t="s">
        <v>193</v>
      </c>
    </row>
    <row r="2359" spans="1:8" ht="17" x14ac:dyDescent="0.25">
      <c r="B2359" s="233" t="s">
        <v>972</v>
      </c>
      <c r="C2359" s="229"/>
      <c r="D2359" s="235">
        <v>0</v>
      </c>
      <c r="E2359" s="234" t="s">
        <v>172</v>
      </c>
      <c r="F2359" s="296" t="s">
        <v>192</v>
      </c>
      <c r="G2359" s="234"/>
      <c r="H2359" s="234"/>
    </row>
    <row r="2360" spans="1:8" ht="17" x14ac:dyDescent="0.25">
      <c r="B2360" s="233" t="s">
        <v>973</v>
      </c>
      <c r="C2360" s="229"/>
      <c r="D2360" s="243">
        <f>GWP!T42</f>
        <v>0</v>
      </c>
      <c r="E2360" s="234" t="s">
        <v>969</v>
      </c>
      <c r="F2360" s="296" t="s">
        <v>919</v>
      </c>
    </row>
    <row r="2361" spans="1:8" ht="17" x14ac:dyDescent="0.25">
      <c r="B2361" s="233" t="s">
        <v>974</v>
      </c>
      <c r="D2361" s="244">
        <f>GWP!Z42</f>
        <v>1064.6777777777777</v>
      </c>
      <c r="E2361" s="234" t="s">
        <v>969</v>
      </c>
      <c r="F2361" s="296" t="s">
        <v>200</v>
      </c>
      <c r="G2361" s="234"/>
      <c r="H2361" s="234"/>
    </row>
    <row r="2362" spans="1:8" ht="17" x14ac:dyDescent="0.25">
      <c r="B2362" s="233" t="s">
        <v>975</v>
      </c>
      <c r="C2362" s="229"/>
      <c r="D2362" s="235">
        <v>130</v>
      </c>
      <c r="E2362" s="234" t="s">
        <v>314</v>
      </c>
      <c r="F2362" s="296" t="s">
        <v>189</v>
      </c>
    </row>
    <row r="2363" spans="1:8" ht="17" x14ac:dyDescent="0.25">
      <c r="B2363" s="233" t="s">
        <v>976</v>
      </c>
      <c r="C2363" s="229"/>
      <c r="D2363" s="244">
        <f>GWP!AB42</f>
        <v>-1087.2649442528718</v>
      </c>
      <c r="E2363" s="234" t="s">
        <v>314</v>
      </c>
      <c r="F2363" s="296" t="s">
        <v>179</v>
      </c>
    </row>
    <row r="2364" spans="1:8" x14ac:dyDescent="0.15">
      <c r="A2364" s="232" t="s">
        <v>41</v>
      </c>
      <c r="C2364" s="229"/>
    </row>
    <row r="2365" spans="1:8" x14ac:dyDescent="0.15">
      <c r="A2365" s="250"/>
      <c r="B2365" s="229"/>
      <c r="C2365" s="250" t="s">
        <v>754</v>
      </c>
      <c r="D2365" s="266">
        <v>25700000</v>
      </c>
      <c r="E2365" s="234" t="s">
        <v>751</v>
      </c>
    </row>
    <row r="2366" spans="1:8" ht="14" x14ac:dyDescent="0.15">
      <c r="A2366" s="250"/>
      <c r="B2366" s="229"/>
      <c r="C2366" s="250" t="s">
        <v>752</v>
      </c>
      <c r="D2366" s="268">
        <v>0.88100000000000001</v>
      </c>
      <c r="E2366" s="234" t="s">
        <v>753</v>
      </c>
      <c r="F2366" s="296" t="s">
        <v>757</v>
      </c>
    </row>
    <row r="2367" spans="1:8" x14ac:dyDescent="0.15">
      <c r="A2367" s="250"/>
      <c r="B2367" s="229"/>
      <c r="C2367" s="250" t="s">
        <v>754</v>
      </c>
      <c r="D2367" s="266">
        <f>D2365/D2366</f>
        <v>29171396.140749149</v>
      </c>
      <c r="E2367" s="234" t="s">
        <v>755</v>
      </c>
    </row>
    <row r="2368" spans="1:8" x14ac:dyDescent="0.15">
      <c r="A2368" s="250"/>
      <c r="B2368" s="229"/>
      <c r="C2368" s="250" t="s">
        <v>41</v>
      </c>
      <c r="D2368" s="249">
        <f>D2367/D2324</f>
        <v>1419674.612183125</v>
      </c>
      <c r="E2368" s="234" t="s">
        <v>404</v>
      </c>
    </row>
    <row r="2369" spans="1:6" x14ac:dyDescent="0.15">
      <c r="A2369" s="232" t="s">
        <v>195</v>
      </c>
      <c r="C2369" s="229"/>
    </row>
    <row r="2370" spans="1:6" x14ac:dyDescent="0.15">
      <c r="B2370" s="233" t="s">
        <v>42</v>
      </c>
      <c r="C2370" s="229"/>
    </row>
    <row r="2371" spans="1:6" ht="14" x14ac:dyDescent="0.15">
      <c r="A2371" s="250"/>
      <c r="B2371" s="229"/>
      <c r="C2371" s="250" t="s">
        <v>733</v>
      </c>
      <c r="D2371" s="266">
        <v>68500000</v>
      </c>
      <c r="E2371" s="234" t="s">
        <v>708</v>
      </c>
      <c r="F2371" s="296" t="s">
        <v>730</v>
      </c>
    </row>
    <row r="2372" spans="1:6" x14ac:dyDescent="0.15">
      <c r="A2372" s="250"/>
      <c r="B2372" s="229"/>
      <c r="C2372" s="250" t="s">
        <v>42</v>
      </c>
      <c r="D2372" s="266">
        <f>D2371/20</f>
        <v>3425000</v>
      </c>
      <c r="E2372" s="234" t="s">
        <v>715</v>
      </c>
    </row>
    <row r="2373" spans="1:6" ht="14" x14ac:dyDescent="0.15">
      <c r="A2373" s="250"/>
      <c r="B2373" s="229"/>
      <c r="C2373" s="250" t="s">
        <v>771</v>
      </c>
      <c r="D2373" s="266">
        <f>D2372/D2318</f>
        <v>9383.5616438356155</v>
      </c>
      <c r="E2373" s="234" t="s">
        <v>758</v>
      </c>
      <c r="F2373" s="296" t="s">
        <v>463</v>
      </c>
    </row>
    <row r="2374" spans="1:6" ht="14" x14ac:dyDescent="0.15">
      <c r="A2374" s="250"/>
      <c r="B2374" s="229"/>
      <c r="C2374" s="250" t="s">
        <v>841</v>
      </c>
      <c r="D2374" s="254">
        <f>D2373/D2324</f>
        <v>456.66666666666657</v>
      </c>
      <c r="E2374" s="234" t="s">
        <v>759</v>
      </c>
      <c r="F2374" s="296" t="s">
        <v>467</v>
      </c>
    </row>
    <row r="2375" spans="1:6" x14ac:dyDescent="0.15">
      <c r="A2375" s="250"/>
      <c r="B2375" s="229"/>
      <c r="C2375" s="250" t="s">
        <v>42</v>
      </c>
      <c r="D2375" s="249">
        <f>D2374/D2366</f>
        <v>518.35035944003016</v>
      </c>
      <c r="E2375" s="234" t="s">
        <v>199</v>
      </c>
    </row>
    <row r="2376" spans="1:6" ht="14" x14ac:dyDescent="0.15">
      <c r="B2376" s="233" t="s">
        <v>197</v>
      </c>
      <c r="C2376" s="229"/>
      <c r="D2376" s="237">
        <f>'Commercial Viability'!F45</f>
        <v>98.183312164837758</v>
      </c>
      <c r="E2376" s="234" t="s">
        <v>199</v>
      </c>
      <c r="F2376" s="296" t="s">
        <v>950</v>
      </c>
    </row>
    <row r="2377" spans="1:6" x14ac:dyDescent="0.15">
      <c r="B2377" s="233" t="s">
        <v>196</v>
      </c>
      <c r="C2377" s="229"/>
    </row>
    <row r="2378" spans="1:6" ht="14" x14ac:dyDescent="0.15">
      <c r="A2378" s="250"/>
      <c r="B2378" s="229"/>
      <c r="C2378" s="250" t="s">
        <v>772</v>
      </c>
      <c r="D2378" s="251">
        <v>2.68</v>
      </c>
      <c r="E2378" s="234" t="s">
        <v>756</v>
      </c>
      <c r="F2378" s="296" t="s">
        <v>730</v>
      </c>
    </row>
    <row r="2379" spans="1:6" ht="14" x14ac:dyDescent="0.15">
      <c r="A2379" s="250"/>
      <c r="B2379" s="229"/>
      <c r="C2379" s="250" t="s">
        <v>773</v>
      </c>
      <c r="D2379" s="251">
        <v>0.04</v>
      </c>
      <c r="E2379" s="234" t="s">
        <v>756</v>
      </c>
      <c r="F2379" s="296" t="s">
        <v>730</v>
      </c>
    </row>
    <row r="2380" spans="1:6" ht="14" x14ac:dyDescent="0.15">
      <c r="A2380" s="250"/>
      <c r="B2380" s="229"/>
      <c r="C2380" s="250" t="s">
        <v>774</v>
      </c>
      <c r="D2380" s="251">
        <v>0.6</v>
      </c>
      <c r="E2380" s="234" t="s">
        <v>756</v>
      </c>
      <c r="F2380" s="296" t="s">
        <v>730</v>
      </c>
    </row>
    <row r="2381" spans="1:6" ht="14" x14ac:dyDescent="0.15">
      <c r="A2381" s="250"/>
      <c r="B2381" s="229"/>
      <c r="C2381" s="250" t="s">
        <v>547</v>
      </c>
      <c r="D2381" s="251">
        <v>1.54</v>
      </c>
      <c r="E2381" s="234" t="s">
        <v>756</v>
      </c>
      <c r="F2381" s="296" t="s">
        <v>730</v>
      </c>
    </row>
    <row r="2382" spans="1:6" ht="14" x14ac:dyDescent="0.15">
      <c r="A2382" s="250"/>
      <c r="B2382" s="229"/>
      <c r="C2382" s="280" t="s">
        <v>775</v>
      </c>
      <c r="D2382" s="283">
        <f>SUM(D2378:D2381)</f>
        <v>4.8600000000000003</v>
      </c>
      <c r="E2382" s="234" t="s">
        <v>756</v>
      </c>
      <c r="F2382" s="296" t="s">
        <v>730</v>
      </c>
    </row>
    <row r="2383" spans="1:6" ht="14" x14ac:dyDescent="0.15">
      <c r="A2383" s="250"/>
      <c r="B2383" s="229"/>
      <c r="C2383" s="250" t="s">
        <v>775</v>
      </c>
      <c r="D2383" s="247">
        <f>D2382/D2366/(1-D2323)</f>
        <v>36.776390465380246</v>
      </c>
      <c r="E2383" s="234" t="s">
        <v>199</v>
      </c>
      <c r="F2383" s="296" t="s">
        <v>739</v>
      </c>
    </row>
    <row r="2384" spans="1:6" ht="14" x14ac:dyDescent="0.15">
      <c r="B2384" s="233" t="s">
        <v>195</v>
      </c>
      <c r="C2384" s="229"/>
      <c r="D2384" s="244">
        <f>'Commercial Viability'!H45</f>
        <v>-579.75728113948765</v>
      </c>
      <c r="E2384" s="234" t="s">
        <v>199</v>
      </c>
      <c r="F2384" s="296" t="s">
        <v>951</v>
      </c>
    </row>
    <row r="2385" spans="1:7" x14ac:dyDescent="0.15">
      <c r="A2385" s="232" t="s">
        <v>201</v>
      </c>
      <c r="C2385" s="229"/>
    </row>
    <row r="2386" spans="1:7" ht="28" x14ac:dyDescent="0.15">
      <c r="B2386" s="233" t="s">
        <v>6</v>
      </c>
      <c r="D2386" s="235">
        <v>4</v>
      </c>
      <c r="F2386" s="296" t="s">
        <v>498</v>
      </c>
    </row>
    <row r="2388" spans="1:7" s="228" customFormat="1" x14ac:dyDescent="0.15">
      <c r="A2388" s="225" t="s">
        <v>1008</v>
      </c>
      <c r="B2388" s="225"/>
      <c r="C2388" s="292"/>
      <c r="D2388" s="293"/>
      <c r="E2388" s="227"/>
      <c r="F2388" s="305"/>
    </row>
    <row r="2389" spans="1:7" ht="14" x14ac:dyDescent="0.15">
      <c r="A2389" s="250" t="s">
        <v>826</v>
      </c>
      <c r="D2389" s="234">
        <v>26172</v>
      </c>
      <c r="F2389" s="296" t="s">
        <v>833</v>
      </c>
    </row>
    <row r="2390" spans="1:7" ht="14" x14ac:dyDescent="0.15">
      <c r="A2390" s="250" t="s">
        <v>831</v>
      </c>
      <c r="D2390" s="260">
        <v>8.3999999999999995E-3</v>
      </c>
      <c r="F2390" s="296" t="s">
        <v>833</v>
      </c>
    </row>
    <row r="2391" spans="1:7" ht="14" x14ac:dyDescent="0.15">
      <c r="A2391" s="250" t="s">
        <v>827</v>
      </c>
      <c r="D2391" s="234">
        <v>1.0049999999999999</v>
      </c>
      <c r="F2391" s="296" t="s">
        <v>834</v>
      </c>
    </row>
    <row r="2392" spans="1:7" x14ac:dyDescent="0.15">
      <c r="A2392" s="250" t="s">
        <v>842</v>
      </c>
      <c r="D2392" s="254">
        <f>D2389*D2391*D2390</f>
        <v>220.94402399999996</v>
      </c>
    </row>
    <row r="2393" spans="1:7" ht="14" x14ac:dyDescent="0.15">
      <c r="A2393" s="250" t="s">
        <v>828</v>
      </c>
      <c r="D2393" s="234">
        <v>2562</v>
      </c>
      <c r="F2393" s="296" t="s">
        <v>833</v>
      </c>
    </row>
    <row r="2394" spans="1:7" ht="14" x14ac:dyDescent="0.15">
      <c r="A2394" s="250" t="s">
        <v>829</v>
      </c>
      <c r="D2394" s="260">
        <v>3.6799999999999999E-2</v>
      </c>
      <c r="F2394" s="296" t="s">
        <v>833</v>
      </c>
    </row>
    <row r="2395" spans="1:7" ht="14" x14ac:dyDescent="0.15">
      <c r="A2395" s="250" t="s">
        <v>830</v>
      </c>
      <c r="D2395" s="234">
        <v>1.03</v>
      </c>
      <c r="F2395" s="296" t="s">
        <v>834</v>
      </c>
    </row>
    <row r="2396" spans="1:7" ht="14" x14ac:dyDescent="0.15">
      <c r="A2396" s="250" t="s">
        <v>843</v>
      </c>
      <c r="D2396" s="254">
        <f>D2393*D2395*D2394</f>
        <v>97.110048000000006</v>
      </c>
      <c r="F2396" s="296" t="s">
        <v>66</v>
      </c>
    </row>
    <row r="2397" spans="1:7" ht="14" x14ac:dyDescent="0.15">
      <c r="A2397" s="250" t="s">
        <v>268</v>
      </c>
      <c r="D2397" s="234">
        <v>365</v>
      </c>
      <c r="F2397" s="296" t="s">
        <v>189</v>
      </c>
      <c r="G2397" s="284"/>
    </row>
    <row r="2398" spans="1:7" ht="14" x14ac:dyDescent="0.15">
      <c r="A2398" s="250" t="s">
        <v>594</v>
      </c>
      <c r="D2398" s="234">
        <v>24</v>
      </c>
      <c r="F2398" s="296" t="s">
        <v>189</v>
      </c>
      <c r="G2398" s="284"/>
    </row>
    <row r="2399" spans="1:7" ht="14" x14ac:dyDescent="0.15">
      <c r="A2399" s="250" t="s">
        <v>844</v>
      </c>
      <c r="D2399" s="234">
        <f>SUM(D2389,D2393)</f>
        <v>28734</v>
      </c>
      <c r="F2399" s="296" t="s">
        <v>66</v>
      </c>
    </row>
    <row r="2400" spans="1:7" ht="14" x14ac:dyDescent="0.15">
      <c r="A2400" s="250" t="s">
        <v>844</v>
      </c>
      <c r="D2400" s="254">
        <f>SUM(D2392,D2396)</f>
        <v>318.05407199999996</v>
      </c>
      <c r="F2400" s="296" t="s">
        <v>66</v>
      </c>
    </row>
    <row r="2401" spans="1:6" ht="14" x14ac:dyDescent="0.15">
      <c r="A2401" s="250" t="s">
        <v>832</v>
      </c>
      <c r="D2401" s="234">
        <v>1.5</v>
      </c>
      <c r="F2401" s="296" t="s">
        <v>189</v>
      </c>
    </row>
    <row r="2402" spans="1:6" ht="14" x14ac:dyDescent="0.15">
      <c r="A2402" s="250" t="s">
        <v>845</v>
      </c>
      <c r="D2402" s="254">
        <f>D2401*D2399/D2400</f>
        <v>135.51469323744425</v>
      </c>
      <c r="F2402" s="296" t="s">
        <v>66</v>
      </c>
    </row>
    <row r="2403" spans="1:6" ht="14" x14ac:dyDescent="0.15">
      <c r="A2403" s="250" t="s">
        <v>846</v>
      </c>
      <c r="D2403" s="235">
        <v>130</v>
      </c>
      <c r="F2403" s="296" t="s">
        <v>112</v>
      </c>
    </row>
  </sheetData>
  <phoneticPr fontId="7" type="noConversion"/>
  <hyperlinks>
    <hyperlink ref="F1116" r:id="rId1" display="Estimated from EIA refiner acquisition prices" xr:uid="{856FAD84-9E56-ED4C-84E9-A48F53951E95}"/>
    <hyperlink ref="F1210" r:id="rId2" xr:uid="{151C99AD-2BCF-4C42-9608-6136560CBA7F}"/>
    <hyperlink ref="F1213" r:id="rId3" xr:uid="{EDEFAD82-726F-6D45-AE49-7B3B197ED2D4}"/>
    <hyperlink ref="F1181" r:id="rId4" display="https://www.eia.gov/environment/emissions/co2_vol_mass.php" xr:uid="{7EA94952-A886-E141-AB8D-AA0EF66FFD0A}"/>
    <hyperlink ref="F1185" r:id="rId5" display="https://www.eia.gov/environment/emissions/co2_vol_mass.php" xr:uid="{84F5986A-E702-954C-A257-1D34BC0F4562}"/>
    <hyperlink ref="F1280" r:id="rId6" display="Estimated from EIA refiner acquisition prices" xr:uid="{56BEC6A8-A9AC-FD41-AC07-3D0978262C8A}"/>
    <hyperlink ref="F1358" r:id="rId7" xr:uid="{67DEC0AE-031E-0F4B-A114-9040DF5AEA97}"/>
    <hyperlink ref="F1362" r:id="rId8" xr:uid="{FE6B286C-A74A-0A42-BB1F-BAC37B103B83}"/>
    <hyperlink ref="F28" r:id="rId9" xr:uid="{3E6D566F-312E-8747-A323-225CC1102EAD}"/>
    <hyperlink ref="F32" r:id="rId10" xr:uid="{E947C21B-599B-BC4E-94F4-23197493A2E0}"/>
    <hyperlink ref="F67" r:id="rId11" xr:uid="{B07E0DF2-0CE4-7F43-934B-97B4163329A9}"/>
    <hyperlink ref="F71" r:id="rId12" xr:uid="{BD12584C-289E-7047-B5AD-74FD0D4711A0}"/>
    <hyperlink ref="F110" r:id="rId13" xr:uid="{26B5840A-ED96-EC4A-B591-C16EF4F16BEF}"/>
    <hyperlink ref="F117" r:id="rId14" xr:uid="{DBE98271-8C0E-5B40-BE5F-784204F84BE1}"/>
    <hyperlink ref="F155" r:id="rId15" xr:uid="{50125F62-00C4-364B-A58A-F0AA61FE2684}"/>
    <hyperlink ref="F162" r:id="rId16" xr:uid="{01669A96-5588-324A-A8A8-893ADF813674}"/>
    <hyperlink ref="F198" r:id="rId17" xr:uid="{FB227E33-9769-114C-B2E1-2AC4602DD2EA}"/>
    <hyperlink ref="F203" r:id="rId18" xr:uid="{FF16DDA6-36A0-4941-A987-6B130C7A7B66}"/>
    <hyperlink ref="F242" r:id="rId19" xr:uid="{13963D1C-7993-9D48-98BE-89350C501390}"/>
    <hyperlink ref="F249" r:id="rId20" xr:uid="{7E86EED9-BBEE-FE48-AA22-FC4E4C2FB896}"/>
    <hyperlink ref="F290" r:id="rId21" xr:uid="{63EA9A2B-C0B2-2E4F-AAA2-49E3615239DC}"/>
    <hyperlink ref="F298" r:id="rId22" xr:uid="{196E3AFC-2997-CA46-8238-6B6E47CC89DF}"/>
    <hyperlink ref="F352" r:id="rId23" xr:uid="{F25EC1AA-4712-1E4D-9A05-3158C1EEDC33}"/>
    <hyperlink ref="F360" r:id="rId24" xr:uid="{815983F3-772F-D54B-8AA9-6F5F7ECE29D7}"/>
    <hyperlink ref="F414" r:id="rId25" xr:uid="{02543ABE-000A-034A-8CB3-9798F8FC4192}"/>
    <hyperlink ref="F422" r:id="rId26" xr:uid="{D05698A5-19BA-6B43-818C-9463A8F6A8CE}"/>
    <hyperlink ref="F476" r:id="rId27" xr:uid="{B723454F-BB8E-F04E-B8B2-2BA71A67DA1B}"/>
    <hyperlink ref="F484" r:id="rId28" xr:uid="{A6CFBB41-E8B8-5A42-B5E5-97D0E93A856E}"/>
    <hyperlink ref="F541" r:id="rId29" xr:uid="{627A7B15-1A68-A64E-A231-7381B1A00BEF}"/>
    <hyperlink ref="F550" r:id="rId30" xr:uid="{A2F99707-DA51-B844-8ACD-6893AF7603F5}"/>
    <hyperlink ref="F302" r:id="rId31" xr:uid="{38DCF4D5-5A5F-A141-9DD8-D7AD43C5546C}"/>
    <hyperlink ref="F364" r:id="rId32" xr:uid="{BA0E4094-8807-5146-8E42-4ED7AE00E646}"/>
    <hyperlink ref="F426" r:id="rId33" xr:uid="{E1BB0164-BE81-7F4C-A946-B64EAB33425B}"/>
    <hyperlink ref="F488" r:id="rId34" xr:uid="{4D9ABDE0-41A7-D84B-8B64-A3DEF73DA82C}"/>
    <hyperlink ref="F554" r:id="rId35" xr:uid="{B638BDA7-B2FE-7440-848F-112FCBE5C197}"/>
    <hyperlink ref="F607" r:id="rId36" xr:uid="{54AFC39B-FE00-134B-8564-2BFB2C5B399E}"/>
    <hyperlink ref="F616" r:id="rId37" xr:uid="{195AE8E4-AB9E-674F-AF2A-7A59812823D6}"/>
    <hyperlink ref="F620" r:id="rId38" xr:uid="{C962EB60-AD43-2743-983B-DBA2750F7485}"/>
    <hyperlink ref="F673" r:id="rId39" xr:uid="{C6429E77-A82F-5045-9F78-03E542BA2582}"/>
    <hyperlink ref="F682" r:id="rId40" xr:uid="{474CFB71-4489-1D48-ACEB-11558020149A}"/>
    <hyperlink ref="F686" r:id="rId41" xr:uid="{5ED91A59-BFAE-664D-A76B-32DB9B4C60CC}"/>
    <hyperlink ref="F748" r:id="rId42" xr:uid="{FAEA11DC-F840-8346-9CA1-0E8EC349E891}"/>
    <hyperlink ref="F758" r:id="rId43" xr:uid="{7D1E5ADE-0BEB-8C43-B145-E1C6EE3338A3}"/>
    <hyperlink ref="F762" r:id="rId44" xr:uid="{051F9449-6048-764C-82E1-3B6A046E79FB}"/>
    <hyperlink ref="F814" r:id="rId45" xr:uid="{9EAC21F2-DD99-4D4C-9B57-D85F3296419E}"/>
    <hyperlink ref="F822" r:id="rId46" xr:uid="{6561A1A8-04DB-3D48-95BB-92F67555FE4B}"/>
    <hyperlink ref="F826" r:id="rId47" xr:uid="{A5B37D77-C9CD-FA40-8255-1360D1189A52}"/>
    <hyperlink ref="F878" r:id="rId48" xr:uid="{02607F61-0838-6D41-B382-DAC74C3BBA7A}"/>
    <hyperlink ref="F886" r:id="rId49" xr:uid="{EF6DF923-5C90-D445-A37A-6ABD2DCB35DC}"/>
    <hyperlink ref="F890" r:id="rId50" xr:uid="{326CFD65-1A31-CE4E-BE91-3F3CD1774F97}"/>
    <hyperlink ref="F942" r:id="rId51" xr:uid="{ACFB7817-5835-E247-AB2E-1CC8E4D3F35A}"/>
    <hyperlink ref="F950" r:id="rId52" xr:uid="{57825CD1-0809-3A49-8489-3C075CA45F68}"/>
    <hyperlink ref="F954" r:id="rId53" xr:uid="{450EDE84-6814-2443-8DCA-D8A02C909583}"/>
    <hyperlink ref="F1020" r:id="rId54" xr:uid="{9B7C4EF3-55FC-ED49-B78C-69B2000E989E}"/>
    <hyperlink ref="F1030" r:id="rId55" xr:uid="{D49D7008-28B4-C04E-BA58-C0B748ED1B6B}"/>
    <hyperlink ref="F1034" r:id="rId56" xr:uid="{8F72C081-C83F-F445-83B4-A6DF994D72A5}"/>
    <hyperlink ref="F1105" r:id="rId57" xr:uid="{3A3095E2-FD0E-F54C-A083-6441A620BE92}"/>
    <hyperlink ref="F1112" r:id="rId58" xr:uid="{06E598E6-1DC4-4248-9A18-B4DD697F9060}"/>
    <hyperlink ref="F1197" r:id="rId59" xr:uid="{41E467D6-AC65-D94F-9F1F-0BC27D261E8A}"/>
    <hyperlink ref="F1206" r:id="rId60" xr:uid="{1664430C-96F5-AB49-8141-CA8279BA6641}"/>
    <hyperlink ref="F1425" r:id="rId61" xr:uid="{7893654C-5B42-254F-9CF3-B1A18A1A0A7F}"/>
    <hyperlink ref="F1431" r:id="rId62" xr:uid="{F83D3D05-C81C-8248-98D9-91105644099C}"/>
    <hyperlink ref="F1437" r:id="rId63" xr:uid="{280117DA-E1EE-754C-9D0B-AB44880F1300}"/>
    <hyperlink ref="F1499" r:id="rId64" xr:uid="{D318611B-5EE2-904A-A039-3E690C7637E9}"/>
    <hyperlink ref="F1505" r:id="rId65" xr:uid="{BCB17D39-0F2B-F143-B542-7456CDD29784}"/>
    <hyperlink ref="F1511" r:id="rId66" xr:uid="{805D9786-3759-394D-8A89-8F21264EC036}"/>
    <hyperlink ref="F1578" r:id="rId67" xr:uid="{91AF0055-027A-5B4D-9582-E82D87231206}"/>
    <hyperlink ref="F1588" r:id="rId68" xr:uid="{183F4B90-A1CA-9B48-8AC7-B7CC79F594CE}"/>
    <hyperlink ref="F1595" r:id="rId69" xr:uid="{91F28C37-8C3F-8344-8497-4C9A446E4A84}"/>
    <hyperlink ref="F1661" r:id="rId70" xr:uid="{6EDEEF47-8215-E54B-BCD0-8A8FA975E17E}"/>
    <hyperlink ref="F1671" r:id="rId71" xr:uid="{6322B4FC-7F8A-9D44-998B-7E2D4A0D963A}"/>
    <hyperlink ref="F1678" r:id="rId72" xr:uid="{06473F62-492B-FC49-93D4-576508D03E2A}"/>
    <hyperlink ref="F1747" r:id="rId73" xr:uid="{3BA70370-B727-E843-A558-DAF3A009CB40}"/>
    <hyperlink ref="F1757" r:id="rId74" xr:uid="{76D429A7-F139-4F49-A85E-11031799C4BE}"/>
    <hyperlink ref="F1766" r:id="rId75" xr:uid="{AC4C0538-FED9-C243-BFE0-C6327E739F5B}"/>
    <hyperlink ref="F1834" r:id="rId76" xr:uid="{AD9C2011-C5B5-9341-9070-79A38A611435}"/>
    <hyperlink ref="F1844" r:id="rId77" xr:uid="{92B25DAF-C074-B249-8228-1E8BBB1D5BF9}"/>
    <hyperlink ref="F1851" r:id="rId78" xr:uid="{03FA3B95-D6E8-8B4E-9A36-1C42FF3502B3}"/>
    <hyperlink ref="F1893" r:id="rId79" xr:uid="{6E25586B-B0B2-8648-A8BD-26A6209FE670}"/>
    <hyperlink ref="F1904" r:id="rId80" xr:uid="{596AF299-B875-E848-A477-942239917A1A}"/>
    <hyperlink ref="F1909" r:id="rId81" xr:uid="{370F1B13-6B3C-B748-BA85-3A7B08973C8C}"/>
    <hyperlink ref="F1951" r:id="rId82" xr:uid="{162400F0-179F-3047-9EEE-BE22CD2C8793}"/>
    <hyperlink ref="F1962" r:id="rId83" xr:uid="{EB7DE51F-2E4E-D24A-AD0D-AF729A5F43DB}"/>
    <hyperlink ref="F1967" r:id="rId84" xr:uid="{C0A98C56-3E7D-0C49-BCDC-C73D7A254AB9}"/>
    <hyperlink ref="F2025" r:id="rId85" xr:uid="{71420128-7E96-1940-BEB6-D5FEA7E0F52C}"/>
    <hyperlink ref="F2031" r:id="rId86" xr:uid="{CB50E972-235A-2044-A6E0-DE2D7962A20F}"/>
    <hyperlink ref="F2038" r:id="rId87" xr:uid="{15C54915-BACC-1A43-B393-6666C5858965}"/>
    <hyperlink ref="F2101" r:id="rId88" xr:uid="{6B8147F9-9825-B14A-854B-9EF97ABC2E23}"/>
    <hyperlink ref="F2107" r:id="rId89" xr:uid="{77DC74C2-A50C-0A4B-8AF4-2ED8FCEF5E6B}"/>
    <hyperlink ref="F2114" r:id="rId90" xr:uid="{F4A4EF3E-89F6-E94A-A95C-02AEA55532E5}"/>
    <hyperlink ref="F2190" r:id="rId91" xr:uid="{19F61E72-C1BD-C54B-BA3E-C7E131313EC2}"/>
    <hyperlink ref="F2196" r:id="rId92" xr:uid="{AA7A8BF1-F997-264B-89B2-3654563BF582}"/>
    <hyperlink ref="F2214" r:id="rId93" xr:uid="{6B048EB2-76B8-4840-9F99-5C81BB40CBC6}"/>
    <hyperlink ref="F2285" r:id="rId94" xr:uid="{37E18738-55B4-7B4A-BE51-7170EED8D0AE}"/>
    <hyperlink ref="F2298" r:id="rId95" xr:uid="{86850180-1DFC-A24D-A3DE-607807C9CC1F}"/>
    <hyperlink ref="F2310" r:id="rId96" xr:uid="{72A25636-C1BD-0D4B-A0DE-F49D8269438E}"/>
    <hyperlink ref="F2008" r:id="rId97" xr:uid="{5DC6A472-26C3-0145-A2F3-2580F2A076BB}"/>
    <hyperlink ref="F2079" r:id="rId98" xr:uid="{7CDFDC2A-19B8-344A-91F6-055B293C4FED}"/>
    <hyperlink ref="F1077" r:id="rId99" xr:uid="{DD344646-3BD5-7247-936C-612C5EFE6EF1}"/>
    <hyperlink ref="F1253" r:id="rId100" xr:uid="{FB8CADA8-00D4-9E43-84EA-C3B24E2CA32D}"/>
    <hyperlink ref="F2251" r:id="rId101" xr:uid="{B033D6A7-CD07-0B40-8D79-8839400B06E1}"/>
  </hyperlinks>
  <printOptions horizontalCentered="1"/>
  <pageMargins left="0.25" right="0.25" top="0.75" bottom="0.75" header="0.3" footer="0.3"/>
  <pageSetup orientation="landscape" r:id="rId102"/>
  <headerFooter>
    <oddFooter>&amp;R&amp;"Times New Roman,Regular"&amp;10&amp;P</oddFooter>
  </headerFooter>
  <ignoredErrors>
    <ignoredError sqref="D1365" evalError="1"/>
    <ignoredError sqref="D1764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0304-5E39-6B43-8DAA-F4DF4738B64A}">
  <dimension ref="A1:C15"/>
  <sheetViews>
    <sheetView zoomScaleNormal="100" workbookViewId="0"/>
  </sheetViews>
  <sheetFormatPr baseColWidth="10" defaultRowHeight="16" x14ac:dyDescent="0.2"/>
  <sheetData>
    <row r="1" spans="1:3" x14ac:dyDescent="0.2">
      <c r="A1" s="64"/>
      <c r="B1" s="64" t="s">
        <v>847</v>
      </c>
      <c r="C1" s="64" t="s">
        <v>848</v>
      </c>
    </row>
    <row r="2" spans="1:3" x14ac:dyDescent="0.2">
      <c r="A2" s="64" t="s">
        <v>849</v>
      </c>
      <c r="B2" s="180">
        <v>0.01</v>
      </c>
      <c r="C2" s="64">
        <v>20</v>
      </c>
    </row>
    <row r="3" spans="1:3" x14ac:dyDescent="0.2">
      <c r="A3" s="64" t="s">
        <v>850</v>
      </c>
      <c r="B3" s="180">
        <v>0.32</v>
      </c>
      <c r="C3" s="64">
        <v>7</v>
      </c>
    </row>
    <row r="4" spans="1:3" x14ac:dyDescent="0.2">
      <c r="A4" s="64" t="s">
        <v>851</v>
      </c>
      <c r="B4" s="180">
        <v>0.19</v>
      </c>
      <c r="C4" s="64">
        <f>C15</f>
        <v>42.050000000000004</v>
      </c>
    </row>
    <row r="5" spans="1:3" x14ac:dyDescent="0.2">
      <c r="A5" s="64" t="s">
        <v>852</v>
      </c>
      <c r="B5" s="180">
        <v>0.26</v>
      </c>
      <c r="C5" s="64">
        <v>14</v>
      </c>
    </row>
    <row r="6" spans="1:3" x14ac:dyDescent="0.2">
      <c r="A6" s="64" t="s">
        <v>853</v>
      </c>
      <c r="B6" s="180">
        <v>0.22</v>
      </c>
      <c r="C6" s="64">
        <v>9</v>
      </c>
    </row>
    <row r="7" spans="1:3" x14ac:dyDescent="0.2">
      <c r="A7" s="64"/>
      <c r="B7" s="135" t="s">
        <v>854</v>
      </c>
      <c r="C7" s="64">
        <f>B2*C2+B3*C3+B4*C4+B5*C5+B6*C6</f>
        <v>16.049500000000002</v>
      </c>
    </row>
    <row r="8" spans="1:3" x14ac:dyDescent="0.2">
      <c r="A8" s="64"/>
      <c r="B8" s="64"/>
      <c r="C8" s="64"/>
    </row>
    <row r="9" spans="1:3" x14ac:dyDescent="0.2">
      <c r="A9" s="64"/>
      <c r="B9" s="64"/>
      <c r="C9" s="64"/>
    </row>
    <row r="10" spans="1:3" x14ac:dyDescent="0.2">
      <c r="A10" s="64"/>
      <c r="B10" s="64"/>
      <c r="C10" s="134"/>
    </row>
    <row r="11" spans="1:3" x14ac:dyDescent="0.2">
      <c r="A11" s="134" t="s">
        <v>855</v>
      </c>
      <c r="B11" s="134">
        <v>0.03</v>
      </c>
      <c r="C11" s="64">
        <v>9</v>
      </c>
    </row>
    <row r="12" spans="1:3" x14ac:dyDescent="0.2">
      <c r="A12" s="134" t="s">
        <v>856</v>
      </c>
      <c r="B12" s="134">
        <v>0.2</v>
      </c>
      <c r="C12" s="64">
        <v>9</v>
      </c>
    </row>
    <row r="13" spans="1:3" x14ac:dyDescent="0.2">
      <c r="A13" s="134" t="s">
        <v>857</v>
      </c>
      <c r="B13" s="134">
        <v>0.32</v>
      </c>
      <c r="C13" s="64">
        <v>94</v>
      </c>
    </row>
    <row r="14" spans="1:3" x14ac:dyDescent="0.2">
      <c r="A14" s="134" t="s">
        <v>858</v>
      </c>
      <c r="B14" s="134">
        <v>0.45</v>
      </c>
      <c r="C14" s="64">
        <v>22</v>
      </c>
    </row>
    <row r="15" spans="1:3" x14ac:dyDescent="0.2">
      <c r="A15" s="64"/>
      <c r="B15" s="135" t="s">
        <v>859</v>
      </c>
      <c r="C15" s="64">
        <f>B11*C11+B12*C12+B13*C13+B14*C14</f>
        <v>42.050000000000004</v>
      </c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FB39-8E27-9F4B-97A2-8BF1FEB7903F}">
  <dimension ref="A1:C14"/>
  <sheetViews>
    <sheetView zoomScaleNormal="100" workbookViewId="0"/>
  </sheetViews>
  <sheetFormatPr baseColWidth="10" defaultRowHeight="16" x14ac:dyDescent="0.2"/>
  <cols>
    <col min="1" max="1" width="15.83203125" bestFit="1" customWidth="1"/>
  </cols>
  <sheetData>
    <row r="1" spans="1:3" x14ac:dyDescent="0.2">
      <c r="A1" t="s">
        <v>862</v>
      </c>
      <c r="B1">
        <v>0.46</v>
      </c>
    </row>
    <row r="2" spans="1:3" x14ac:dyDescent="0.2">
      <c r="A2" t="s">
        <v>860</v>
      </c>
      <c r="B2">
        <v>0.28000000000000003</v>
      </c>
    </row>
    <row r="3" spans="1:3" x14ac:dyDescent="0.2">
      <c r="A3" t="s">
        <v>861</v>
      </c>
      <c r="B3">
        <v>7.0000000000000007E-2</v>
      </c>
    </row>
    <row r="5" spans="1:3" x14ac:dyDescent="0.2">
      <c r="A5" t="s">
        <v>863</v>
      </c>
      <c r="B5">
        <v>127.74</v>
      </c>
    </row>
    <row r="6" spans="1:3" x14ac:dyDescent="0.2">
      <c r="A6" t="s">
        <v>864</v>
      </c>
      <c r="B6">
        <v>126.02</v>
      </c>
    </row>
    <row r="7" spans="1:3" x14ac:dyDescent="0.2">
      <c r="A7" t="s">
        <v>865</v>
      </c>
      <c r="B7">
        <v>118.17</v>
      </c>
    </row>
    <row r="9" spans="1:3" x14ac:dyDescent="0.2">
      <c r="A9" t="s">
        <v>866</v>
      </c>
      <c r="B9">
        <v>18.7</v>
      </c>
    </row>
    <row r="10" spans="1:3" x14ac:dyDescent="0.2">
      <c r="A10" t="s">
        <v>867</v>
      </c>
      <c r="B10">
        <v>15.33</v>
      </c>
    </row>
    <row r="11" spans="1:3" x14ac:dyDescent="0.2">
      <c r="A11" t="s">
        <v>868</v>
      </c>
      <c r="B11">
        <v>9.92</v>
      </c>
    </row>
    <row r="13" spans="1:3" x14ac:dyDescent="0.2">
      <c r="A13" t="s">
        <v>869</v>
      </c>
      <c r="B13">
        <f>B1*(B5-B9)+B2*(B6-B10)+B3*(B7-B11)</f>
        <v>88.729100000000003</v>
      </c>
      <c r="C13">
        <f>B13*3.6</f>
        <v>319.42475999999999</v>
      </c>
    </row>
    <row r="14" spans="1:3" x14ac:dyDescent="0.2">
      <c r="B14" t="s">
        <v>870</v>
      </c>
      <c r="C14" t="s">
        <v>871</v>
      </c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DDC2-CE0F-EB48-BBC3-9FD7ECCBC983}">
  <dimension ref="A1:C15"/>
  <sheetViews>
    <sheetView zoomScaleNormal="100" workbookViewId="0"/>
  </sheetViews>
  <sheetFormatPr baseColWidth="10" defaultRowHeight="16" x14ac:dyDescent="0.2"/>
  <cols>
    <col min="1" max="1" width="16.33203125" customWidth="1"/>
  </cols>
  <sheetData>
    <row r="1" spans="1:3" x14ac:dyDescent="0.2">
      <c r="A1" s="64"/>
      <c r="B1" s="64" t="s">
        <v>847</v>
      </c>
      <c r="C1" s="64" t="s">
        <v>899</v>
      </c>
    </row>
    <row r="2" spans="1:3" x14ac:dyDescent="0.2">
      <c r="A2" s="64" t="s">
        <v>849</v>
      </c>
      <c r="B2" s="180">
        <v>0.01</v>
      </c>
      <c r="C2" s="64">
        <v>454</v>
      </c>
    </row>
    <row r="3" spans="1:3" x14ac:dyDescent="0.2">
      <c r="A3" s="64" t="s">
        <v>850</v>
      </c>
      <c r="B3" s="180">
        <v>0.32</v>
      </c>
      <c r="C3" s="64">
        <v>434</v>
      </c>
    </row>
    <row r="4" spans="1:3" x14ac:dyDescent="0.2">
      <c r="A4" s="64" t="s">
        <v>851</v>
      </c>
      <c r="B4" s="180">
        <v>0.19</v>
      </c>
      <c r="C4" s="64">
        <f>C15</f>
        <v>17.753999999999998</v>
      </c>
    </row>
    <row r="5" spans="1:3" x14ac:dyDescent="0.2">
      <c r="A5" s="64" t="s">
        <v>852</v>
      </c>
      <c r="B5" s="180">
        <v>0.26</v>
      </c>
      <c r="C5" s="64">
        <v>1023</v>
      </c>
    </row>
    <row r="6" spans="1:3" x14ac:dyDescent="0.2">
      <c r="A6" s="64" t="s">
        <v>853</v>
      </c>
      <c r="B6" s="180">
        <v>0.22</v>
      </c>
      <c r="C6" s="64">
        <v>5.13</v>
      </c>
    </row>
    <row r="7" spans="1:3" x14ac:dyDescent="0.2">
      <c r="A7" s="64"/>
      <c r="B7" s="135" t="s">
        <v>901</v>
      </c>
      <c r="C7" s="64">
        <f>B2*C2+B3*C3+B4*C4+B5*C5+B6*C6</f>
        <v>413.90186</v>
      </c>
    </row>
    <row r="8" spans="1:3" x14ac:dyDescent="0.2">
      <c r="A8" s="64"/>
      <c r="B8" s="64"/>
      <c r="C8" s="64"/>
    </row>
    <row r="9" spans="1:3" x14ac:dyDescent="0.2">
      <c r="A9" s="64"/>
      <c r="B9" s="64"/>
      <c r="C9" s="64"/>
    </row>
    <row r="10" spans="1:3" x14ac:dyDescent="0.2">
      <c r="A10" s="64"/>
      <c r="B10" s="64"/>
      <c r="C10" s="134"/>
    </row>
    <row r="11" spans="1:3" x14ac:dyDescent="0.2">
      <c r="A11" s="134" t="s">
        <v>855</v>
      </c>
      <c r="B11" s="134">
        <v>0.03</v>
      </c>
      <c r="C11" s="64">
        <v>47</v>
      </c>
    </row>
    <row r="12" spans="1:3" x14ac:dyDescent="0.2">
      <c r="A12" s="134" t="s">
        <v>856</v>
      </c>
      <c r="B12" s="134">
        <v>0.2</v>
      </c>
      <c r="C12" s="64">
        <v>36.700000000000003</v>
      </c>
    </row>
    <row r="13" spans="1:3" x14ac:dyDescent="0.2">
      <c r="A13" s="134" t="s">
        <v>857</v>
      </c>
      <c r="B13" s="134">
        <v>0.32</v>
      </c>
      <c r="C13" s="64">
        <v>10.7</v>
      </c>
    </row>
    <row r="14" spans="1:3" x14ac:dyDescent="0.2">
      <c r="A14" s="134" t="s">
        <v>858</v>
      </c>
      <c r="B14" s="134">
        <v>0.45</v>
      </c>
      <c r="C14" s="64">
        <v>12.4</v>
      </c>
    </row>
    <row r="15" spans="1:3" x14ac:dyDescent="0.2">
      <c r="A15" s="64"/>
      <c r="B15" s="135" t="s">
        <v>900</v>
      </c>
      <c r="C15" s="64">
        <f>B11*C11+B12*C12+B13*C13+B14*C14</f>
        <v>17.753999999999998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7EBA-5662-3E4A-B016-ACC691398ECB}">
  <sheetPr codeName="Sheet4">
    <tabColor theme="2" tint="-0.249977111117893"/>
    <pageSetUpPr fitToPage="1"/>
  </sheetPr>
  <dimension ref="A1:Y44"/>
  <sheetViews>
    <sheetView zoomScaleNormal="100" workbookViewId="0">
      <pane xSplit="1" ySplit="9" topLeftCell="L10" activePane="bottomRight" state="frozen"/>
      <selection pane="topRight"/>
      <selection pane="bottomLeft"/>
      <selection pane="bottomRight" activeCell="R15" sqref="R15"/>
    </sheetView>
  </sheetViews>
  <sheetFormatPr baseColWidth="10" defaultColWidth="10.83203125" defaultRowHeight="16" x14ac:dyDescent="0.2"/>
  <cols>
    <col min="1" max="1" width="31.1640625" style="4" customWidth="1"/>
    <col min="2" max="2" width="28.1640625" style="4" bestFit="1" customWidth="1"/>
    <col min="3" max="3" width="14" style="4" customWidth="1"/>
    <col min="4" max="4" width="19.83203125" style="11" customWidth="1"/>
    <col min="5" max="7" width="14" style="4" customWidth="1"/>
    <col min="8" max="14" width="14" style="11" customWidth="1"/>
    <col min="15" max="16" width="14" style="10" customWidth="1"/>
    <col min="17" max="18" width="14" style="13" customWidth="1"/>
    <col min="19" max="20" width="19.83203125" style="109" customWidth="1"/>
    <col min="21" max="23" width="14" style="4" customWidth="1"/>
    <col min="24" max="24" width="19.83203125" style="109" customWidth="1"/>
    <col min="25" max="25" width="19.83203125" style="4" customWidth="1"/>
    <col min="26" max="16384" width="10.83203125" style="5"/>
  </cols>
  <sheetData>
    <row r="1" spans="1:25" x14ac:dyDescent="0.2">
      <c r="A1" s="57" t="s">
        <v>98</v>
      </c>
      <c r="P1" s="39" t="s">
        <v>32</v>
      </c>
      <c r="Q1" s="4">
        <v>6.3500000000000001E-2</v>
      </c>
      <c r="S1" s="40" t="s">
        <v>34</v>
      </c>
      <c r="T1" s="9">
        <v>137381</v>
      </c>
    </row>
    <row r="2" spans="1:25" x14ac:dyDescent="0.2">
      <c r="A2" s="7"/>
      <c r="P2" s="39" t="s">
        <v>33</v>
      </c>
      <c r="Q2" s="4">
        <v>6.66</v>
      </c>
      <c r="S2" s="40" t="s">
        <v>37</v>
      </c>
      <c r="T2" s="9">
        <v>3412</v>
      </c>
    </row>
    <row r="3" spans="1:25" x14ac:dyDescent="0.2">
      <c r="A3" s="7"/>
      <c r="P3" s="39" t="s">
        <v>35</v>
      </c>
      <c r="Q3" s="4">
        <v>2.2046000000000001</v>
      </c>
      <c r="S3" s="40" t="s">
        <v>39</v>
      </c>
      <c r="T3" s="70">
        <f>T1*(1/Q2)*Q3*(1/T2)</f>
        <v>13.328252898267552</v>
      </c>
    </row>
    <row r="4" spans="1:25" x14ac:dyDescent="0.2">
      <c r="A4" s="7"/>
      <c r="P4" s="39" t="s">
        <v>36</v>
      </c>
      <c r="Q4" s="4">
        <v>160</v>
      </c>
    </row>
    <row r="5" spans="1:25" ht="17" x14ac:dyDescent="0.2">
      <c r="A5" s="7"/>
      <c r="G5" s="11" t="s">
        <v>872</v>
      </c>
      <c r="H5" s="11" t="s">
        <v>873</v>
      </c>
      <c r="I5" s="11" t="s">
        <v>874</v>
      </c>
      <c r="J5" s="11" t="s">
        <v>875</v>
      </c>
      <c r="K5" s="11" t="s">
        <v>894</v>
      </c>
      <c r="L5" s="11" t="s">
        <v>876</v>
      </c>
      <c r="P5" s="39"/>
      <c r="Q5" s="4"/>
    </row>
    <row r="6" spans="1:25" x14ac:dyDescent="0.2">
      <c r="A6" s="7"/>
      <c r="F6" s="109"/>
      <c r="G6" s="109">
        <f>EROI_Electricity!C7</f>
        <v>16.049500000000002</v>
      </c>
      <c r="H6" s="11">
        <v>5</v>
      </c>
      <c r="I6" s="11">
        <v>24</v>
      </c>
      <c r="J6" s="11">
        <v>20</v>
      </c>
      <c r="K6" s="11">
        <v>17</v>
      </c>
      <c r="L6" s="11">
        <v>42</v>
      </c>
      <c r="P6" s="39"/>
      <c r="Q6" s="4"/>
    </row>
    <row r="7" spans="1:25" ht="17" x14ac:dyDescent="0.2">
      <c r="A7" s="7"/>
      <c r="F7" s="109" t="s">
        <v>889</v>
      </c>
      <c r="G7" s="136">
        <f>1+1/G6</f>
        <v>1.0623072369855759</v>
      </c>
      <c r="H7" s="136">
        <f t="shared" ref="H7:L7" si="0">1+1/H6</f>
        <v>1.2</v>
      </c>
      <c r="I7" s="136">
        <f t="shared" si="0"/>
        <v>1.0416666666666667</v>
      </c>
      <c r="J7" s="136">
        <f t="shared" si="0"/>
        <v>1.05</v>
      </c>
      <c r="K7" s="136">
        <f t="shared" si="0"/>
        <v>1.0588235294117647</v>
      </c>
      <c r="L7" s="136">
        <f t="shared" si="0"/>
        <v>1.0238095238095237</v>
      </c>
      <c r="P7" s="39"/>
      <c r="Q7" s="4"/>
    </row>
    <row r="8" spans="1:25" s="94" customFormat="1" ht="17" thickBot="1" x14ac:dyDescent="0.25">
      <c r="A8" s="92"/>
      <c r="B8" s="92"/>
      <c r="C8" s="92"/>
      <c r="D8" s="92"/>
      <c r="E8" s="93"/>
      <c r="F8" s="93"/>
      <c r="G8" s="93"/>
      <c r="H8" s="92"/>
      <c r="I8" s="92"/>
      <c r="J8" s="92"/>
      <c r="K8" s="92"/>
      <c r="L8" s="92"/>
      <c r="M8" s="92"/>
      <c r="N8" s="92"/>
      <c r="U8" s="93"/>
      <c r="V8" s="92"/>
      <c r="W8" s="92"/>
      <c r="X8" s="110"/>
      <c r="Y8" s="92"/>
    </row>
    <row r="9" spans="1:25" s="12" customFormat="1" ht="98" customHeight="1" thickBot="1" x14ac:dyDescent="0.25">
      <c r="A9" s="69" t="s">
        <v>9</v>
      </c>
      <c r="B9" s="71" t="s">
        <v>8</v>
      </c>
      <c r="C9" s="155" t="s">
        <v>184</v>
      </c>
      <c r="D9" s="156" t="s">
        <v>881</v>
      </c>
      <c r="E9" s="124" t="s">
        <v>181</v>
      </c>
      <c r="F9" s="123" t="s">
        <v>877</v>
      </c>
      <c r="G9" s="141" t="s">
        <v>896</v>
      </c>
      <c r="H9" s="154" t="s">
        <v>882</v>
      </c>
      <c r="I9" s="152" t="s">
        <v>878</v>
      </c>
      <c r="J9" s="152" t="s">
        <v>879</v>
      </c>
      <c r="K9" s="152" t="s">
        <v>880</v>
      </c>
      <c r="L9" s="152" t="s">
        <v>884</v>
      </c>
      <c r="M9" s="153" t="s">
        <v>886</v>
      </c>
      <c r="N9" s="161" t="s">
        <v>885</v>
      </c>
      <c r="O9" s="166" t="s">
        <v>180</v>
      </c>
      <c r="P9" s="15" t="s">
        <v>15</v>
      </c>
      <c r="Q9" s="16" t="s">
        <v>31</v>
      </c>
      <c r="R9" s="16" t="s">
        <v>100</v>
      </c>
      <c r="S9" s="167" t="s">
        <v>16</v>
      </c>
      <c r="T9" s="169" t="s">
        <v>895</v>
      </c>
      <c r="U9" s="171" t="s">
        <v>182</v>
      </c>
      <c r="V9" s="172" t="s">
        <v>183</v>
      </c>
      <c r="W9" s="173" t="s">
        <v>897</v>
      </c>
      <c r="X9" s="175" t="s">
        <v>20</v>
      </c>
      <c r="Y9" s="174" t="s">
        <v>898</v>
      </c>
    </row>
    <row r="10" spans="1:25" ht="17" x14ac:dyDescent="0.2">
      <c r="A10" s="128" t="s">
        <v>777</v>
      </c>
      <c r="B10" s="4" t="s">
        <v>14</v>
      </c>
      <c r="C10" s="149">
        <f>SI!D8</f>
        <v>0</v>
      </c>
      <c r="D10" s="160">
        <f>GWP!D8</f>
        <v>0</v>
      </c>
      <c r="E10" s="149">
        <f>SI!D12</f>
        <v>60</v>
      </c>
      <c r="F10" s="150">
        <f>C10+D10-E10</f>
        <v>-60</v>
      </c>
      <c r="G10" s="151">
        <f>F10*$G$7</f>
        <v>-63.738434219134554</v>
      </c>
      <c r="H10" s="148">
        <v>0</v>
      </c>
      <c r="I10" s="149">
        <v>0</v>
      </c>
      <c r="J10" s="149">
        <v>0</v>
      </c>
      <c r="K10" s="149">
        <v>0</v>
      </c>
      <c r="L10" s="149">
        <v>0</v>
      </c>
      <c r="M10" s="150">
        <f>SI!D13</f>
        <v>0</v>
      </c>
      <c r="N10" s="151">
        <f>H10*$H$7+I10*$I$7+J10*$J$7+K10*$K$7+L10*$L$7</f>
        <v>0</v>
      </c>
      <c r="O10" s="162">
        <f>SI!D4</f>
        <v>1</v>
      </c>
      <c r="P10" s="163">
        <f>SI!D5</f>
        <v>0.8</v>
      </c>
      <c r="Q10" s="164">
        <f>O10*(1/(1-P10))</f>
        <v>5.0000000000000009</v>
      </c>
      <c r="R10" s="165">
        <f t="shared" ref="R10:R44" si="1">Q10*$Q$4*$Q$1*$Q$3/$Q$2</f>
        <v>16.815867867867873</v>
      </c>
      <c r="S10" s="150">
        <f t="shared" ref="S10:S44" si="2">$Q$1*$T$3*Q10*$Q$4</f>
        <v>677.07524723199174</v>
      </c>
      <c r="T10" s="151">
        <f>S10*$H$7</f>
        <v>812.49029667839011</v>
      </c>
      <c r="U10" s="170">
        <f>SI!D15</f>
        <v>0</v>
      </c>
      <c r="V10" s="150">
        <f>U10*1000000/3412</f>
        <v>0</v>
      </c>
      <c r="W10" s="151">
        <f>V10*$K$7</f>
        <v>0</v>
      </c>
      <c r="X10" s="137">
        <f>F10+M10-S10-V10</f>
        <v>-737.07524723199174</v>
      </c>
      <c r="Y10" s="106">
        <f>G10+N10-T10-W10</f>
        <v>-876.22873089752466</v>
      </c>
    </row>
    <row r="11" spans="1:25" ht="17" x14ac:dyDescent="0.2">
      <c r="A11" s="128" t="s">
        <v>781</v>
      </c>
      <c r="B11" s="4" t="s">
        <v>104</v>
      </c>
      <c r="C11" s="113">
        <f>SI!D47</f>
        <v>0</v>
      </c>
      <c r="D11" s="137">
        <f>GWP!D9</f>
        <v>1223.3955555555556</v>
      </c>
      <c r="E11" s="113">
        <f>SI!D51</f>
        <v>60</v>
      </c>
      <c r="F11" s="139">
        <f t="shared" ref="F11:F44" si="3">C11+D11-E11</f>
        <v>1163.3955555555556</v>
      </c>
      <c r="G11" s="142">
        <f t="shared" ref="G11:G44" si="4">F11*$G$7</f>
        <v>1235.8835181435213</v>
      </c>
      <c r="H11" s="140">
        <v>0</v>
      </c>
      <c r="I11" s="113">
        <v>0</v>
      </c>
      <c r="J11" s="113">
        <v>0</v>
      </c>
      <c r="K11" s="113">
        <v>0</v>
      </c>
      <c r="L11" s="113">
        <v>0</v>
      </c>
      <c r="M11" s="139">
        <f>SI!D52</f>
        <v>0</v>
      </c>
      <c r="N11" s="151">
        <f t="shared" ref="N11:N44" si="5">H11*$H$7+I11*$I$7+J11*$J$7+K11*$K$7+L11*$L$7</f>
        <v>0</v>
      </c>
      <c r="O11" s="145">
        <f>SI!D43</f>
        <v>1</v>
      </c>
      <c r="P11" s="115">
        <f>SI!D44</f>
        <v>0.8</v>
      </c>
      <c r="Q11" s="158">
        <f>O11*(1/(1-P11))</f>
        <v>5.0000000000000009</v>
      </c>
      <c r="R11" s="157">
        <f t="shared" si="1"/>
        <v>16.815867867867873</v>
      </c>
      <c r="S11" s="139">
        <f t="shared" si="2"/>
        <v>677.07524723199174</v>
      </c>
      <c r="T11" s="142">
        <f t="shared" ref="T11:T44" si="6">S11*$H$7</f>
        <v>812.49029667839011</v>
      </c>
      <c r="U11" s="168">
        <f>SI!D54</f>
        <v>0</v>
      </c>
      <c r="V11" s="139">
        <f t="shared" ref="V11:V44" si="7">U11*1000000/3412</f>
        <v>0</v>
      </c>
      <c r="W11" s="142">
        <f t="shared" ref="W11:W44" si="8">V11*$K$7</f>
        <v>0</v>
      </c>
      <c r="X11" s="137">
        <f t="shared" ref="X11:X44" si="9">F11+M11-S11-V11</f>
        <v>486.32030832356384</v>
      </c>
      <c r="Y11" s="106">
        <f t="shared" ref="Y11:Y44" si="10">G11+N11-T11-W11</f>
        <v>423.39322146513121</v>
      </c>
    </row>
    <row r="12" spans="1:25" ht="17" x14ac:dyDescent="0.2">
      <c r="A12" s="65" t="s">
        <v>126</v>
      </c>
      <c r="B12" s="4" t="s">
        <v>14</v>
      </c>
      <c r="C12" s="113">
        <f>SI!D87</f>
        <v>0</v>
      </c>
      <c r="D12" s="137">
        <f>GWP!D10</f>
        <v>0</v>
      </c>
      <c r="E12" s="113">
        <f>SI!D91</f>
        <v>60</v>
      </c>
      <c r="F12" s="139">
        <f t="shared" si="3"/>
        <v>-60</v>
      </c>
      <c r="G12" s="142">
        <f t="shared" si="4"/>
        <v>-63.738434219134554</v>
      </c>
      <c r="H12" s="140">
        <v>0</v>
      </c>
      <c r="I12" s="113">
        <v>0</v>
      </c>
      <c r="J12" s="113">
        <v>0</v>
      </c>
      <c r="K12" s="113">
        <v>0</v>
      </c>
      <c r="L12" s="113">
        <v>0</v>
      </c>
      <c r="M12" s="139">
        <f>SI!D92</f>
        <v>0</v>
      </c>
      <c r="N12" s="151">
        <f t="shared" si="5"/>
        <v>0</v>
      </c>
      <c r="O12" s="145">
        <f>SI!D83</f>
        <v>1</v>
      </c>
      <c r="P12" s="115">
        <f>SI!D84</f>
        <v>0.5</v>
      </c>
      <c r="Q12" s="158">
        <f>O12*(1/(1-P12))</f>
        <v>2</v>
      </c>
      <c r="R12" s="157">
        <f t="shared" si="1"/>
        <v>6.7263471471471483</v>
      </c>
      <c r="S12" s="139">
        <f t="shared" si="2"/>
        <v>270.83009889279663</v>
      </c>
      <c r="T12" s="142">
        <f t="shared" si="6"/>
        <v>324.99611867135593</v>
      </c>
      <c r="U12" s="168">
        <f>SI!D95</f>
        <v>8.5299999999999994</v>
      </c>
      <c r="V12" s="139">
        <f t="shared" si="7"/>
        <v>2500</v>
      </c>
      <c r="W12" s="142">
        <f t="shared" si="8"/>
        <v>2647.0588235294117</v>
      </c>
      <c r="X12" s="137">
        <f t="shared" si="9"/>
        <v>-2830.8300988927967</v>
      </c>
      <c r="Y12" s="106">
        <f t="shared" si="10"/>
        <v>-3035.7933764199024</v>
      </c>
    </row>
    <row r="13" spans="1:25" ht="17" x14ac:dyDescent="0.2">
      <c r="A13" s="65" t="s">
        <v>143</v>
      </c>
      <c r="B13" s="4" t="s">
        <v>104</v>
      </c>
      <c r="C13" s="113">
        <f>SI!D132</f>
        <v>0</v>
      </c>
      <c r="D13" s="137">
        <f>GWP!D11</f>
        <v>1223.3955555555556</v>
      </c>
      <c r="E13" s="113">
        <f>SI!D136</f>
        <v>60</v>
      </c>
      <c r="F13" s="139">
        <f t="shared" si="3"/>
        <v>1163.3955555555556</v>
      </c>
      <c r="G13" s="142">
        <f t="shared" si="4"/>
        <v>1235.8835181435213</v>
      </c>
      <c r="H13" s="140">
        <v>0</v>
      </c>
      <c r="I13" s="113">
        <v>0</v>
      </c>
      <c r="J13" s="113">
        <v>0</v>
      </c>
      <c r="K13" s="113">
        <v>0</v>
      </c>
      <c r="L13" s="113">
        <v>0</v>
      </c>
      <c r="M13" s="139">
        <f>SI!D137</f>
        <v>0</v>
      </c>
      <c r="N13" s="151">
        <f t="shared" si="5"/>
        <v>0</v>
      </c>
      <c r="O13" s="145">
        <f>SI!D128</f>
        <v>1</v>
      </c>
      <c r="P13" s="115">
        <f>SI!D129</f>
        <v>0.5</v>
      </c>
      <c r="Q13" s="158">
        <f t="shared" ref="Q13" si="11">O13*(1/(1-P13))</f>
        <v>2</v>
      </c>
      <c r="R13" s="157">
        <f t="shared" si="1"/>
        <v>6.7263471471471483</v>
      </c>
      <c r="S13" s="139">
        <f t="shared" si="2"/>
        <v>270.83009889279663</v>
      </c>
      <c r="T13" s="142">
        <f t="shared" si="6"/>
        <v>324.99611867135593</v>
      </c>
      <c r="U13" s="168">
        <f>SI!D140</f>
        <v>8.5299999999999994</v>
      </c>
      <c r="V13" s="139">
        <f t="shared" si="7"/>
        <v>2500</v>
      </c>
      <c r="W13" s="142">
        <f t="shared" si="8"/>
        <v>2647.0588235294117</v>
      </c>
      <c r="X13" s="137">
        <f t="shared" si="9"/>
        <v>-1607.4345433372409</v>
      </c>
      <c r="Y13" s="106">
        <f t="shared" si="10"/>
        <v>-1736.1714240572464</v>
      </c>
    </row>
    <row r="14" spans="1:25" ht="17" x14ac:dyDescent="0.2">
      <c r="A14" s="128" t="s">
        <v>778</v>
      </c>
      <c r="B14" s="4" t="s">
        <v>14</v>
      </c>
      <c r="C14" s="113">
        <f>SI!D177</f>
        <v>0</v>
      </c>
      <c r="D14" s="137">
        <f>GWP!D12</f>
        <v>0</v>
      </c>
      <c r="E14" s="113">
        <f>SI!D181</f>
        <v>60</v>
      </c>
      <c r="F14" s="139">
        <f t="shared" si="3"/>
        <v>-60</v>
      </c>
      <c r="G14" s="142">
        <f t="shared" si="4"/>
        <v>-63.738434219134554</v>
      </c>
      <c r="H14" s="140">
        <v>0</v>
      </c>
      <c r="I14" s="113">
        <v>0</v>
      </c>
      <c r="J14" s="113">
        <v>0</v>
      </c>
      <c r="K14" s="113">
        <v>0</v>
      </c>
      <c r="L14" s="113">
        <v>0</v>
      </c>
      <c r="M14" s="139">
        <f>SI!D182</f>
        <v>0</v>
      </c>
      <c r="N14" s="151">
        <f t="shared" si="5"/>
        <v>0</v>
      </c>
      <c r="O14" s="145">
        <f>SI!D173</f>
        <v>1</v>
      </c>
      <c r="P14" s="115">
        <f>SI!D174</f>
        <v>0.8</v>
      </c>
      <c r="Q14" s="158">
        <f t="shared" ref="Q14:Q31" si="12">O14*(1/(1-P14))</f>
        <v>5.0000000000000009</v>
      </c>
      <c r="R14" s="157">
        <f t="shared" si="1"/>
        <v>16.815867867867873</v>
      </c>
      <c r="S14" s="139">
        <f t="shared" si="2"/>
        <v>677.07524723199174</v>
      </c>
      <c r="T14" s="142">
        <f t="shared" si="6"/>
        <v>812.49029667839011</v>
      </c>
      <c r="U14" s="168">
        <f>SI!D185</f>
        <v>0</v>
      </c>
      <c r="V14" s="139">
        <f t="shared" si="7"/>
        <v>0</v>
      </c>
      <c r="W14" s="142">
        <f t="shared" si="8"/>
        <v>0</v>
      </c>
      <c r="X14" s="137">
        <f t="shared" si="9"/>
        <v>-737.07524723199174</v>
      </c>
      <c r="Y14" s="106">
        <f t="shared" si="10"/>
        <v>-876.22873089752466</v>
      </c>
    </row>
    <row r="15" spans="1:25" ht="17" x14ac:dyDescent="0.2">
      <c r="A15" s="65" t="s">
        <v>127</v>
      </c>
      <c r="B15" s="4" t="s">
        <v>14</v>
      </c>
      <c r="C15" s="113">
        <f>SI!D218</f>
        <v>0</v>
      </c>
      <c r="D15" s="137">
        <f>GWP!D13</f>
        <v>0</v>
      </c>
      <c r="E15" s="113">
        <f>SI!D222</f>
        <v>60</v>
      </c>
      <c r="F15" s="139">
        <f t="shared" si="3"/>
        <v>-60</v>
      </c>
      <c r="G15" s="142">
        <f t="shared" si="4"/>
        <v>-63.738434219134554</v>
      </c>
      <c r="H15" s="140">
        <v>0</v>
      </c>
      <c r="I15" s="113">
        <v>0</v>
      </c>
      <c r="J15" s="113">
        <v>0</v>
      </c>
      <c r="K15" s="113">
        <v>0</v>
      </c>
      <c r="L15" s="113">
        <v>0</v>
      </c>
      <c r="M15" s="139">
        <f>SI!D223</f>
        <v>0</v>
      </c>
      <c r="N15" s="151">
        <f t="shared" si="5"/>
        <v>0</v>
      </c>
      <c r="O15" s="145">
        <f>SI!D214</f>
        <v>1</v>
      </c>
      <c r="P15" s="115">
        <f>SI!D215</f>
        <v>0.5</v>
      </c>
      <c r="Q15" s="158">
        <f t="shared" si="12"/>
        <v>2</v>
      </c>
      <c r="R15" s="157">
        <f t="shared" si="1"/>
        <v>6.7263471471471483</v>
      </c>
      <c r="S15" s="139">
        <f t="shared" si="2"/>
        <v>270.83009889279663</v>
      </c>
      <c r="T15" s="142">
        <f t="shared" si="6"/>
        <v>324.99611867135593</v>
      </c>
      <c r="U15" s="168">
        <f>SI!D226</f>
        <v>8.5299999999999994</v>
      </c>
      <c r="V15" s="139">
        <f t="shared" si="7"/>
        <v>2500</v>
      </c>
      <c r="W15" s="142">
        <f t="shared" si="8"/>
        <v>2647.0588235294117</v>
      </c>
      <c r="X15" s="137">
        <f t="shared" si="9"/>
        <v>-2830.8300988927967</v>
      </c>
      <c r="Y15" s="106">
        <f t="shared" si="10"/>
        <v>-3035.7933764199024</v>
      </c>
    </row>
    <row r="16" spans="1:25" ht="17" x14ac:dyDescent="0.2">
      <c r="A16" s="66" t="s">
        <v>128</v>
      </c>
      <c r="B16" s="4" t="s">
        <v>14</v>
      </c>
      <c r="C16" s="113">
        <f>SI!D264</f>
        <v>2072</v>
      </c>
      <c r="D16" s="137">
        <f>GWP!D14</f>
        <v>0</v>
      </c>
      <c r="E16" s="113">
        <f>SI!D268</f>
        <v>60</v>
      </c>
      <c r="F16" s="139">
        <f t="shared" si="3"/>
        <v>2012</v>
      </c>
      <c r="G16" s="142">
        <f t="shared" si="4"/>
        <v>2137.3621608149788</v>
      </c>
      <c r="H16" s="140">
        <v>0</v>
      </c>
      <c r="I16" s="113">
        <v>0</v>
      </c>
      <c r="J16" s="113">
        <v>0</v>
      </c>
      <c r="K16" s="113">
        <v>0</v>
      </c>
      <c r="L16" s="113">
        <v>0</v>
      </c>
      <c r="M16" s="139">
        <f>SI!D269</f>
        <v>0</v>
      </c>
      <c r="N16" s="151">
        <f t="shared" si="5"/>
        <v>0</v>
      </c>
      <c r="O16" s="145">
        <f>SI!D260</f>
        <v>0.1</v>
      </c>
      <c r="P16" s="115">
        <f>SI!D261</f>
        <v>0.05</v>
      </c>
      <c r="Q16" s="158">
        <f>O16*(1/(1-P16))</f>
        <v>0.10526315789473684</v>
      </c>
      <c r="R16" s="157">
        <f t="shared" si="1"/>
        <v>0.35401827090248145</v>
      </c>
      <c r="S16" s="139">
        <f t="shared" si="2"/>
        <v>14.254215731199825</v>
      </c>
      <c r="T16" s="142">
        <f t="shared" si="6"/>
        <v>17.105058877439788</v>
      </c>
      <c r="U16" s="168">
        <f>SI!D274</f>
        <v>7.2368519999999998</v>
      </c>
      <c r="V16" s="139">
        <f t="shared" si="7"/>
        <v>2121</v>
      </c>
      <c r="W16" s="142">
        <f t="shared" si="8"/>
        <v>2245.7647058823532</v>
      </c>
      <c r="X16" s="137">
        <f t="shared" si="9"/>
        <v>-123.25421573119979</v>
      </c>
      <c r="Y16" s="106">
        <f t="shared" si="10"/>
        <v>-125.50760394481404</v>
      </c>
    </row>
    <row r="17" spans="1:25" ht="17" x14ac:dyDescent="0.2">
      <c r="A17" s="128" t="s">
        <v>779</v>
      </c>
      <c r="B17" s="4" t="s">
        <v>14</v>
      </c>
      <c r="C17" s="113">
        <f>SI!D320</f>
        <v>449.4</v>
      </c>
      <c r="D17" s="137">
        <f>GWP!D15</f>
        <v>0</v>
      </c>
      <c r="E17" s="113">
        <f>SI!D327</f>
        <v>74</v>
      </c>
      <c r="F17" s="139">
        <f t="shared" si="3"/>
        <v>375.4</v>
      </c>
      <c r="G17" s="142">
        <f t="shared" si="4"/>
        <v>398.79013676438518</v>
      </c>
      <c r="H17" s="140">
        <v>0</v>
      </c>
      <c r="I17" s="113">
        <v>0</v>
      </c>
      <c r="J17" s="113">
        <v>0</v>
      </c>
      <c r="K17" s="113">
        <v>0</v>
      </c>
      <c r="L17" s="113">
        <v>0</v>
      </c>
      <c r="M17" s="139">
        <f>SI!D328</f>
        <v>0</v>
      </c>
      <c r="N17" s="151">
        <f t="shared" si="5"/>
        <v>0</v>
      </c>
      <c r="O17" s="145">
        <f>SI!D313</f>
        <v>0.67999999999999994</v>
      </c>
      <c r="P17" s="115">
        <f>SI!D314</f>
        <v>0.8</v>
      </c>
      <c r="Q17" s="158">
        <f t="shared" si="12"/>
        <v>3.4000000000000004</v>
      </c>
      <c r="R17" s="157">
        <f t="shared" si="1"/>
        <v>11.43479015015015</v>
      </c>
      <c r="S17" s="139">
        <f t="shared" si="2"/>
        <v>460.41116811775441</v>
      </c>
      <c r="T17" s="142">
        <f t="shared" si="6"/>
        <v>552.49340174130532</v>
      </c>
      <c r="U17" s="168">
        <f>SI!D336</f>
        <v>0.81915295999999982</v>
      </c>
      <c r="V17" s="139">
        <f t="shared" si="7"/>
        <v>240.07999999999996</v>
      </c>
      <c r="W17" s="142">
        <f t="shared" si="8"/>
        <v>254.20235294117643</v>
      </c>
      <c r="X17" s="137">
        <f t="shared" si="9"/>
        <v>-325.09116811775436</v>
      </c>
      <c r="Y17" s="106">
        <f t="shared" si="10"/>
        <v>-407.9056179180966</v>
      </c>
    </row>
    <row r="18" spans="1:25" ht="17" x14ac:dyDescent="0.2">
      <c r="A18" s="128" t="s">
        <v>782</v>
      </c>
      <c r="B18" s="4" t="s">
        <v>104</v>
      </c>
      <c r="C18" s="113">
        <f>SI!D382</f>
        <v>449.4</v>
      </c>
      <c r="D18" s="137">
        <f>GWP!D16</f>
        <v>499.14538666666664</v>
      </c>
      <c r="E18" s="113">
        <f>SI!D389</f>
        <v>74</v>
      </c>
      <c r="F18" s="139">
        <f t="shared" si="3"/>
        <v>874.54538666666667</v>
      </c>
      <c r="G18" s="142">
        <f t="shared" si="4"/>
        <v>929.03589332834883</v>
      </c>
      <c r="H18" s="140">
        <v>0</v>
      </c>
      <c r="I18" s="113">
        <v>0</v>
      </c>
      <c r="J18" s="113">
        <v>0</v>
      </c>
      <c r="K18" s="113">
        <v>0</v>
      </c>
      <c r="L18" s="113">
        <v>0</v>
      </c>
      <c r="M18" s="139">
        <f>SI!D390</f>
        <v>0</v>
      </c>
      <c r="N18" s="151">
        <f t="shared" si="5"/>
        <v>0</v>
      </c>
      <c r="O18" s="145">
        <f>SI!D375</f>
        <v>0.67999999999999994</v>
      </c>
      <c r="P18" s="115">
        <f>SI!D376</f>
        <v>0.8</v>
      </c>
      <c r="Q18" s="158">
        <f>O18*(1/(1-P18))</f>
        <v>3.4000000000000004</v>
      </c>
      <c r="R18" s="157">
        <f t="shared" si="1"/>
        <v>11.43479015015015</v>
      </c>
      <c r="S18" s="139">
        <f t="shared" si="2"/>
        <v>460.41116811775441</v>
      </c>
      <c r="T18" s="142">
        <f t="shared" si="6"/>
        <v>552.49340174130532</v>
      </c>
      <c r="U18" s="168">
        <f>SI!D398</f>
        <v>0.81915295999999982</v>
      </c>
      <c r="V18" s="139">
        <f t="shared" si="7"/>
        <v>240.07999999999996</v>
      </c>
      <c r="W18" s="142">
        <f t="shared" si="8"/>
        <v>254.20235294117643</v>
      </c>
      <c r="X18" s="137">
        <f t="shared" si="9"/>
        <v>174.0542185489123</v>
      </c>
      <c r="Y18" s="106">
        <f t="shared" si="10"/>
        <v>122.34013864586709</v>
      </c>
    </row>
    <row r="19" spans="1:25" ht="17" x14ac:dyDescent="0.2">
      <c r="A19" s="128" t="s">
        <v>783</v>
      </c>
      <c r="B19" s="4" t="s">
        <v>105</v>
      </c>
      <c r="C19" s="113">
        <f>SI!D444</f>
        <v>449.4</v>
      </c>
      <c r="D19" s="137">
        <f>GWP!D17</f>
        <v>0</v>
      </c>
      <c r="E19" s="113">
        <f>SI!D451</f>
        <v>74</v>
      </c>
      <c r="F19" s="139">
        <f t="shared" si="3"/>
        <v>375.4</v>
      </c>
      <c r="G19" s="142">
        <f t="shared" si="4"/>
        <v>398.79013676438518</v>
      </c>
      <c r="H19" s="140">
        <v>0</v>
      </c>
      <c r="I19" s="113">
        <v>0</v>
      </c>
      <c r="J19" s="113">
        <v>0</v>
      </c>
      <c r="K19" s="113">
        <v>0</v>
      </c>
      <c r="L19" s="113">
        <v>0</v>
      </c>
      <c r="M19" s="139">
        <v>0</v>
      </c>
      <c r="N19" s="151">
        <f t="shared" si="5"/>
        <v>0</v>
      </c>
      <c r="O19" s="145">
        <f>SI!D437</f>
        <v>0.67999999999999994</v>
      </c>
      <c r="P19" s="115">
        <f>SI!D438</f>
        <v>0.8</v>
      </c>
      <c r="Q19" s="158">
        <f t="shared" si="12"/>
        <v>3.4000000000000004</v>
      </c>
      <c r="R19" s="157">
        <f t="shared" si="1"/>
        <v>11.43479015015015</v>
      </c>
      <c r="S19" s="139">
        <f t="shared" si="2"/>
        <v>460.41116811775441</v>
      </c>
      <c r="T19" s="142">
        <f t="shared" si="6"/>
        <v>552.49340174130532</v>
      </c>
      <c r="U19" s="168">
        <f>SI!D460</f>
        <v>0.81915295999999982</v>
      </c>
      <c r="V19" s="139">
        <f t="shared" si="7"/>
        <v>240.07999999999996</v>
      </c>
      <c r="W19" s="142">
        <f t="shared" si="8"/>
        <v>254.20235294117643</v>
      </c>
      <c r="X19" s="137">
        <f t="shared" si="9"/>
        <v>-325.09116811775436</v>
      </c>
      <c r="Y19" s="106">
        <f t="shared" si="10"/>
        <v>-407.9056179180966</v>
      </c>
    </row>
    <row r="20" spans="1:25" ht="17" x14ac:dyDescent="0.2">
      <c r="A20" s="66" t="s">
        <v>150</v>
      </c>
      <c r="B20" s="4" t="s">
        <v>106</v>
      </c>
      <c r="C20" s="113">
        <f>SI!D506</f>
        <v>449.4</v>
      </c>
      <c r="D20" s="137">
        <f>GWP!D18</f>
        <v>0</v>
      </c>
      <c r="E20" s="113">
        <f>SI!D513</f>
        <v>74</v>
      </c>
      <c r="F20" s="139">
        <f t="shared" si="3"/>
        <v>375.4</v>
      </c>
      <c r="G20" s="142">
        <f t="shared" si="4"/>
        <v>398.79013676438518</v>
      </c>
      <c r="H20" s="140">
        <v>0</v>
      </c>
      <c r="I20" s="113">
        <v>0</v>
      </c>
      <c r="J20" s="113">
        <v>0</v>
      </c>
      <c r="K20" s="113">
        <v>0</v>
      </c>
      <c r="L20" s="113">
        <v>0</v>
      </c>
      <c r="M20" s="139">
        <f>SI!D514</f>
        <v>0</v>
      </c>
      <c r="N20" s="151">
        <f t="shared" si="5"/>
        <v>0</v>
      </c>
      <c r="O20" s="145">
        <f>SI!D499</f>
        <v>0.67999999999999994</v>
      </c>
      <c r="P20" s="115">
        <f>SI!D500</f>
        <v>0.5</v>
      </c>
      <c r="Q20" s="158">
        <f t="shared" si="12"/>
        <v>1.3599999999999999</v>
      </c>
      <c r="R20" s="157">
        <f t="shared" si="1"/>
        <v>4.5739160600600597</v>
      </c>
      <c r="S20" s="139">
        <f t="shared" si="2"/>
        <v>184.1644672471017</v>
      </c>
      <c r="T20" s="142">
        <f t="shared" si="6"/>
        <v>220.99736069652204</v>
      </c>
      <c r="U20" s="168">
        <f>SI!D524</f>
        <v>9.2092609599999999</v>
      </c>
      <c r="V20" s="139">
        <f t="shared" si="7"/>
        <v>2699.08</v>
      </c>
      <c r="W20" s="142">
        <f t="shared" si="8"/>
        <v>2857.849411764706</v>
      </c>
      <c r="X20" s="137">
        <f t="shared" si="9"/>
        <v>-2507.8444672471014</v>
      </c>
      <c r="Y20" s="106">
        <f t="shared" si="10"/>
        <v>-2680.0566356968429</v>
      </c>
    </row>
    <row r="21" spans="1:25" ht="17" x14ac:dyDescent="0.2">
      <c r="A21" s="66" t="s">
        <v>151</v>
      </c>
      <c r="B21" s="4" t="s">
        <v>104</v>
      </c>
      <c r="C21" s="113">
        <f>SI!D572</f>
        <v>449.4</v>
      </c>
      <c r="D21" s="137">
        <f>GWP!D19</f>
        <v>499.14538666666664</v>
      </c>
      <c r="E21" s="113">
        <f>SI!D579</f>
        <v>74</v>
      </c>
      <c r="F21" s="139">
        <f t="shared" si="3"/>
        <v>874.54538666666667</v>
      </c>
      <c r="G21" s="142">
        <f t="shared" si="4"/>
        <v>929.03589332834883</v>
      </c>
      <c r="H21" s="140">
        <v>0</v>
      </c>
      <c r="I21" s="113">
        <v>0</v>
      </c>
      <c r="J21" s="113">
        <v>0</v>
      </c>
      <c r="K21" s="113">
        <v>0</v>
      </c>
      <c r="L21" s="113">
        <v>0</v>
      </c>
      <c r="M21" s="139">
        <f>SI!D580</f>
        <v>0</v>
      </c>
      <c r="N21" s="151">
        <f t="shared" si="5"/>
        <v>0</v>
      </c>
      <c r="O21" s="145">
        <f>SI!D565</f>
        <v>0.67999999999999994</v>
      </c>
      <c r="P21" s="115">
        <f>SI!D566</f>
        <v>0.5</v>
      </c>
      <c r="Q21" s="158">
        <f t="shared" ref="Q21" si="13">O21*(1/(1-P21))</f>
        <v>1.3599999999999999</v>
      </c>
      <c r="R21" s="157">
        <f t="shared" si="1"/>
        <v>4.5739160600600597</v>
      </c>
      <c r="S21" s="139">
        <f t="shared" si="2"/>
        <v>184.1644672471017</v>
      </c>
      <c r="T21" s="142">
        <f t="shared" si="6"/>
        <v>220.99736069652204</v>
      </c>
      <c r="U21" s="168">
        <f>SI!D590</f>
        <v>9.2092609599999999</v>
      </c>
      <c r="V21" s="139">
        <f t="shared" si="7"/>
        <v>2699.08</v>
      </c>
      <c r="W21" s="142">
        <f t="shared" si="8"/>
        <v>2857.849411764706</v>
      </c>
      <c r="X21" s="137">
        <f t="shared" si="9"/>
        <v>-2008.6990805804348</v>
      </c>
      <c r="Y21" s="106">
        <f t="shared" si="10"/>
        <v>-2149.8108791328791</v>
      </c>
    </row>
    <row r="22" spans="1:25" ht="17" x14ac:dyDescent="0.2">
      <c r="A22" s="66" t="s">
        <v>152</v>
      </c>
      <c r="B22" s="4" t="s">
        <v>107</v>
      </c>
      <c r="C22" s="113">
        <f>SI!D638</f>
        <v>449.4</v>
      </c>
      <c r="D22" s="137">
        <f>GWP!D20</f>
        <v>0</v>
      </c>
      <c r="E22" s="113">
        <f>SI!D645</f>
        <v>74</v>
      </c>
      <c r="F22" s="139">
        <f t="shared" si="3"/>
        <v>375.4</v>
      </c>
      <c r="G22" s="142">
        <f t="shared" si="4"/>
        <v>398.79013676438518</v>
      </c>
      <c r="H22" s="140">
        <v>0</v>
      </c>
      <c r="I22" s="113">
        <v>0</v>
      </c>
      <c r="J22" s="113">
        <v>0</v>
      </c>
      <c r="K22" s="113">
        <v>0</v>
      </c>
      <c r="L22" s="113">
        <v>0</v>
      </c>
      <c r="M22" s="139">
        <v>0</v>
      </c>
      <c r="N22" s="151">
        <f t="shared" si="5"/>
        <v>0</v>
      </c>
      <c r="O22" s="145">
        <f>SI!D631</f>
        <v>0.67999999999999994</v>
      </c>
      <c r="P22" s="115">
        <f>SI!D632</f>
        <v>0.5</v>
      </c>
      <c r="Q22" s="158">
        <f t="shared" si="12"/>
        <v>1.3599999999999999</v>
      </c>
      <c r="R22" s="157">
        <f t="shared" si="1"/>
        <v>4.5739160600600597</v>
      </c>
      <c r="S22" s="139">
        <f t="shared" si="2"/>
        <v>184.1644672471017</v>
      </c>
      <c r="T22" s="142">
        <f t="shared" si="6"/>
        <v>220.99736069652204</v>
      </c>
      <c r="U22" s="168">
        <f>SI!D656</f>
        <v>9.2092609599999999</v>
      </c>
      <c r="V22" s="139">
        <f t="shared" si="7"/>
        <v>2699.08</v>
      </c>
      <c r="W22" s="142">
        <f t="shared" si="8"/>
        <v>2857.849411764706</v>
      </c>
      <c r="X22" s="137">
        <f t="shared" si="9"/>
        <v>-2507.8444672471014</v>
      </c>
      <c r="Y22" s="106">
        <f t="shared" si="10"/>
        <v>-2680.0566356968429</v>
      </c>
    </row>
    <row r="23" spans="1:25" ht="17" x14ac:dyDescent="0.2">
      <c r="A23" s="66" t="s">
        <v>153</v>
      </c>
      <c r="B23" s="4" t="s">
        <v>108</v>
      </c>
      <c r="C23" s="113">
        <f>SI!D709</f>
        <v>1830.4814999999999</v>
      </c>
      <c r="D23" s="137">
        <f>GWP!D21</f>
        <v>0</v>
      </c>
      <c r="E23" s="113">
        <f>SI!D716</f>
        <v>74</v>
      </c>
      <c r="F23" s="139">
        <f t="shared" si="3"/>
        <v>1756.4814999999999</v>
      </c>
      <c r="G23" s="142">
        <f t="shared" si="4"/>
        <v>1865.9230090812798</v>
      </c>
      <c r="H23" s="140">
        <v>0</v>
      </c>
      <c r="I23" s="113">
        <v>0</v>
      </c>
      <c r="J23" s="113">
        <v>0</v>
      </c>
      <c r="K23" s="113">
        <v>0</v>
      </c>
      <c r="L23" s="113">
        <v>0</v>
      </c>
      <c r="M23" s="139">
        <f>SI!D717</f>
        <v>0</v>
      </c>
      <c r="N23" s="151">
        <f t="shared" si="5"/>
        <v>0</v>
      </c>
      <c r="O23" s="145">
        <f>SI!D698</f>
        <v>0.1</v>
      </c>
      <c r="P23" s="115">
        <f>SI!D699</f>
        <v>0.05</v>
      </c>
      <c r="Q23" s="158">
        <f t="shared" si="12"/>
        <v>0.10526315789473684</v>
      </c>
      <c r="R23" s="157">
        <f t="shared" si="1"/>
        <v>0.35401827090248145</v>
      </c>
      <c r="S23" s="139">
        <f t="shared" si="2"/>
        <v>14.254215731199825</v>
      </c>
      <c r="T23" s="142">
        <f t="shared" si="6"/>
        <v>17.105058877439788</v>
      </c>
      <c r="U23" s="168">
        <f>SI!D730</f>
        <v>8.281475038</v>
      </c>
      <c r="V23" s="139">
        <f t="shared" si="7"/>
        <v>2427.1614999999997</v>
      </c>
      <c r="W23" s="142">
        <f t="shared" si="8"/>
        <v>2569.9357058823525</v>
      </c>
      <c r="X23" s="137">
        <f t="shared" si="9"/>
        <v>-684.93421573119963</v>
      </c>
      <c r="Y23" s="106">
        <f t="shared" si="10"/>
        <v>-721.11775567851259</v>
      </c>
    </row>
    <row r="24" spans="1:25" ht="17" x14ac:dyDescent="0.2">
      <c r="A24" s="128" t="s">
        <v>780</v>
      </c>
      <c r="B24" s="4" t="s">
        <v>14</v>
      </c>
      <c r="C24" s="113">
        <f>SI!D780</f>
        <v>745.5</v>
      </c>
      <c r="D24" s="137">
        <f>GWP!D22</f>
        <v>0</v>
      </c>
      <c r="E24" s="113">
        <f>SI!D787</f>
        <v>120</v>
      </c>
      <c r="F24" s="139">
        <f t="shared" si="3"/>
        <v>625.5</v>
      </c>
      <c r="G24" s="142">
        <f t="shared" si="4"/>
        <v>664.47317673447776</v>
      </c>
      <c r="H24" s="140">
        <v>0</v>
      </c>
      <c r="I24" s="113">
        <v>0</v>
      </c>
      <c r="J24" s="113">
        <v>0</v>
      </c>
      <c r="K24" s="113">
        <v>0</v>
      </c>
      <c r="L24" s="113">
        <v>0</v>
      </c>
      <c r="M24" s="139">
        <f>SI!D788</f>
        <v>0</v>
      </c>
      <c r="N24" s="151">
        <f t="shared" si="5"/>
        <v>0</v>
      </c>
      <c r="O24" s="145">
        <f>SI!D773</f>
        <v>0.67999999999999994</v>
      </c>
      <c r="P24" s="115">
        <f>SI!D774</f>
        <v>0.8</v>
      </c>
      <c r="Q24" s="158">
        <f t="shared" si="12"/>
        <v>3.4000000000000004</v>
      </c>
      <c r="R24" s="157">
        <f t="shared" si="1"/>
        <v>11.43479015015015</v>
      </c>
      <c r="S24" s="139">
        <f t="shared" si="2"/>
        <v>460.41116811775441</v>
      </c>
      <c r="T24" s="142">
        <f t="shared" si="6"/>
        <v>552.49340174130532</v>
      </c>
      <c r="U24" s="168">
        <f>SI!D798</f>
        <v>0.1453511999999999</v>
      </c>
      <c r="V24" s="139">
        <f t="shared" si="7"/>
        <v>42.599999999999966</v>
      </c>
      <c r="W24" s="142">
        <f t="shared" si="8"/>
        <v>45.105882352941144</v>
      </c>
      <c r="X24" s="137">
        <f t="shared" si="9"/>
        <v>122.48883188224562</v>
      </c>
      <c r="Y24" s="106">
        <f t="shared" si="10"/>
        <v>66.873892640231304</v>
      </c>
    </row>
    <row r="25" spans="1:25" ht="17" x14ac:dyDescent="0.2">
      <c r="A25" s="128" t="s">
        <v>785</v>
      </c>
      <c r="B25" s="4" t="s">
        <v>104</v>
      </c>
      <c r="C25" s="113">
        <f>SI!D844</f>
        <v>745.5</v>
      </c>
      <c r="D25" s="137">
        <f>GWP!D23</f>
        <v>499.14538666666664</v>
      </c>
      <c r="E25" s="113">
        <f>SI!D851</f>
        <v>120</v>
      </c>
      <c r="F25" s="139">
        <f t="shared" si="3"/>
        <v>1124.6453866666666</v>
      </c>
      <c r="G25" s="142">
        <f t="shared" si="4"/>
        <v>1194.7189332984412</v>
      </c>
      <c r="H25" s="140">
        <v>0</v>
      </c>
      <c r="I25" s="113">
        <v>0</v>
      </c>
      <c r="J25" s="113">
        <v>0</v>
      </c>
      <c r="K25" s="113">
        <v>0</v>
      </c>
      <c r="L25" s="113">
        <v>0</v>
      </c>
      <c r="M25" s="139">
        <f>SI!D852</f>
        <v>0</v>
      </c>
      <c r="N25" s="151">
        <f t="shared" si="5"/>
        <v>0</v>
      </c>
      <c r="O25" s="145">
        <f>SI!D837</f>
        <v>0.67999999999999994</v>
      </c>
      <c r="P25" s="115">
        <f>SI!D838</f>
        <v>0.8</v>
      </c>
      <c r="Q25" s="158">
        <f t="shared" ref="Q25:Q26" si="14">O25*(1/(1-P25))</f>
        <v>3.4000000000000004</v>
      </c>
      <c r="R25" s="157">
        <f t="shared" si="1"/>
        <v>11.43479015015015</v>
      </c>
      <c r="S25" s="139">
        <f t="shared" si="2"/>
        <v>460.41116811775441</v>
      </c>
      <c r="T25" s="142">
        <f t="shared" si="6"/>
        <v>552.49340174130532</v>
      </c>
      <c r="U25" s="168">
        <f>SI!D862</f>
        <v>0.1453511999999999</v>
      </c>
      <c r="V25" s="139">
        <f t="shared" si="7"/>
        <v>42.599999999999966</v>
      </c>
      <c r="W25" s="142">
        <f t="shared" si="8"/>
        <v>45.105882352941144</v>
      </c>
      <c r="X25" s="137">
        <f t="shared" si="9"/>
        <v>621.63421854891226</v>
      </c>
      <c r="Y25" s="106">
        <f t="shared" si="10"/>
        <v>597.11964920419473</v>
      </c>
    </row>
    <row r="26" spans="1:25" ht="17" x14ac:dyDescent="0.2">
      <c r="A26" s="128" t="s">
        <v>784</v>
      </c>
      <c r="B26" s="4" t="s">
        <v>104</v>
      </c>
      <c r="C26" s="113">
        <f>SI!D908</f>
        <v>745.5</v>
      </c>
      <c r="D26" s="137">
        <f>GWP!D24</f>
        <v>0</v>
      </c>
      <c r="E26" s="113">
        <f>SI!D915</f>
        <v>120</v>
      </c>
      <c r="F26" s="139">
        <f t="shared" si="3"/>
        <v>625.5</v>
      </c>
      <c r="G26" s="142">
        <f t="shared" si="4"/>
        <v>664.47317673447776</v>
      </c>
      <c r="H26" s="140">
        <v>0</v>
      </c>
      <c r="I26" s="113">
        <v>0</v>
      </c>
      <c r="J26" s="113">
        <v>0</v>
      </c>
      <c r="K26" s="113">
        <v>0</v>
      </c>
      <c r="L26" s="113">
        <v>0</v>
      </c>
      <c r="M26" s="139">
        <f>SI!D916</f>
        <v>0</v>
      </c>
      <c r="N26" s="151">
        <f t="shared" si="5"/>
        <v>0</v>
      </c>
      <c r="O26" s="145">
        <f>SI!D901</f>
        <v>0.67999999999999994</v>
      </c>
      <c r="P26" s="115">
        <f>SI!D902</f>
        <v>0.8</v>
      </c>
      <c r="Q26" s="158">
        <f t="shared" si="14"/>
        <v>3.4000000000000004</v>
      </c>
      <c r="R26" s="157">
        <f t="shared" si="1"/>
        <v>11.43479015015015</v>
      </c>
      <c r="S26" s="139">
        <f t="shared" si="2"/>
        <v>460.41116811775441</v>
      </c>
      <c r="T26" s="142">
        <f t="shared" si="6"/>
        <v>552.49340174130532</v>
      </c>
      <c r="U26" s="168">
        <f>SI!D926</f>
        <v>1.71151038</v>
      </c>
      <c r="V26" s="139">
        <f t="shared" si="7"/>
        <v>501.61499999999995</v>
      </c>
      <c r="W26" s="142">
        <f t="shared" si="8"/>
        <v>531.12176470588236</v>
      </c>
      <c r="X26" s="137">
        <f t="shared" si="9"/>
        <v>-336.52616811775437</v>
      </c>
      <c r="Y26" s="106">
        <f t="shared" si="10"/>
        <v>-419.14198971270991</v>
      </c>
    </row>
    <row r="27" spans="1:25" ht="17" x14ac:dyDescent="0.2">
      <c r="A27" s="66" t="s">
        <v>154</v>
      </c>
      <c r="B27" s="4" t="s">
        <v>14</v>
      </c>
      <c r="C27" s="113">
        <f>SI!D977</f>
        <v>1673.7404999999999</v>
      </c>
      <c r="D27" s="137">
        <f>GWP!D25</f>
        <v>0</v>
      </c>
      <c r="E27" s="113">
        <f>SI!D984</f>
        <v>120</v>
      </c>
      <c r="F27" s="139">
        <f t="shared" si="3"/>
        <v>1553.7404999999999</v>
      </c>
      <c r="G27" s="142">
        <f t="shared" si="4"/>
        <v>1650.5497775475872</v>
      </c>
      <c r="H27" s="140">
        <v>0</v>
      </c>
      <c r="I27" s="113">
        <v>0</v>
      </c>
      <c r="J27" s="113">
        <v>0</v>
      </c>
      <c r="K27" s="113">
        <v>0</v>
      </c>
      <c r="L27" s="113">
        <v>0</v>
      </c>
      <c r="M27" s="139">
        <f>SI!D985</f>
        <v>0</v>
      </c>
      <c r="N27" s="151">
        <f t="shared" si="5"/>
        <v>0</v>
      </c>
      <c r="O27" s="145">
        <f>SI!D966</f>
        <v>0.1</v>
      </c>
      <c r="P27" s="115">
        <f>SI!D967</f>
        <v>0.05</v>
      </c>
      <c r="Q27" s="158">
        <f t="shared" si="12"/>
        <v>0.10526315789473684</v>
      </c>
      <c r="R27" s="157">
        <f t="shared" si="1"/>
        <v>0.35401827090248145</v>
      </c>
      <c r="S27" s="139">
        <f t="shared" si="2"/>
        <v>14.254215731199825</v>
      </c>
      <c r="T27" s="142">
        <f t="shared" si="6"/>
        <v>17.105058877439788</v>
      </c>
      <c r="U27" s="168">
        <f>SI!D1002</f>
        <v>8.3315597860000015</v>
      </c>
      <c r="V27" s="139">
        <f t="shared" si="7"/>
        <v>2441.8405000000002</v>
      </c>
      <c r="W27" s="142">
        <f t="shared" si="8"/>
        <v>2585.4781764705886</v>
      </c>
      <c r="X27" s="137">
        <f t="shared" si="9"/>
        <v>-902.35421573120016</v>
      </c>
      <c r="Y27" s="106">
        <f t="shared" si="10"/>
        <v>-952.03345780044128</v>
      </c>
    </row>
    <row r="28" spans="1:25" ht="17" x14ac:dyDescent="0.2">
      <c r="A28" s="66" t="s">
        <v>129</v>
      </c>
      <c r="B28" s="4" t="s">
        <v>17</v>
      </c>
      <c r="C28" s="113">
        <f>SI!D1056</f>
        <v>0</v>
      </c>
      <c r="D28" s="137">
        <f>GWP!D26</f>
        <v>0</v>
      </c>
      <c r="E28" s="113">
        <f>SI!D1066</f>
        <v>257.01927597555238</v>
      </c>
      <c r="F28" s="139">
        <f t="shared" si="3"/>
        <v>-257.01927597555238</v>
      </c>
      <c r="G28" s="142">
        <f t="shared" si="4"/>
        <v>-273.03343691362227</v>
      </c>
      <c r="H28" s="140">
        <v>0</v>
      </c>
      <c r="I28" s="113">
        <f>SI!D1076</f>
        <v>3693.2597077679302</v>
      </c>
      <c r="J28" s="113">
        <v>0</v>
      </c>
      <c r="K28" s="113">
        <v>0</v>
      </c>
      <c r="L28" s="113">
        <v>0</v>
      </c>
      <c r="M28" s="139">
        <f>SI!D1076</f>
        <v>3693.2597077679302</v>
      </c>
      <c r="N28" s="151">
        <f t="shared" si="5"/>
        <v>3847.1455289249275</v>
      </c>
      <c r="O28" s="145">
        <f>SI!D1052</f>
        <v>7.6499999999999999E-2</v>
      </c>
      <c r="P28" s="115">
        <f>SI!D1053</f>
        <v>0.7</v>
      </c>
      <c r="Q28" s="158">
        <f t="shared" si="12"/>
        <v>0.25499999999999995</v>
      </c>
      <c r="R28" s="157">
        <f t="shared" si="1"/>
        <v>0.85760926126126102</v>
      </c>
      <c r="S28" s="139">
        <f t="shared" si="2"/>
        <v>34.530837608831568</v>
      </c>
      <c r="T28" s="142">
        <f t="shared" si="6"/>
        <v>41.437005130597882</v>
      </c>
      <c r="U28" s="168">
        <f>SI!D1088</f>
        <v>3.193849288256227</v>
      </c>
      <c r="V28" s="139">
        <f t="shared" si="7"/>
        <v>936.06368354520134</v>
      </c>
      <c r="W28" s="142">
        <f t="shared" si="8"/>
        <v>991.12625316550736</v>
      </c>
      <c r="X28" s="137">
        <f t="shared" si="9"/>
        <v>2465.645910638345</v>
      </c>
      <c r="Y28" s="106">
        <f t="shared" si="10"/>
        <v>2541.5488337152001</v>
      </c>
    </row>
    <row r="29" spans="1:25" ht="17" x14ac:dyDescent="0.2">
      <c r="A29" s="66" t="s">
        <v>130</v>
      </c>
      <c r="B29" s="4" t="s">
        <v>17</v>
      </c>
      <c r="C29" s="113">
        <f>SI!D1138</f>
        <v>0</v>
      </c>
      <c r="D29" s="137">
        <f>GWP!D27</f>
        <v>0</v>
      </c>
      <c r="E29" s="113">
        <f>SI!D1147</f>
        <v>293.14045213354422</v>
      </c>
      <c r="F29" s="139">
        <f t="shared" si="3"/>
        <v>-293.14045213354422</v>
      </c>
      <c r="G29" s="142">
        <f t="shared" si="4"/>
        <v>-311.40522375468782</v>
      </c>
      <c r="H29" s="140">
        <f>SI!D1156</f>
        <v>2800.7992375027452</v>
      </c>
      <c r="I29" s="113">
        <v>0</v>
      </c>
      <c r="J29" s="113">
        <f>SI!D1163</f>
        <v>862.13107813591773</v>
      </c>
      <c r="K29" s="113">
        <v>0</v>
      </c>
      <c r="L29" s="113">
        <v>0</v>
      </c>
      <c r="M29" s="139">
        <f>SI!D1164</f>
        <v>3662.9303156386632</v>
      </c>
      <c r="N29" s="151">
        <f t="shared" si="5"/>
        <v>4266.1967170460075</v>
      </c>
      <c r="O29" s="145">
        <f>SI!D1134</f>
        <v>7.6499999999999999E-2</v>
      </c>
      <c r="P29" s="115">
        <f>SI!D1135</f>
        <v>0.7</v>
      </c>
      <c r="Q29" s="158">
        <f t="shared" si="12"/>
        <v>0.25499999999999995</v>
      </c>
      <c r="R29" s="157">
        <f t="shared" si="1"/>
        <v>0.85760926126126102</v>
      </c>
      <c r="S29" s="139">
        <f t="shared" si="2"/>
        <v>34.530837608831568</v>
      </c>
      <c r="T29" s="142">
        <f t="shared" si="6"/>
        <v>41.437005130597882</v>
      </c>
      <c r="U29" s="168">
        <f>SI!D1172</f>
        <v>4.6269177390795866</v>
      </c>
      <c r="V29" s="139">
        <f t="shared" si="7"/>
        <v>1356.072022004568</v>
      </c>
      <c r="W29" s="142">
        <f t="shared" si="8"/>
        <v>1435.8409644754249</v>
      </c>
      <c r="X29" s="137">
        <f t="shared" si="9"/>
        <v>1979.1870038917193</v>
      </c>
      <c r="Y29" s="106">
        <f t="shared" si="10"/>
        <v>2477.5135236852966</v>
      </c>
    </row>
    <row r="30" spans="1:25" ht="17" x14ac:dyDescent="0.2">
      <c r="A30" s="66" t="s">
        <v>786</v>
      </c>
      <c r="B30" s="4" t="s">
        <v>18</v>
      </c>
      <c r="C30" s="113">
        <f>SI!D1237</f>
        <v>0</v>
      </c>
      <c r="D30" s="137">
        <f>GWP!D28</f>
        <v>0</v>
      </c>
      <c r="E30" s="113">
        <f>SI!D1245</f>
        <v>275.61758399999997</v>
      </c>
      <c r="F30" s="139">
        <f t="shared" si="3"/>
        <v>-275.61758399999997</v>
      </c>
      <c r="G30" s="142">
        <f t="shared" si="4"/>
        <v>-292.79055412367984</v>
      </c>
      <c r="H30" s="140">
        <v>0</v>
      </c>
      <c r="I30" s="113">
        <f>SI!D1252</f>
        <v>3704.6459028474028</v>
      </c>
      <c r="J30" s="113">
        <v>0</v>
      </c>
      <c r="K30" s="113">
        <v>0</v>
      </c>
      <c r="L30" s="113">
        <v>0</v>
      </c>
      <c r="M30" s="139">
        <f>SI!D1252</f>
        <v>3704.6459028474028</v>
      </c>
      <c r="N30" s="151">
        <f t="shared" si="5"/>
        <v>3859.006148799378</v>
      </c>
      <c r="O30" s="145">
        <f>SI!D1233</f>
        <v>0.10199999999999999</v>
      </c>
      <c r="P30" s="105">
        <f>SI!D1234</f>
        <v>0.6</v>
      </c>
      <c r="Q30" s="158">
        <f t="shared" si="12"/>
        <v>0.255</v>
      </c>
      <c r="R30" s="157">
        <f t="shared" si="1"/>
        <v>0.85760926126126125</v>
      </c>
      <c r="S30" s="139">
        <f t="shared" si="2"/>
        <v>34.530837608831575</v>
      </c>
      <c r="T30" s="142">
        <f t="shared" si="6"/>
        <v>41.437005130597889</v>
      </c>
      <c r="U30" s="168">
        <f>SI!D1260</f>
        <v>3.6533331221199998</v>
      </c>
      <c r="V30" s="139">
        <f t="shared" si="7"/>
        <v>1070.7306922977725</v>
      </c>
      <c r="W30" s="142">
        <f t="shared" si="8"/>
        <v>1133.7148506682297</v>
      </c>
      <c r="X30" s="137">
        <f t="shared" si="9"/>
        <v>2323.7667889407985</v>
      </c>
      <c r="Y30" s="106">
        <f t="shared" si="10"/>
        <v>2391.063738876871</v>
      </c>
    </row>
    <row r="31" spans="1:25" ht="17" x14ac:dyDescent="0.2">
      <c r="A31" s="66" t="s">
        <v>787</v>
      </c>
      <c r="B31" s="4" t="s">
        <v>18</v>
      </c>
      <c r="C31" s="113">
        <f>SI!D1301</f>
        <v>0</v>
      </c>
      <c r="D31" s="137">
        <f>GWP!D29</f>
        <v>0</v>
      </c>
      <c r="E31" s="113">
        <f>SI!D1309</f>
        <v>311.02312141536402</v>
      </c>
      <c r="F31" s="139">
        <f t="shared" si="3"/>
        <v>-311.02312141536402</v>
      </c>
      <c r="G31" s="142">
        <f t="shared" si="4"/>
        <v>-330.40211274938468</v>
      </c>
      <c r="H31" s="140">
        <f>SI!D1318</f>
        <v>2615.4939784972571</v>
      </c>
      <c r="I31" s="113">
        <v>0</v>
      </c>
      <c r="J31" s="113">
        <f>SI!D1325</f>
        <v>826.41802853733248</v>
      </c>
      <c r="K31" s="113">
        <v>0</v>
      </c>
      <c r="L31" s="113">
        <v>0</v>
      </c>
      <c r="M31" s="139">
        <f>SI!D1326</f>
        <v>3441.9120070345898</v>
      </c>
      <c r="N31" s="151">
        <f t="shared" si="5"/>
        <v>4006.3317041609075</v>
      </c>
      <c r="O31" s="145">
        <f>SI!D1297</f>
        <v>0.10199999999999999</v>
      </c>
      <c r="P31" s="105">
        <f>SI!D1298</f>
        <v>0.6</v>
      </c>
      <c r="Q31" s="158">
        <f t="shared" si="12"/>
        <v>0.255</v>
      </c>
      <c r="R31" s="157">
        <f t="shared" si="1"/>
        <v>0.85760926126126125</v>
      </c>
      <c r="S31" s="139">
        <f t="shared" si="2"/>
        <v>34.530837608831575</v>
      </c>
      <c r="T31" s="142">
        <f t="shared" si="6"/>
        <v>41.437005130597889</v>
      </c>
      <c r="U31" s="168">
        <f>SI!D1333</f>
        <v>4.8105458211745002</v>
      </c>
      <c r="V31" s="139">
        <f t="shared" si="7"/>
        <v>1409.8903344591151</v>
      </c>
      <c r="W31" s="142">
        <f t="shared" si="8"/>
        <v>1492.8250600155336</v>
      </c>
      <c r="X31" s="137">
        <f t="shared" si="9"/>
        <v>1686.4677135512791</v>
      </c>
      <c r="Y31" s="106">
        <f t="shared" si="10"/>
        <v>2141.6675262653916</v>
      </c>
    </row>
    <row r="32" spans="1:25" ht="17" x14ac:dyDescent="0.2">
      <c r="A32" s="66" t="s">
        <v>155</v>
      </c>
      <c r="B32" s="4" t="s">
        <v>19</v>
      </c>
      <c r="C32" s="113">
        <f>SI!D1386</f>
        <v>0</v>
      </c>
      <c r="D32" s="137">
        <f>GWP!D30</f>
        <v>0</v>
      </c>
      <c r="E32" s="113">
        <f>SI!D1396</f>
        <v>213.06122448979593</v>
      </c>
      <c r="F32" s="139">
        <f t="shared" si="3"/>
        <v>-213.06122448979593</v>
      </c>
      <c r="G32" s="142">
        <f t="shared" si="4"/>
        <v>-226.33648069651863</v>
      </c>
      <c r="H32" s="140">
        <v>0</v>
      </c>
      <c r="I32" s="113">
        <f>SI!D1402</f>
        <v>4000.0000000000005</v>
      </c>
      <c r="J32" s="113">
        <v>0</v>
      </c>
      <c r="K32" s="113">
        <v>0</v>
      </c>
      <c r="L32" s="113">
        <v>0</v>
      </c>
      <c r="M32" s="139">
        <f>SI!D1402</f>
        <v>4000.0000000000005</v>
      </c>
      <c r="N32" s="151">
        <f t="shared" si="5"/>
        <v>4166.6666666666679</v>
      </c>
      <c r="O32" s="146">
        <f>SI!D1382</f>
        <v>0.34991720066239479</v>
      </c>
      <c r="P32" s="105">
        <f>SI!D1383</f>
        <v>0</v>
      </c>
      <c r="Q32" s="158">
        <v>0.35</v>
      </c>
      <c r="R32" s="157">
        <f t="shared" si="1"/>
        <v>1.1771107507507508</v>
      </c>
      <c r="S32" s="139">
        <f t="shared" si="2"/>
        <v>47.395267306239418</v>
      </c>
      <c r="T32" s="142">
        <f t="shared" si="6"/>
        <v>56.874320767487298</v>
      </c>
      <c r="U32" s="168">
        <f>SI!D1411</f>
        <v>5.4874369687500009</v>
      </c>
      <c r="V32" s="139">
        <f t="shared" si="7"/>
        <v>1608.2757821658854</v>
      </c>
      <c r="W32" s="142">
        <f t="shared" si="8"/>
        <v>1702.8802399403494</v>
      </c>
      <c r="X32" s="137">
        <f t="shared" si="9"/>
        <v>2131.2677260380797</v>
      </c>
      <c r="Y32" s="106">
        <f t="shared" si="10"/>
        <v>2180.5756252623123</v>
      </c>
    </row>
    <row r="33" spans="1:25" ht="17" x14ac:dyDescent="0.2">
      <c r="A33" s="66" t="s">
        <v>156</v>
      </c>
      <c r="B33" s="4" t="s">
        <v>19</v>
      </c>
      <c r="C33" s="113">
        <f>SI!D1459</f>
        <v>0</v>
      </c>
      <c r="D33" s="137">
        <f>GWP!D31</f>
        <v>0</v>
      </c>
      <c r="E33" s="113">
        <f>SI!D1469</f>
        <v>167.14285714285717</v>
      </c>
      <c r="F33" s="139">
        <f t="shared" si="3"/>
        <v>-167.14285714285717</v>
      </c>
      <c r="G33" s="142">
        <f t="shared" si="4"/>
        <v>-177.55706675330345</v>
      </c>
      <c r="H33" s="140">
        <v>0</v>
      </c>
      <c r="I33" s="113">
        <f>SI!D1475</f>
        <v>4237.5</v>
      </c>
      <c r="J33" s="113">
        <v>0</v>
      </c>
      <c r="K33" s="113">
        <v>0</v>
      </c>
      <c r="L33" s="113">
        <v>0</v>
      </c>
      <c r="M33" s="139">
        <f>SI!D1475</f>
        <v>4237.5</v>
      </c>
      <c r="N33" s="151">
        <f t="shared" si="5"/>
        <v>4414.0625</v>
      </c>
      <c r="O33" s="146">
        <f>SI!D1455</f>
        <v>0.34991720066239479</v>
      </c>
      <c r="P33" s="105">
        <f>SI!D1456</f>
        <v>0</v>
      </c>
      <c r="Q33" s="158">
        <v>0.35</v>
      </c>
      <c r="R33" s="157">
        <f t="shared" si="1"/>
        <v>1.1771107507507508</v>
      </c>
      <c r="S33" s="139">
        <f t="shared" si="2"/>
        <v>47.395267306239418</v>
      </c>
      <c r="T33" s="142">
        <f t="shared" si="6"/>
        <v>56.874320767487298</v>
      </c>
      <c r="U33" s="168">
        <f>SI!D1485</f>
        <v>5.8010047955357145</v>
      </c>
      <c r="V33" s="139">
        <f t="shared" si="7"/>
        <v>1700.1772554325071</v>
      </c>
      <c r="W33" s="142">
        <f t="shared" si="8"/>
        <v>1800.1876822226545</v>
      </c>
      <c r="X33" s="137">
        <f t="shared" si="9"/>
        <v>2322.7846201183961</v>
      </c>
      <c r="Y33" s="106">
        <f t="shared" si="10"/>
        <v>2379.4434302565546</v>
      </c>
    </row>
    <row r="34" spans="1:25" ht="17" x14ac:dyDescent="0.2">
      <c r="A34" s="67" t="s">
        <v>157</v>
      </c>
      <c r="B34" s="4" t="s">
        <v>58</v>
      </c>
      <c r="C34" s="113">
        <f>SI!D1533</f>
        <v>0</v>
      </c>
      <c r="D34" s="137">
        <f>GWP!D32</f>
        <v>0</v>
      </c>
      <c r="E34" s="113">
        <f>SI!D1543</f>
        <v>133.11372037399434</v>
      </c>
      <c r="F34" s="139">
        <f t="shared" si="3"/>
        <v>-133.11372037399434</v>
      </c>
      <c r="G34" s="142">
        <f t="shared" si="4"/>
        <v>-141.40766849536848</v>
      </c>
      <c r="H34" s="140">
        <v>0</v>
      </c>
      <c r="I34" s="113">
        <f>SI!D1550</f>
        <v>5051.8356970562209</v>
      </c>
      <c r="J34" s="113">
        <v>0</v>
      </c>
      <c r="K34" s="113">
        <v>0</v>
      </c>
      <c r="L34" s="113">
        <v>0</v>
      </c>
      <c r="M34" s="139">
        <f>SI!D1550</f>
        <v>5051.8356970562209</v>
      </c>
      <c r="N34" s="151">
        <f t="shared" si="5"/>
        <v>5262.3288511002302</v>
      </c>
      <c r="O34" s="146">
        <f>SI!D1529</f>
        <v>0.12554999999999999</v>
      </c>
      <c r="P34" s="105">
        <f>SI!D1530</f>
        <v>0</v>
      </c>
      <c r="Q34" s="158">
        <f>O34*(1/(1-P34))</f>
        <v>0.12554999999999999</v>
      </c>
      <c r="R34" s="157">
        <f t="shared" si="1"/>
        <v>0.42224644216216223</v>
      </c>
      <c r="S34" s="139">
        <f t="shared" si="2"/>
        <v>17.00135945799531</v>
      </c>
      <c r="T34" s="142">
        <f t="shared" si="6"/>
        <v>20.401631349594371</v>
      </c>
      <c r="U34" s="168">
        <f>SI!D1557</f>
        <v>1.185804160324708</v>
      </c>
      <c r="V34" s="139">
        <f t="shared" si="7"/>
        <v>347.53932014205981</v>
      </c>
      <c r="W34" s="142">
        <f t="shared" si="8"/>
        <v>367.98280956218099</v>
      </c>
      <c r="X34" s="137">
        <f t="shared" si="9"/>
        <v>4554.1812970821711</v>
      </c>
      <c r="Y34" s="106">
        <f t="shared" si="10"/>
        <v>4732.5367416930867</v>
      </c>
    </row>
    <row r="35" spans="1:25" ht="17" x14ac:dyDescent="0.2">
      <c r="A35" s="67" t="s">
        <v>158</v>
      </c>
      <c r="B35" s="4" t="s">
        <v>58</v>
      </c>
      <c r="C35" s="113">
        <f>SI!D1617</f>
        <v>0</v>
      </c>
      <c r="D35" s="137">
        <f>GWP!D33</f>
        <v>0</v>
      </c>
      <c r="E35" s="113">
        <f>SI!D1627</f>
        <v>255.69471624266137</v>
      </c>
      <c r="F35" s="139">
        <f t="shared" si="3"/>
        <v>-255.69471624266137</v>
      </c>
      <c r="G35" s="142">
        <f t="shared" si="4"/>
        <v>-271.62634752355245</v>
      </c>
      <c r="H35" s="140">
        <v>0</v>
      </c>
      <c r="I35" s="113">
        <f>SI!D1634</f>
        <v>5051.8356970562209</v>
      </c>
      <c r="J35" s="113">
        <v>0</v>
      </c>
      <c r="K35" s="113">
        <v>0</v>
      </c>
      <c r="L35" s="113">
        <v>0</v>
      </c>
      <c r="M35" s="139">
        <f>SI!D1634</f>
        <v>5051.8356970562209</v>
      </c>
      <c r="N35" s="151">
        <f t="shared" si="5"/>
        <v>5262.3288511002302</v>
      </c>
      <c r="O35" s="146">
        <f>SI!D1613</f>
        <v>0.12554999999999999</v>
      </c>
      <c r="P35" s="105">
        <f>SI!D1614</f>
        <v>0</v>
      </c>
      <c r="Q35" s="158">
        <f t="shared" ref="Q35:Q37" si="15">O35*(1/(1-P35))</f>
        <v>0.12554999999999999</v>
      </c>
      <c r="R35" s="157">
        <f t="shared" si="1"/>
        <v>0.42224644216216223</v>
      </c>
      <c r="S35" s="139">
        <f t="shared" si="2"/>
        <v>17.00135945799531</v>
      </c>
      <c r="T35" s="142">
        <f t="shared" si="6"/>
        <v>20.401631349594371</v>
      </c>
      <c r="U35" s="168">
        <f>SI!D1641</f>
        <v>4.4359462201927949E-2</v>
      </c>
      <c r="V35" s="139">
        <f t="shared" si="7"/>
        <v>13.001014713343478</v>
      </c>
      <c r="W35" s="142">
        <f t="shared" si="8"/>
        <v>13.765780284716625</v>
      </c>
      <c r="X35" s="137">
        <f t="shared" si="9"/>
        <v>4766.138606642221</v>
      </c>
      <c r="Y35" s="106">
        <f t="shared" si="10"/>
        <v>4956.5350919423663</v>
      </c>
    </row>
    <row r="36" spans="1:25" ht="17" x14ac:dyDescent="0.2">
      <c r="A36" s="67" t="s">
        <v>159</v>
      </c>
      <c r="B36" s="4" t="s">
        <v>58</v>
      </c>
      <c r="C36" s="113">
        <f>SI!D1704</f>
        <v>129.55715010509527</v>
      </c>
      <c r="D36" s="137">
        <f>GWP!D34</f>
        <v>0</v>
      </c>
      <c r="E36" s="113">
        <f>SI!D1710</f>
        <v>60</v>
      </c>
      <c r="F36" s="139">
        <f t="shared" si="3"/>
        <v>69.557150105095275</v>
      </c>
      <c r="G36" s="142">
        <f t="shared" si="4"/>
        <v>73.891063940734725</v>
      </c>
      <c r="H36" s="140">
        <v>0</v>
      </c>
      <c r="I36" s="113">
        <f>SI!D1717</f>
        <v>5051.8356970562209</v>
      </c>
      <c r="J36" s="113">
        <v>0</v>
      </c>
      <c r="K36" s="113">
        <v>0</v>
      </c>
      <c r="L36" s="113">
        <v>0</v>
      </c>
      <c r="M36" s="139">
        <f>SI!D1717</f>
        <v>5051.8356970562209</v>
      </c>
      <c r="N36" s="151">
        <f t="shared" si="5"/>
        <v>5262.3288511002302</v>
      </c>
      <c r="O36" s="146">
        <f>SI!D1696</f>
        <v>0.12554999999999999</v>
      </c>
      <c r="P36" s="105">
        <f>SI!D1697</f>
        <v>0</v>
      </c>
      <c r="Q36" s="158">
        <f>O36*(1/(1-P36))</f>
        <v>0.12554999999999999</v>
      </c>
      <c r="R36" s="157">
        <f t="shared" si="1"/>
        <v>0.42224644216216223</v>
      </c>
      <c r="S36" s="139">
        <f t="shared" si="2"/>
        <v>17.00135945799531</v>
      </c>
      <c r="T36" s="142">
        <f t="shared" si="6"/>
        <v>20.401631349594371</v>
      </c>
      <c r="U36" s="168">
        <f>SI!D1724</f>
        <v>2.3369863013698629</v>
      </c>
      <c r="V36" s="139">
        <f t="shared" si="7"/>
        <v>684.93150684931493</v>
      </c>
      <c r="W36" s="142">
        <f t="shared" si="8"/>
        <v>725.22159548750994</v>
      </c>
      <c r="X36" s="137">
        <f t="shared" si="9"/>
        <v>4419.4599808540061</v>
      </c>
      <c r="Y36" s="106">
        <f t="shared" si="10"/>
        <v>4590.596688203861</v>
      </c>
    </row>
    <row r="37" spans="1:25" ht="17" x14ac:dyDescent="0.2">
      <c r="A37" s="67" t="s">
        <v>160</v>
      </c>
      <c r="B37" s="4" t="s">
        <v>58</v>
      </c>
      <c r="C37" s="113">
        <f>SI!D1788</f>
        <v>0</v>
      </c>
      <c r="D37" s="137">
        <f>GWP!D35</f>
        <v>0</v>
      </c>
      <c r="E37" s="113">
        <f>SI!D1798</f>
        <v>222.17293614553884</v>
      </c>
      <c r="F37" s="139">
        <f t="shared" si="3"/>
        <v>-222.17293614553884</v>
      </c>
      <c r="G37" s="142">
        <f t="shared" si="4"/>
        <v>-236.01591792974017</v>
      </c>
      <c r="H37" s="140">
        <v>0</v>
      </c>
      <c r="I37" s="113">
        <f>SI!D1805</f>
        <v>5051.8356970562209</v>
      </c>
      <c r="J37" s="113">
        <v>0</v>
      </c>
      <c r="K37" s="113">
        <v>0</v>
      </c>
      <c r="L37" s="113">
        <v>0</v>
      </c>
      <c r="M37" s="139">
        <f>SI!D1805</f>
        <v>5051.8356970562209</v>
      </c>
      <c r="N37" s="151">
        <f t="shared" si="5"/>
        <v>5262.3288511002302</v>
      </c>
      <c r="O37" s="146">
        <f>SI!D1784</f>
        <v>0.12554999999999999</v>
      </c>
      <c r="P37" s="105">
        <f>SI!D1785</f>
        <v>0</v>
      </c>
      <c r="Q37" s="158">
        <f t="shared" si="15"/>
        <v>0.12554999999999999</v>
      </c>
      <c r="R37" s="157">
        <f t="shared" si="1"/>
        <v>0.42224644216216223</v>
      </c>
      <c r="S37" s="139">
        <f t="shared" si="2"/>
        <v>17.00135945799531</v>
      </c>
      <c r="T37" s="142">
        <f t="shared" si="6"/>
        <v>20.401631349594371</v>
      </c>
      <c r="U37" s="168">
        <f>SI!D1812</f>
        <v>0</v>
      </c>
      <c r="V37" s="139">
        <f t="shared" si="7"/>
        <v>0</v>
      </c>
      <c r="W37" s="142">
        <f t="shared" si="8"/>
        <v>0</v>
      </c>
      <c r="X37" s="137">
        <f t="shared" si="9"/>
        <v>4812.6614014526867</v>
      </c>
      <c r="Y37" s="106">
        <f t="shared" si="10"/>
        <v>5005.9113018208964</v>
      </c>
    </row>
    <row r="38" spans="1:25" ht="17" x14ac:dyDescent="0.2">
      <c r="A38" s="67" t="s">
        <v>139</v>
      </c>
      <c r="B38" s="4" t="s">
        <v>75</v>
      </c>
      <c r="C38" s="113">
        <f>SI!D1872</f>
        <v>660.96</v>
      </c>
      <c r="D38" s="137">
        <f>GWP!D36</f>
        <v>0</v>
      </c>
      <c r="E38" s="113">
        <f>SI!D1876</f>
        <v>60</v>
      </c>
      <c r="F38" s="139">
        <f t="shared" si="3"/>
        <v>600.96</v>
      </c>
      <c r="G38" s="142">
        <f t="shared" si="4"/>
        <v>638.4041571388517</v>
      </c>
      <c r="H38" s="140">
        <v>0</v>
      </c>
      <c r="I38" s="113">
        <v>0</v>
      </c>
      <c r="J38" s="113">
        <v>0</v>
      </c>
      <c r="K38" s="113">
        <v>0</v>
      </c>
      <c r="L38" s="113">
        <v>0</v>
      </c>
      <c r="M38" s="139">
        <f>SI!D1877</f>
        <v>0</v>
      </c>
      <c r="N38" s="151">
        <f t="shared" si="5"/>
        <v>0</v>
      </c>
      <c r="O38" s="146">
        <f>SI!D1866</f>
        <v>0.05</v>
      </c>
      <c r="P38" s="105">
        <f>SI!D1867</f>
        <v>0</v>
      </c>
      <c r="Q38" s="158">
        <f t="shared" ref="Q38:Q39" si="16">O38*(1/(1-P38))</f>
        <v>0.05</v>
      </c>
      <c r="R38" s="157">
        <f t="shared" si="1"/>
        <v>0.16815867867867867</v>
      </c>
      <c r="S38" s="139">
        <f t="shared" si="2"/>
        <v>6.7707524723199164</v>
      </c>
      <c r="T38" s="142">
        <f t="shared" si="6"/>
        <v>8.1249029667838997</v>
      </c>
      <c r="U38" s="168">
        <f>SI!D1879</f>
        <v>0</v>
      </c>
      <c r="V38" s="139">
        <f t="shared" si="7"/>
        <v>0</v>
      </c>
      <c r="W38" s="142">
        <f t="shared" si="8"/>
        <v>0</v>
      </c>
      <c r="X38" s="137">
        <f t="shared" si="9"/>
        <v>594.1892475276801</v>
      </c>
      <c r="Y38" s="106">
        <f t="shared" si="10"/>
        <v>630.27925417206779</v>
      </c>
    </row>
    <row r="39" spans="1:25" ht="17" x14ac:dyDescent="0.2">
      <c r="A39" s="67" t="s">
        <v>140</v>
      </c>
      <c r="B39" s="4" t="s">
        <v>75</v>
      </c>
      <c r="C39" s="113">
        <f>SI!D1930</f>
        <v>534.38400000000001</v>
      </c>
      <c r="D39" s="137">
        <f>GWP!D37</f>
        <v>0</v>
      </c>
      <c r="E39" s="113">
        <f>SI!D1934</f>
        <v>60</v>
      </c>
      <c r="F39" s="139">
        <f t="shared" si="3"/>
        <v>474.38400000000001</v>
      </c>
      <c r="G39" s="142">
        <f t="shared" si="4"/>
        <v>503.94155631016548</v>
      </c>
      <c r="H39" s="140">
        <v>0</v>
      </c>
      <c r="I39" s="113">
        <v>0</v>
      </c>
      <c r="J39" s="113">
        <v>0</v>
      </c>
      <c r="K39" s="113">
        <v>0</v>
      </c>
      <c r="L39" s="113">
        <v>0</v>
      </c>
      <c r="M39" s="139">
        <f>SI!D1935</f>
        <v>0</v>
      </c>
      <c r="N39" s="151">
        <f t="shared" si="5"/>
        <v>0</v>
      </c>
      <c r="O39" s="146">
        <f>SI!D1924</f>
        <v>0.08</v>
      </c>
      <c r="P39" s="105">
        <f>SI!D1925</f>
        <v>0</v>
      </c>
      <c r="Q39" s="158">
        <f t="shared" si="16"/>
        <v>0.08</v>
      </c>
      <c r="R39" s="157">
        <f t="shared" si="1"/>
        <v>0.26905388588588591</v>
      </c>
      <c r="S39" s="139">
        <f t="shared" si="2"/>
        <v>10.833203955711868</v>
      </c>
      <c r="T39" s="142">
        <f t="shared" si="6"/>
        <v>12.999844746854242</v>
      </c>
      <c r="U39" s="168">
        <f>SI!D1937</f>
        <v>0</v>
      </c>
      <c r="V39" s="139">
        <f t="shared" si="7"/>
        <v>0</v>
      </c>
      <c r="W39" s="142">
        <f t="shared" si="8"/>
        <v>0</v>
      </c>
      <c r="X39" s="137">
        <f t="shared" si="9"/>
        <v>463.55079604428812</v>
      </c>
      <c r="Y39" s="106">
        <f t="shared" si="10"/>
        <v>490.94171156331123</v>
      </c>
    </row>
    <row r="40" spans="1:25" ht="17" x14ac:dyDescent="0.2">
      <c r="A40" s="45" t="s">
        <v>586</v>
      </c>
      <c r="B40" s="4" t="s">
        <v>76</v>
      </c>
      <c r="C40" s="113">
        <f>SI!D1991</f>
        <v>0</v>
      </c>
      <c r="D40" s="137">
        <f>GWP!D38</f>
        <v>0</v>
      </c>
      <c r="E40" s="113">
        <f>SI!D1999</f>
        <v>308.76666666666665</v>
      </c>
      <c r="F40" s="139">
        <f t="shared" si="3"/>
        <v>-308.76666666666665</v>
      </c>
      <c r="G40" s="142">
        <f t="shared" si="4"/>
        <v>-328.00506453991301</v>
      </c>
      <c r="H40" s="140">
        <v>0</v>
      </c>
      <c r="I40" s="113">
        <v>0</v>
      </c>
      <c r="J40" s="113">
        <v>0</v>
      </c>
      <c r="K40" s="116">
        <v>0</v>
      </c>
      <c r="L40" s="113">
        <f>SI!D2007</f>
        <v>1712.0592592592593</v>
      </c>
      <c r="M40" s="139">
        <f>SI!D2007</f>
        <v>1712.0592592592593</v>
      </c>
      <c r="N40" s="151">
        <f t="shared" si="5"/>
        <v>1752.8225749559083</v>
      </c>
      <c r="O40" s="146">
        <f>SI!D1987</f>
        <v>3.7333333333333305E-4</v>
      </c>
      <c r="P40" s="105">
        <f>SI!D1988</f>
        <v>0.9263157894736842</v>
      </c>
      <c r="Q40" s="158">
        <f t="shared" ref="Q40" si="17">O40*(1/(1-P40))</f>
        <v>5.066666666666662E-3</v>
      </c>
      <c r="R40" s="157">
        <f t="shared" si="1"/>
        <v>1.7040079439439425E-2</v>
      </c>
      <c r="S40" s="139">
        <f t="shared" si="2"/>
        <v>0.68610291719508432</v>
      </c>
      <c r="T40" s="142">
        <f t="shared" si="6"/>
        <v>0.8233235006341012</v>
      </c>
      <c r="U40" s="168">
        <f>SI!D2011</f>
        <v>0</v>
      </c>
      <c r="V40" s="139">
        <f t="shared" si="7"/>
        <v>0</v>
      </c>
      <c r="W40" s="142">
        <f t="shared" si="8"/>
        <v>0</v>
      </c>
      <c r="X40" s="137">
        <f t="shared" si="9"/>
        <v>1402.6064896753976</v>
      </c>
      <c r="Y40" s="106">
        <f t="shared" si="10"/>
        <v>1423.9941869153611</v>
      </c>
    </row>
    <row r="41" spans="1:25" ht="17" x14ac:dyDescent="0.2">
      <c r="A41" s="67" t="s">
        <v>142</v>
      </c>
      <c r="B41" s="4" t="s">
        <v>76</v>
      </c>
      <c r="C41" s="113">
        <f>SI!D2062</f>
        <v>0</v>
      </c>
      <c r="D41" s="137">
        <f>GWP!D39</f>
        <v>0</v>
      </c>
      <c r="E41" s="113">
        <f>SI!D2070</f>
        <v>308.76666666666665</v>
      </c>
      <c r="F41" s="139">
        <f t="shared" si="3"/>
        <v>-308.76666666666665</v>
      </c>
      <c r="G41" s="142">
        <f t="shared" si="4"/>
        <v>-328.00506453991301</v>
      </c>
      <c r="H41" s="140">
        <v>0</v>
      </c>
      <c r="I41" s="113">
        <v>0</v>
      </c>
      <c r="J41" s="113">
        <v>0</v>
      </c>
      <c r="K41" s="113">
        <v>0</v>
      </c>
      <c r="L41" s="113">
        <f>SI!D2078</f>
        <v>5113.9111111111106</v>
      </c>
      <c r="M41" s="139">
        <f>SI!D2078</f>
        <v>5113.9111111111106</v>
      </c>
      <c r="N41" s="151">
        <f t="shared" si="5"/>
        <v>5235.6708994708988</v>
      </c>
      <c r="O41" s="146">
        <f>SI!D2058</f>
        <v>3.7333333333333305E-4</v>
      </c>
      <c r="P41" s="105">
        <f>SI!D2059</f>
        <v>0.9263157894736842</v>
      </c>
      <c r="Q41" s="158">
        <f>O41*(1/(1-P41))</f>
        <v>5.066666666666662E-3</v>
      </c>
      <c r="R41" s="157">
        <f t="shared" si="1"/>
        <v>1.7040079439439425E-2</v>
      </c>
      <c r="S41" s="139">
        <f t="shared" si="2"/>
        <v>0.68610291719508432</v>
      </c>
      <c r="T41" s="142">
        <f t="shared" si="6"/>
        <v>0.8233235006341012</v>
      </c>
      <c r="U41" s="168">
        <f>SI!D2087</f>
        <v>11.737749619199999</v>
      </c>
      <c r="V41" s="139">
        <f t="shared" si="7"/>
        <v>3440.1376375146538</v>
      </c>
      <c r="W41" s="142">
        <f t="shared" si="8"/>
        <v>3642.4986750155158</v>
      </c>
      <c r="X41" s="137">
        <f t="shared" si="9"/>
        <v>1364.3207040125953</v>
      </c>
      <c r="Y41" s="106">
        <f t="shared" si="10"/>
        <v>1264.343836414836</v>
      </c>
    </row>
    <row r="42" spans="1:25" ht="17" x14ac:dyDescent="0.2">
      <c r="A42" s="67" t="s">
        <v>141</v>
      </c>
      <c r="B42" s="4" t="s">
        <v>77</v>
      </c>
      <c r="C42" s="113">
        <f>SI!D2133</f>
        <v>0</v>
      </c>
      <c r="D42" s="137">
        <f>GWP!D40</f>
        <v>0</v>
      </c>
      <c r="E42" s="113">
        <f>SI!D2142</f>
        <v>582.28588679245286</v>
      </c>
      <c r="F42" s="139">
        <f t="shared" si="3"/>
        <v>-582.28588679245286</v>
      </c>
      <c r="G42" s="142">
        <f t="shared" si="4"/>
        <v>-618.56651153418647</v>
      </c>
      <c r="H42" s="140">
        <f>SI!D2148</f>
        <v>65.153719461279834</v>
      </c>
      <c r="I42" s="113">
        <f>SI!D2161</f>
        <v>1915.968859538784</v>
      </c>
      <c r="J42" s="113">
        <v>0</v>
      </c>
      <c r="K42" s="113">
        <f>SI!D2170</f>
        <v>800.6254402515724</v>
      </c>
      <c r="L42" s="113">
        <v>0</v>
      </c>
      <c r="M42" s="139">
        <f>SI!D2171</f>
        <v>2781.7480192516364</v>
      </c>
      <c r="N42" s="151">
        <f t="shared" si="5"/>
        <v>2921.7064130904537</v>
      </c>
      <c r="O42" s="146">
        <f>SI!D2129</f>
        <v>1.1642264150943395E-3</v>
      </c>
      <c r="P42" s="105">
        <f>SI!D2130</f>
        <v>0</v>
      </c>
      <c r="Q42" s="159">
        <v>1.1642264150943395E-3</v>
      </c>
      <c r="R42" s="157">
        <f t="shared" si="1"/>
        <v>3.9154955129015812E-3</v>
      </c>
      <c r="S42" s="139">
        <f t="shared" si="2"/>
        <v>0.15765377756680304</v>
      </c>
      <c r="T42" s="142">
        <f t="shared" si="6"/>
        <v>0.18918453308016364</v>
      </c>
      <c r="U42" s="168">
        <f>SI!D2176</f>
        <v>3.7719051991614259E-3</v>
      </c>
      <c r="V42" s="139">
        <f t="shared" si="7"/>
        <v>1.1054821802935011</v>
      </c>
      <c r="W42" s="142">
        <f t="shared" si="8"/>
        <v>1.1705105438401777</v>
      </c>
      <c r="X42" s="137">
        <f t="shared" si="9"/>
        <v>2198.1989965013231</v>
      </c>
      <c r="Y42" s="106">
        <f t="shared" si="10"/>
        <v>2301.7802064793473</v>
      </c>
    </row>
    <row r="43" spans="1:25" ht="17" x14ac:dyDescent="0.2">
      <c r="A43" s="66" t="s">
        <v>73</v>
      </c>
      <c r="B43" s="4" t="s">
        <v>74</v>
      </c>
      <c r="C43" s="113">
        <f>SI!D2231</f>
        <v>0</v>
      </c>
      <c r="D43" s="137">
        <f>GWP!D41</f>
        <v>0</v>
      </c>
      <c r="E43" s="113">
        <f>SI!D2244</f>
        <v>294.61111111111109</v>
      </c>
      <c r="F43" s="139">
        <f t="shared" si="3"/>
        <v>-294.61111111111109</v>
      </c>
      <c r="G43" s="142">
        <f t="shared" si="4"/>
        <v>-312.96751542969491</v>
      </c>
      <c r="H43" s="140">
        <v>0</v>
      </c>
      <c r="I43" s="113">
        <f>SI!D2260</f>
        <v>2062.490299823633</v>
      </c>
      <c r="J43" s="113">
        <v>0</v>
      </c>
      <c r="K43" s="113">
        <f>SI!D2256</f>
        <v>709.49443856554967</v>
      </c>
      <c r="L43" s="113">
        <f>SI!D2250</f>
        <v>1088.8888888888889</v>
      </c>
      <c r="M43" s="139">
        <f>SI!D2261</f>
        <v>3860.8736272780716</v>
      </c>
      <c r="N43" s="151">
        <f t="shared" si="5"/>
        <v>4014.4716160044263</v>
      </c>
      <c r="O43" s="146">
        <f>SI!D2227</f>
        <v>0</v>
      </c>
      <c r="P43" s="105">
        <f>SI!D2228</f>
        <v>0</v>
      </c>
      <c r="Q43" s="159">
        <v>1E-3</v>
      </c>
      <c r="R43" s="157">
        <f t="shared" si="1"/>
        <v>3.3631735735735737E-3</v>
      </c>
      <c r="S43" s="139">
        <f t="shared" si="2"/>
        <v>0.13541504944639832</v>
      </c>
      <c r="T43" s="142">
        <f t="shared" si="6"/>
        <v>0.16249805933567799</v>
      </c>
      <c r="U43" s="168">
        <f>SI!D2267</f>
        <v>0.32072800000000001</v>
      </c>
      <c r="V43" s="139">
        <f t="shared" si="7"/>
        <v>94</v>
      </c>
      <c r="W43" s="142">
        <f t="shared" si="8"/>
        <v>99.529411764705884</v>
      </c>
      <c r="X43" s="137">
        <f t="shared" si="9"/>
        <v>3472.127101117514</v>
      </c>
      <c r="Y43" s="106">
        <f t="shared" si="10"/>
        <v>3601.8121907506902</v>
      </c>
    </row>
    <row r="44" spans="1:25" ht="18" thickBot="1" x14ac:dyDescent="0.25">
      <c r="A44" s="80" t="s">
        <v>161</v>
      </c>
      <c r="B44" s="4" t="s">
        <v>96</v>
      </c>
      <c r="C44" s="113">
        <f>SI!D2334</f>
        <v>178.66666666666666</v>
      </c>
      <c r="D44" s="137">
        <f>GWP!D42</f>
        <v>0</v>
      </c>
      <c r="E44" s="113">
        <f>SI!D2338</f>
        <v>0</v>
      </c>
      <c r="F44" s="139">
        <f t="shared" si="3"/>
        <v>178.66666666666666</v>
      </c>
      <c r="G44" s="143">
        <f t="shared" si="4"/>
        <v>189.79889300808955</v>
      </c>
      <c r="H44" s="140">
        <v>0</v>
      </c>
      <c r="I44" s="113">
        <v>0</v>
      </c>
      <c r="J44" s="113">
        <v>0</v>
      </c>
      <c r="K44" s="113">
        <v>0</v>
      </c>
      <c r="L44" s="113">
        <f>SI!D2350</f>
        <v>1040.7407407407406</v>
      </c>
      <c r="M44" s="144">
        <f>SI!D2350</f>
        <v>1040.7407407407406</v>
      </c>
      <c r="N44" s="151">
        <f t="shared" si="5"/>
        <v>1065.5202821869486</v>
      </c>
      <c r="O44" s="145">
        <f>SI!D2328</f>
        <v>0.34079999999999994</v>
      </c>
      <c r="P44" s="115">
        <f>SI!D2329</f>
        <v>0.8</v>
      </c>
      <c r="Q44" s="158">
        <f t="shared" ref="Q44" si="18">O44*(1/(1-P44))</f>
        <v>1.704</v>
      </c>
      <c r="R44" s="157">
        <f t="shared" si="1"/>
        <v>5.7308477693693689</v>
      </c>
      <c r="S44" s="139">
        <f t="shared" si="2"/>
        <v>230.74724425666275</v>
      </c>
      <c r="T44" s="143">
        <f t="shared" si="6"/>
        <v>276.8966931079953</v>
      </c>
      <c r="U44" s="168">
        <f>SI!D2353</f>
        <v>0</v>
      </c>
      <c r="V44" s="139">
        <f t="shared" si="7"/>
        <v>0</v>
      </c>
      <c r="W44" s="143">
        <f t="shared" si="8"/>
        <v>0</v>
      </c>
      <c r="X44" s="137">
        <f t="shared" si="9"/>
        <v>988.66016315074467</v>
      </c>
      <c r="Y44" s="106">
        <f t="shared" si="10"/>
        <v>978.42248208704291</v>
      </c>
    </row>
  </sheetData>
  <phoneticPr fontId="7" type="noConversion"/>
  <pageMargins left="0.25" right="0.25" top="0.75" bottom="0.75" header="0.3" footer="0.3"/>
  <pageSetup scale="1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60D9-0004-224E-8C2B-001F9113E4D1}">
  <sheetPr codeName="Sheet5">
    <tabColor theme="2" tint="-0.249977111117893"/>
    <pageSetUpPr fitToPage="1"/>
  </sheetPr>
  <dimension ref="A1:AH46"/>
  <sheetViews>
    <sheetView zoomScaleNormal="100" workbookViewId="0">
      <pane xSplit="1" ySplit="7" topLeftCell="Q8" activePane="bottomRight" state="frozen"/>
      <selection pane="topRight"/>
      <selection pane="bottomLeft"/>
      <selection pane="bottomRight" activeCell="A17" activeCellId="1" sqref="A16:XFD16 A17:XFD17"/>
    </sheetView>
  </sheetViews>
  <sheetFormatPr baseColWidth="10" defaultColWidth="10.83203125" defaultRowHeight="16" x14ac:dyDescent="0.2"/>
  <cols>
    <col min="1" max="1" width="31.1640625" style="4" customWidth="1"/>
    <col min="2" max="2" width="33.83203125" style="4" customWidth="1"/>
    <col min="3" max="4" width="20.1640625" style="11" customWidth="1"/>
    <col min="5" max="8" width="20.1640625" style="4" customWidth="1"/>
    <col min="9" max="9" width="12.83203125" style="4" bestFit="1" customWidth="1"/>
    <col min="10" max="10" width="19.6640625" style="13" customWidth="1"/>
    <col min="11" max="11" width="14.1640625" style="13" bestFit="1" customWidth="1"/>
    <col min="12" max="12" width="20.1640625" style="13" customWidth="1"/>
    <col min="13" max="13" width="20.1640625" style="76" customWidth="1"/>
    <col min="14" max="14" width="12.33203125" style="102" customWidth="1"/>
    <col min="15" max="15" width="12.83203125" style="76" customWidth="1"/>
    <col min="16" max="16" width="12.83203125" style="99" bestFit="1" customWidth="1"/>
    <col min="17" max="17" width="20.1640625" style="13" customWidth="1"/>
    <col min="18" max="18" width="16.1640625" style="13" bestFit="1" customWidth="1"/>
    <col min="19" max="19" width="20.1640625" style="13" customWidth="1"/>
    <col min="20" max="20" width="16.1640625" style="13" bestFit="1" customWidth="1"/>
    <col min="21" max="25" width="14" style="13" customWidth="1"/>
    <col min="26" max="26" width="16.1640625" style="13" customWidth="1"/>
    <col min="27" max="27" width="20.1640625" style="11" customWidth="1"/>
    <col min="28" max="28" width="20.1640625" style="13" customWidth="1"/>
    <col min="29" max="29" width="20.1640625" style="5" customWidth="1"/>
    <col min="30" max="31" width="10.83203125" style="5"/>
    <col min="32" max="32" width="11" style="5" customWidth="1"/>
    <col min="33" max="16384" width="10.83203125" style="5"/>
  </cols>
  <sheetData>
    <row r="1" spans="1:34" x14ac:dyDescent="0.2">
      <c r="A1" s="57" t="s">
        <v>101</v>
      </c>
      <c r="AD1" s="39"/>
      <c r="AH1" s="61"/>
    </row>
    <row r="2" spans="1:34" x14ac:dyDescent="0.2">
      <c r="A2" s="7"/>
      <c r="B2" s="5"/>
      <c r="C2" s="5"/>
      <c r="H2" s="40"/>
      <c r="I2" s="40"/>
      <c r="AD2" s="39"/>
      <c r="AH2" s="61"/>
    </row>
    <row r="3" spans="1:34" x14ac:dyDescent="0.2">
      <c r="A3" s="7"/>
      <c r="B3" s="39"/>
      <c r="C3" s="41"/>
      <c r="H3" s="40"/>
      <c r="I3" s="40"/>
      <c r="AD3" s="39"/>
      <c r="AH3" s="61"/>
    </row>
    <row r="4" spans="1:34" ht="51" x14ac:dyDescent="0.2">
      <c r="A4" s="7"/>
      <c r="B4" s="39"/>
      <c r="C4" s="41"/>
      <c r="D4" s="68" t="s">
        <v>117</v>
      </c>
      <c r="E4" s="68" t="s">
        <v>118</v>
      </c>
      <c r="F4" s="68"/>
      <c r="G4" s="68" t="s">
        <v>903</v>
      </c>
      <c r="H4" s="13" t="s">
        <v>905</v>
      </c>
      <c r="I4" s="13"/>
      <c r="K4" s="13" t="s">
        <v>908</v>
      </c>
      <c r="L4" s="68" t="s">
        <v>122</v>
      </c>
      <c r="M4" s="77" t="s">
        <v>120</v>
      </c>
      <c r="N4" s="103"/>
      <c r="O4" s="77"/>
      <c r="P4" s="100"/>
      <c r="Q4" s="68" t="s">
        <v>121</v>
      </c>
      <c r="R4" s="68" t="s">
        <v>119</v>
      </c>
      <c r="S4" s="68" t="s">
        <v>124</v>
      </c>
      <c r="T4" s="68" t="s">
        <v>119</v>
      </c>
      <c r="U4" s="11" t="s">
        <v>908</v>
      </c>
      <c r="V4" s="11" t="s">
        <v>911</v>
      </c>
      <c r="W4" s="11" t="s">
        <v>922</v>
      </c>
      <c r="X4" s="11" t="s">
        <v>923</v>
      </c>
      <c r="Y4" s="11" t="s">
        <v>924</v>
      </c>
      <c r="Z4" s="11"/>
      <c r="AD4" s="39"/>
      <c r="AE4" s="4"/>
      <c r="AF4" s="40"/>
      <c r="AG4" s="9"/>
      <c r="AH4" s="61"/>
    </row>
    <row r="5" spans="1:34" x14ac:dyDescent="0.2">
      <c r="A5" s="7"/>
      <c r="B5" s="42"/>
      <c r="C5" s="58"/>
      <c r="D5" s="78">
        <v>50.048000000000002</v>
      </c>
      <c r="E5" s="78">
        <v>0.55000000000000004</v>
      </c>
      <c r="G5" s="181">
        <f>EF_elec!C7</f>
        <v>413.90186</v>
      </c>
      <c r="H5" s="183">
        <v>434</v>
      </c>
      <c r="J5" s="185"/>
      <c r="K5" s="191">
        <v>454</v>
      </c>
      <c r="L5" s="192">
        <v>250</v>
      </c>
      <c r="M5" s="193">
        <v>25</v>
      </c>
      <c r="N5" s="194"/>
      <c r="O5" s="195"/>
      <c r="Q5" s="72">
        <f>0.04*0.012*44/28*1000</f>
        <v>0.75428571428571423</v>
      </c>
      <c r="R5" s="79">
        <v>298</v>
      </c>
      <c r="S5" s="72">
        <f>0.04*(161.3-0.14*875)/100*44/28*1000</f>
        <v>24.388571428571424</v>
      </c>
      <c r="T5" s="79">
        <v>298</v>
      </c>
      <c r="U5" s="206">
        <v>454</v>
      </c>
      <c r="V5" s="206">
        <v>319</v>
      </c>
      <c r="W5" s="206">
        <v>460</v>
      </c>
      <c r="X5" s="206">
        <v>434</v>
      </c>
      <c r="Y5" s="206">
        <v>1023</v>
      </c>
      <c r="Z5" s="206"/>
      <c r="AD5" s="39"/>
      <c r="AE5" s="4"/>
      <c r="AF5" s="40"/>
      <c r="AG5" s="70"/>
      <c r="AH5" s="61"/>
    </row>
    <row r="6" spans="1:34" s="94" customFormat="1" ht="18" thickBot="1" x14ac:dyDescent="0.25">
      <c r="A6" s="92"/>
      <c r="B6" s="92"/>
      <c r="C6" s="92" t="s">
        <v>163</v>
      </c>
      <c r="D6" s="92" t="s">
        <v>164</v>
      </c>
      <c r="E6" s="4" t="s">
        <v>1015</v>
      </c>
      <c r="F6" s="92"/>
      <c r="G6" s="92"/>
      <c r="H6" s="13" t="s">
        <v>163</v>
      </c>
      <c r="I6" s="92"/>
      <c r="J6" s="13"/>
      <c r="K6" s="92" t="s">
        <v>164</v>
      </c>
      <c r="L6" s="13" t="s">
        <v>163</v>
      </c>
      <c r="M6" s="76" t="s">
        <v>163</v>
      </c>
      <c r="N6" s="102"/>
      <c r="O6" s="76" t="s">
        <v>165</v>
      </c>
      <c r="P6" s="101" t="s">
        <v>164</v>
      </c>
      <c r="Q6" s="92" t="s">
        <v>163</v>
      </c>
      <c r="R6" s="92" t="s">
        <v>164</v>
      </c>
      <c r="S6" s="92" t="s">
        <v>163</v>
      </c>
      <c r="T6" s="92" t="s">
        <v>164</v>
      </c>
      <c r="U6" s="92"/>
      <c r="V6" s="92"/>
      <c r="W6" s="92"/>
      <c r="X6" s="92"/>
      <c r="Y6" s="92"/>
      <c r="Z6" s="92"/>
      <c r="AA6" s="92" t="s">
        <v>166</v>
      </c>
      <c r="AB6" s="92" t="s">
        <v>164</v>
      </c>
      <c r="AC6" s="94" t="s">
        <v>164</v>
      </c>
    </row>
    <row r="7" spans="1:34" s="12" customFormat="1" ht="86" thickBot="1" x14ac:dyDescent="0.25">
      <c r="A7" s="69" t="s">
        <v>9</v>
      </c>
      <c r="B7" s="71" t="s">
        <v>8</v>
      </c>
      <c r="C7" s="176" t="s">
        <v>123</v>
      </c>
      <c r="D7" s="177" t="s">
        <v>116</v>
      </c>
      <c r="E7" s="156" t="s">
        <v>99</v>
      </c>
      <c r="F7" s="178" t="s">
        <v>902</v>
      </c>
      <c r="G7" s="179" t="s">
        <v>904</v>
      </c>
      <c r="H7" s="184" t="s">
        <v>906</v>
      </c>
      <c r="I7" s="186" t="s">
        <v>921</v>
      </c>
      <c r="J7" s="188" t="s">
        <v>907</v>
      </c>
      <c r="K7" s="182" t="s">
        <v>920</v>
      </c>
      <c r="L7" s="196" t="s">
        <v>102</v>
      </c>
      <c r="M7" s="197" t="s">
        <v>114</v>
      </c>
      <c r="N7" s="198" t="s">
        <v>909</v>
      </c>
      <c r="O7" s="197" t="s">
        <v>910</v>
      </c>
      <c r="P7" s="203" t="s">
        <v>921</v>
      </c>
      <c r="Q7" s="202" t="s">
        <v>113</v>
      </c>
      <c r="R7" s="75" t="s">
        <v>921</v>
      </c>
      <c r="S7" s="73" t="s">
        <v>125</v>
      </c>
      <c r="T7" s="75" t="s">
        <v>921</v>
      </c>
      <c r="U7" s="154" t="s">
        <v>882</v>
      </c>
      <c r="V7" s="152" t="s">
        <v>912</v>
      </c>
      <c r="W7" s="152" t="s">
        <v>913</v>
      </c>
      <c r="X7" s="152" t="s">
        <v>914</v>
      </c>
      <c r="Y7" s="153" t="s">
        <v>915</v>
      </c>
      <c r="Z7" s="111" t="s">
        <v>916</v>
      </c>
      <c r="AA7" s="208" t="s">
        <v>203</v>
      </c>
      <c r="AB7" s="74" t="s">
        <v>147</v>
      </c>
      <c r="AC7" s="74" t="s">
        <v>148</v>
      </c>
    </row>
    <row r="8" spans="1:34" ht="17" x14ac:dyDescent="0.2">
      <c r="A8" s="128" t="s">
        <v>777</v>
      </c>
      <c r="B8" s="4" t="s">
        <v>109</v>
      </c>
      <c r="C8" s="160">
        <f>'Energy Balance'!C10</f>
        <v>0</v>
      </c>
      <c r="D8" s="160">
        <f t="shared" ref="D8:D42" si="0">N8*O8*$D$5/3.6*$E$5</f>
        <v>0</v>
      </c>
      <c r="E8" s="160">
        <f>'Energy Balance'!E10</f>
        <v>60</v>
      </c>
      <c r="F8" s="150">
        <f>C8+D8-E8</f>
        <v>-60</v>
      </c>
      <c r="G8" s="151">
        <f>-F8*$G$5/1000</f>
        <v>24.8341116</v>
      </c>
      <c r="H8" s="187">
        <f>'Energy Balance'!V10</f>
        <v>0</v>
      </c>
      <c r="I8" s="142">
        <f>H8*$H$5/1000</f>
        <v>0</v>
      </c>
      <c r="J8" s="189">
        <f>'Energy Balance'!S10</f>
        <v>677.07524723199174</v>
      </c>
      <c r="K8" s="190">
        <f>J8*$K$5/1000</f>
        <v>307.39216224332426</v>
      </c>
      <c r="L8" s="199">
        <f>'Energy Balance'!O10</f>
        <v>1</v>
      </c>
      <c r="M8" s="115">
        <f>SI!D9</f>
        <v>0.8</v>
      </c>
      <c r="N8" s="200">
        <f>L8*M8*0.5*(16/12)*1*(1-0.25)*0.5*1000</f>
        <v>200</v>
      </c>
      <c r="O8" s="201">
        <f>SI!D10</f>
        <v>0</v>
      </c>
      <c r="P8" s="204">
        <f>N8*(1-O8)*$M$5</f>
        <v>5000</v>
      </c>
      <c r="Q8" s="145">
        <f>SI!D19</f>
        <v>0</v>
      </c>
      <c r="R8" s="108">
        <f>$Q$5*$R$5*Q8</f>
        <v>0</v>
      </c>
      <c r="S8" s="114">
        <f>SI!D21</f>
        <v>0</v>
      </c>
      <c r="T8" s="112">
        <f>$S$5*$T$5*S8</f>
        <v>0</v>
      </c>
      <c r="U8" s="138">
        <f>'Energy Balance'!H10</f>
        <v>0</v>
      </c>
      <c r="V8" s="138">
        <f>'Energy Balance'!I10</f>
        <v>0</v>
      </c>
      <c r="W8" s="138">
        <f>'Energy Balance'!J10</f>
        <v>0</v>
      </c>
      <c r="X8" s="138">
        <f>'Energy Balance'!K10</f>
        <v>0</v>
      </c>
      <c r="Y8" s="144">
        <f>'Energy Balance'!L10</f>
        <v>0</v>
      </c>
      <c r="Z8" s="207">
        <f>(U8*$U$5+V8*$V$5+W8*$W$5+X8*$X$5+Y8*$Y$5)/1000</f>
        <v>0</v>
      </c>
      <c r="AA8" s="113">
        <f>SI!D24</f>
        <v>0</v>
      </c>
      <c r="AB8" s="112">
        <f t="shared" ref="AB8:AB42" si="1">G8+I8+K8+P8+R8+T8-Z8-AA8</f>
        <v>5332.2262738433246</v>
      </c>
      <c r="AC8" s="107">
        <f>AB8/1000</f>
        <v>5.3322262738433244</v>
      </c>
    </row>
    <row r="9" spans="1:34" ht="17" x14ac:dyDescent="0.2">
      <c r="A9" s="128" t="s">
        <v>781</v>
      </c>
      <c r="B9" s="4" t="s">
        <v>109</v>
      </c>
      <c r="C9" s="137">
        <f>'Energy Balance'!C11</f>
        <v>0</v>
      </c>
      <c r="D9" s="137">
        <f>N9*O9*$D$5/3.6*$E$5</f>
        <v>1223.3955555555556</v>
      </c>
      <c r="E9" s="137">
        <f>'Energy Balance'!E11</f>
        <v>60</v>
      </c>
      <c r="F9" s="139">
        <f t="shared" ref="F9:F42" si="2">C9+D9-E9</f>
        <v>1163.3955555555556</v>
      </c>
      <c r="G9" s="151">
        <f t="shared" ref="G9:G42" si="3">-F9*$G$5/1000</f>
        <v>-481.53158436017782</v>
      </c>
      <c r="H9" s="187">
        <f>'Energy Balance'!V11</f>
        <v>0</v>
      </c>
      <c r="I9" s="142">
        <f t="shared" ref="I9:I42" si="4">H9*$H$5/1000</f>
        <v>0</v>
      </c>
      <c r="J9" s="189">
        <f>'Energy Balance'!S11</f>
        <v>677.07524723199174</v>
      </c>
      <c r="K9" s="190">
        <f t="shared" ref="K9:K42" si="5">J9*$K$5/1000</f>
        <v>307.39216224332426</v>
      </c>
      <c r="L9" s="199">
        <f>'Energy Balance'!O11</f>
        <v>1</v>
      </c>
      <c r="M9" s="115">
        <f>SI!D48</f>
        <v>0.8</v>
      </c>
      <c r="N9" s="200">
        <f t="shared" ref="N9:N42" si="6">L9*M9*0.5*(16/12)*1*(1-0.25)*0.5*1000</f>
        <v>200</v>
      </c>
      <c r="O9" s="201">
        <f>SI!D49</f>
        <v>0.8</v>
      </c>
      <c r="P9" s="204">
        <f>N9*(1-O9)*$M$5</f>
        <v>999.99999999999977</v>
      </c>
      <c r="Q9" s="145">
        <f>SI!D58</f>
        <v>0</v>
      </c>
      <c r="R9" s="108">
        <f t="shared" ref="R9:R42" si="7">$Q$5*$R$5*Q9</f>
        <v>0</v>
      </c>
      <c r="S9" s="114">
        <f>SI!D60</f>
        <v>0</v>
      </c>
      <c r="T9" s="112">
        <f t="shared" ref="T9:T42" si="8">$S$5*$T$5*S9</f>
        <v>0</v>
      </c>
      <c r="U9" s="138">
        <f>'Energy Balance'!H11</f>
        <v>0</v>
      </c>
      <c r="V9" s="138">
        <f>'Energy Balance'!I11</f>
        <v>0</v>
      </c>
      <c r="W9" s="138">
        <f>'Energy Balance'!J11</f>
        <v>0</v>
      </c>
      <c r="X9" s="138">
        <f>'Energy Balance'!K11</f>
        <v>0</v>
      </c>
      <c r="Y9" s="144">
        <f>'Energy Balance'!L11</f>
        <v>0</v>
      </c>
      <c r="Z9" s="207">
        <f t="shared" ref="Z9:Z42" si="9">(U9*$U$5+V9*$V$5+W9*$W$5+X9*$X$5+Y9*$Y$5)/1000</f>
        <v>0</v>
      </c>
      <c r="AA9" s="113">
        <f>SI!D63</f>
        <v>0</v>
      </c>
      <c r="AB9" s="112">
        <f t="shared" si="1"/>
        <v>825.86057788314622</v>
      </c>
      <c r="AC9" s="107">
        <f t="shared" ref="AC9:AC42" si="10">AB9/1000</f>
        <v>0.82586057788314626</v>
      </c>
    </row>
    <row r="10" spans="1:34" ht="17" x14ac:dyDescent="0.2">
      <c r="A10" s="65" t="s">
        <v>126</v>
      </c>
      <c r="B10" s="4" t="s">
        <v>109</v>
      </c>
      <c r="C10" s="137">
        <f>'Energy Balance'!C12</f>
        <v>0</v>
      </c>
      <c r="D10" s="137">
        <f t="shared" si="0"/>
        <v>0</v>
      </c>
      <c r="E10" s="137">
        <f>'Energy Balance'!E12</f>
        <v>60</v>
      </c>
      <c r="F10" s="139">
        <f t="shared" si="2"/>
        <v>-60</v>
      </c>
      <c r="G10" s="151">
        <f t="shared" si="3"/>
        <v>24.8341116</v>
      </c>
      <c r="H10" s="187">
        <f>'Energy Balance'!V12</f>
        <v>2500</v>
      </c>
      <c r="I10" s="142">
        <f t="shared" si="4"/>
        <v>1085</v>
      </c>
      <c r="J10" s="189">
        <f>'Energy Balance'!S12</f>
        <v>270.83009889279663</v>
      </c>
      <c r="K10" s="190">
        <f t="shared" si="5"/>
        <v>122.95686489732967</v>
      </c>
      <c r="L10" s="199">
        <f>'Energy Balance'!O12</f>
        <v>1</v>
      </c>
      <c r="M10" s="115">
        <f>SI!D88</f>
        <v>0.8</v>
      </c>
      <c r="N10" s="200">
        <f t="shared" si="6"/>
        <v>200</v>
      </c>
      <c r="O10" s="201">
        <f>SI!D89</f>
        <v>0</v>
      </c>
      <c r="P10" s="204">
        <f t="shared" ref="P10:P42" si="11">N10*(1-O10)*$M$5</f>
        <v>5000</v>
      </c>
      <c r="Q10" s="145">
        <f>SI!D99</f>
        <v>0</v>
      </c>
      <c r="R10" s="108">
        <f t="shared" si="7"/>
        <v>0</v>
      </c>
      <c r="S10" s="114">
        <f>SI!D101</f>
        <v>0</v>
      </c>
      <c r="T10" s="112">
        <f t="shared" si="8"/>
        <v>0</v>
      </c>
      <c r="U10" s="138">
        <f>'Energy Balance'!H12</f>
        <v>0</v>
      </c>
      <c r="V10" s="138">
        <f>'Energy Balance'!I12</f>
        <v>0</v>
      </c>
      <c r="W10" s="138">
        <f>'Energy Balance'!J12</f>
        <v>0</v>
      </c>
      <c r="X10" s="138">
        <f>'Energy Balance'!K12</f>
        <v>0</v>
      </c>
      <c r="Y10" s="144">
        <f>'Energy Balance'!L12</f>
        <v>0</v>
      </c>
      <c r="Z10" s="207">
        <f t="shared" si="9"/>
        <v>0</v>
      </c>
      <c r="AA10" s="113">
        <f>SI!D104</f>
        <v>0</v>
      </c>
      <c r="AB10" s="112">
        <f t="shared" si="1"/>
        <v>6232.7909764973301</v>
      </c>
      <c r="AC10" s="107">
        <f t="shared" si="10"/>
        <v>6.2327909764973297</v>
      </c>
    </row>
    <row r="11" spans="1:34" ht="17" x14ac:dyDescent="0.2">
      <c r="A11" s="65" t="s">
        <v>143</v>
      </c>
      <c r="B11" s="4" t="s">
        <v>109</v>
      </c>
      <c r="C11" s="137">
        <f>'Energy Balance'!C13</f>
        <v>0</v>
      </c>
      <c r="D11" s="137">
        <f t="shared" si="0"/>
        <v>1223.3955555555556</v>
      </c>
      <c r="E11" s="137">
        <f>'Energy Balance'!E13</f>
        <v>60</v>
      </c>
      <c r="F11" s="139">
        <f t="shared" si="2"/>
        <v>1163.3955555555556</v>
      </c>
      <c r="G11" s="151">
        <f t="shared" si="3"/>
        <v>-481.53158436017782</v>
      </c>
      <c r="H11" s="187">
        <f>'Energy Balance'!V13</f>
        <v>2500</v>
      </c>
      <c r="I11" s="142">
        <f t="shared" si="4"/>
        <v>1085</v>
      </c>
      <c r="J11" s="189">
        <f>'Energy Balance'!S13</f>
        <v>270.83009889279663</v>
      </c>
      <c r="K11" s="190">
        <f t="shared" si="5"/>
        <v>122.95686489732967</v>
      </c>
      <c r="L11" s="199">
        <f>'Energy Balance'!O13</f>
        <v>1</v>
      </c>
      <c r="M11" s="115">
        <f>SI!D133</f>
        <v>0.8</v>
      </c>
      <c r="N11" s="200">
        <f t="shared" si="6"/>
        <v>200</v>
      </c>
      <c r="O11" s="201">
        <f>SI!D134</f>
        <v>0.8</v>
      </c>
      <c r="P11" s="204">
        <f t="shared" si="11"/>
        <v>999.99999999999977</v>
      </c>
      <c r="Q11" s="145">
        <f>SI!D144</f>
        <v>0</v>
      </c>
      <c r="R11" s="108">
        <f t="shared" si="7"/>
        <v>0</v>
      </c>
      <c r="S11" s="114">
        <f>SI!D146</f>
        <v>0</v>
      </c>
      <c r="T11" s="112">
        <f t="shared" si="8"/>
        <v>0</v>
      </c>
      <c r="U11" s="138">
        <f>'Energy Balance'!H13</f>
        <v>0</v>
      </c>
      <c r="V11" s="138">
        <f>'Energy Balance'!I13</f>
        <v>0</v>
      </c>
      <c r="W11" s="138">
        <f>'Energy Balance'!J13</f>
        <v>0</v>
      </c>
      <c r="X11" s="138">
        <f>'Energy Balance'!K13</f>
        <v>0</v>
      </c>
      <c r="Y11" s="144">
        <f>'Energy Balance'!L13</f>
        <v>0</v>
      </c>
      <c r="Z11" s="207">
        <f t="shared" si="9"/>
        <v>0</v>
      </c>
      <c r="AA11" s="113">
        <f>SI!D149</f>
        <v>0</v>
      </c>
      <c r="AB11" s="112">
        <f t="shared" si="1"/>
        <v>1726.4252805371516</v>
      </c>
      <c r="AC11" s="107">
        <f t="shared" si="10"/>
        <v>1.7264252805371516</v>
      </c>
    </row>
    <row r="12" spans="1:34" ht="17" x14ac:dyDescent="0.2">
      <c r="A12" s="128" t="s">
        <v>778</v>
      </c>
      <c r="B12" s="4" t="s">
        <v>109</v>
      </c>
      <c r="C12" s="137">
        <f>'Energy Balance'!C14</f>
        <v>0</v>
      </c>
      <c r="D12" s="137">
        <f t="shared" si="0"/>
        <v>0</v>
      </c>
      <c r="E12" s="137">
        <f>'Energy Balance'!E14</f>
        <v>60</v>
      </c>
      <c r="F12" s="139">
        <f t="shared" si="2"/>
        <v>-60</v>
      </c>
      <c r="G12" s="151">
        <f t="shared" si="3"/>
        <v>24.8341116</v>
      </c>
      <c r="H12" s="187">
        <f>'Energy Balance'!V14</f>
        <v>0</v>
      </c>
      <c r="I12" s="142">
        <f t="shared" si="4"/>
        <v>0</v>
      </c>
      <c r="J12" s="189">
        <f>'Energy Balance'!S14</f>
        <v>677.07524723199174</v>
      </c>
      <c r="K12" s="190">
        <f t="shared" si="5"/>
        <v>307.39216224332426</v>
      </c>
      <c r="L12" s="199">
        <v>0</v>
      </c>
      <c r="M12" s="115">
        <f>SI!D178</f>
        <v>0</v>
      </c>
      <c r="N12" s="200">
        <f t="shared" si="6"/>
        <v>0</v>
      </c>
      <c r="O12" s="201">
        <f>SI!D179</f>
        <v>0</v>
      </c>
      <c r="P12" s="204">
        <f t="shared" si="11"/>
        <v>0</v>
      </c>
      <c r="Q12" s="145">
        <f>SI!D189</f>
        <v>1</v>
      </c>
      <c r="R12" s="112">
        <f>$Q$5*$R$5*Q12</f>
        <v>224.77714285714285</v>
      </c>
      <c r="S12" s="114">
        <f>SI!D191</f>
        <v>0</v>
      </c>
      <c r="T12" s="112">
        <f t="shared" si="8"/>
        <v>0</v>
      </c>
      <c r="U12" s="138">
        <f>'Energy Balance'!H14</f>
        <v>0</v>
      </c>
      <c r="V12" s="138">
        <f>'Energy Balance'!I14</f>
        <v>0</v>
      </c>
      <c r="W12" s="138">
        <f>'Energy Balance'!J14</f>
        <v>0</v>
      </c>
      <c r="X12" s="138">
        <f>'Energy Balance'!K14</f>
        <v>0</v>
      </c>
      <c r="Y12" s="144">
        <f>'Energy Balance'!L14</f>
        <v>0</v>
      </c>
      <c r="Z12" s="207">
        <f t="shared" si="9"/>
        <v>0</v>
      </c>
      <c r="AA12" s="113">
        <f>SI!D194</f>
        <v>130</v>
      </c>
      <c r="AB12" s="112">
        <f t="shared" si="1"/>
        <v>427.00341670046714</v>
      </c>
      <c r="AC12" s="107">
        <f t="shared" si="10"/>
        <v>0.42700341670046715</v>
      </c>
    </row>
    <row r="13" spans="1:34" ht="17" x14ac:dyDescent="0.2">
      <c r="A13" s="65" t="s">
        <v>127</v>
      </c>
      <c r="B13" s="4" t="s">
        <v>109</v>
      </c>
      <c r="C13" s="137">
        <f>'Energy Balance'!C15</f>
        <v>0</v>
      </c>
      <c r="D13" s="137">
        <f t="shared" si="0"/>
        <v>0</v>
      </c>
      <c r="E13" s="137">
        <f>'Energy Balance'!E15</f>
        <v>60</v>
      </c>
      <c r="F13" s="139">
        <f t="shared" si="2"/>
        <v>-60</v>
      </c>
      <c r="G13" s="151">
        <f t="shared" si="3"/>
        <v>24.8341116</v>
      </c>
      <c r="H13" s="187">
        <f>'Energy Balance'!V15</f>
        <v>2500</v>
      </c>
      <c r="I13" s="142">
        <f t="shared" si="4"/>
        <v>1085</v>
      </c>
      <c r="J13" s="189">
        <f>'Energy Balance'!S15</f>
        <v>270.83009889279663</v>
      </c>
      <c r="K13" s="190">
        <f t="shared" si="5"/>
        <v>122.95686489732967</v>
      </c>
      <c r="L13" s="199">
        <v>0</v>
      </c>
      <c r="M13" s="115">
        <f>SI!D219</f>
        <v>0</v>
      </c>
      <c r="N13" s="200">
        <f t="shared" si="6"/>
        <v>0</v>
      </c>
      <c r="O13" s="201">
        <f>SI!D220</f>
        <v>0</v>
      </c>
      <c r="P13" s="204">
        <f t="shared" si="11"/>
        <v>0</v>
      </c>
      <c r="Q13" s="145">
        <f>SI!D230</f>
        <v>1</v>
      </c>
      <c r="R13" s="112">
        <f t="shared" si="7"/>
        <v>224.77714285714285</v>
      </c>
      <c r="S13" s="114">
        <f>SI!D232</f>
        <v>0</v>
      </c>
      <c r="T13" s="112">
        <f t="shared" si="8"/>
        <v>0</v>
      </c>
      <c r="U13" s="138">
        <f>'Energy Balance'!H15</f>
        <v>0</v>
      </c>
      <c r="V13" s="138">
        <f>'Energy Balance'!I15</f>
        <v>0</v>
      </c>
      <c r="W13" s="138">
        <f>'Energy Balance'!J15</f>
        <v>0</v>
      </c>
      <c r="X13" s="138">
        <f>'Energy Balance'!K15</f>
        <v>0</v>
      </c>
      <c r="Y13" s="144">
        <f>'Energy Balance'!L15</f>
        <v>0</v>
      </c>
      <c r="Z13" s="207">
        <f t="shared" si="9"/>
        <v>0</v>
      </c>
      <c r="AA13" s="116">
        <f>SI!D235</f>
        <v>130</v>
      </c>
      <c r="AB13" s="112">
        <f t="shared" si="1"/>
        <v>1327.5681193544724</v>
      </c>
      <c r="AC13" s="107">
        <f t="shared" si="10"/>
        <v>1.3275681193544724</v>
      </c>
    </row>
    <row r="14" spans="1:34" ht="17" x14ac:dyDescent="0.2">
      <c r="A14" s="66" t="s">
        <v>128</v>
      </c>
      <c r="B14" s="4" t="s">
        <v>14</v>
      </c>
      <c r="C14" s="137">
        <f>'Energy Balance'!C16</f>
        <v>2072</v>
      </c>
      <c r="D14" s="137">
        <f t="shared" si="0"/>
        <v>0</v>
      </c>
      <c r="E14" s="137">
        <f>'Energy Balance'!E16</f>
        <v>60</v>
      </c>
      <c r="F14" s="139">
        <f t="shared" si="2"/>
        <v>2012</v>
      </c>
      <c r="G14" s="151">
        <f t="shared" si="3"/>
        <v>-832.77054232</v>
      </c>
      <c r="H14" s="187">
        <f>'Energy Balance'!V16</f>
        <v>2121</v>
      </c>
      <c r="I14" s="142">
        <f t="shared" si="4"/>
        <v>920.51400000000001</v>
      </c>
      <c r="J14" s="189">
        <f>'Energy Balance'!S16</f>
        <v>14.254215731199825</v>
      </c>
      <c r="K14" s="190">
        <f t="shared" si="5"/>
        <v>6.4714139419647196</v>
      </c>
      <c r="L14" s="199">
        <f>'Energy Balance'!O16</f>
        <v>0.1</v>
      </c>
      <c r="M14" s="115">
        <f>SI!D265</f>
        <v>0</v>
      </c>
      <c r="N14" s="200">
        <f t="shared" si="6"/>
        <v>0</v>
      </c>
      <c r="O14" s="201">
        <f>SI!D266</f>
        <v>0</v>
      </c>
      <c r="P14" s="204">
        <f t="shared" si="11"/>
        <v>0</v>
      </c>
      <c r="Q14" s="145">
        <f>SI!D278</f>
        <v>0</v>
      </c>
      <c r="R14" s="112">
        <f t="shared" si="7"/>
        <v>0</v>
      </c>
      <c r="S14" s="114">
        <f>SI!D280</f>
        <v>1</v>
      </c>
      <c r="T14" s="112">
        <f>$S$5*$T$5*S14</f>
        <v>7267.7942857142843</v>
      </c>
      <c r="U14" s="138">
        <f>'Energy Balance'!H16</f>
        <v>0</v>
      </c>
      <c r="V14" s="138">
        <f>'Energy Balance'!I16</f>
        <v>0</v>
      </c>
      <c r="W14" s="138">
        <f>'Energy Balance'!J16</f>
        <v>0</v>
      </c>
      <c r="X14" s="138">
        <f>'Energy Balance'!K16</f>
        <v>0</v>
      </c>
      <c r="Y14" s="144">
        <f>'Energy Balance'!L16</f>
        <v>0</v>
      </c>
      <c r="Z14" s="207">
        <f t="shared" si="9"/>
        <v>0</v>
      </c>
      <c r="AA14" s="113">
        <f>SI!D283</f>
        <v>0</v>
      </c>
      <c r="AB14" s="112">
        <f t="shared" si="1"/>
        <v>7362.0091573362488</v>
      </c>
      <c r="AC14" s="107">
        <f t="shared" si="10"/>
        <v>7.3620091573362485</v>
      </c>
    </row>
    <row r="15" spans="1:34" ht="17" x14ac:dyDescent="0.2">
      <c r="A15" s="128" t="s">
        <v>779</v>
      </c>
      <c r="B15" s="4" t="s">
        <v>109</v>
      </c>
      <c r="C15" s="137">
        <f>'Energy Balance'!C17</f>
        <v>449.4</v>
      </c>
      <c r="D15" s="137">
        <f t="shared" si="0"/>
        <v>0</v>
      </c>
      <c r="E15" s="137">
        <f>'Energy Balance'!E17</f>
        <v>74</v>
      </c>
      <c r="F15" s="139">
        <f t="shared" si="2"/>
        <v>375.4</v>
      </c>
      <c r="G15" s="151">
        <f t="shared" si="3"/>
        <v>-155.37875824400001</v>
      </c>
      <c r="H15" s="187">
        <f>'Energy Balance'!V17</f>
        <v>240.07999999999996</v>
      </c>
      <c r="I15" s="142">
        <f t="shared" si="4"/>
        <v>104.19471999999999</v>
      </c>
      <c r="J15" s="189">
        <f>'Energy Balance'!S17</f>
        <v>460.41116811775441</v>
      </c>
      <c r="K15" s="190">
        <f t="shared" si="5"/>
        <v>209.02667032546049</v>
      </c>
      <c r="L15" s="199">
        <f>'Energy Balance'!O17</f>
        <v>0.67999999999999994</v>
      </c>
      <c r="M15" s="115">
        <f>SI!D321</f>
        <v>0.48</v>
      </c>
      <c r="N15" s="200">
        <f t="shared" si="6"/>
        <v>81.59999999999998</v>
      </c>
      <c r="O15" s="201">
        <f>SI!D322</f>
        <v>0</v>
      </c>
      <c r="P15" s="204">
        <f t="shared" si="11"/>
        <v>2039.9999999999995</v>
      </c>
      <c r="Q15" s="145">
        <f>SI!D340</f>
        <v>0</v>
      </c>
      <c r="R15" s="112">
        <f t="shared" si="7"/>
        <v>0</v>
      </c>
      <c r="S15" s="114">
        <f>SI!D342</f>
        <v>0</v>
      </c>
      <c r="T15" s="112">
        <f t="shared" si="8"/>
        <v>0</v>
      </c>
      <c r="U15" s="138">
        <f>'Energy Balance'!H17</f>
        <v>0</v>
      </c>
      <c r="V15" s="138">
        <f>'Energy Balance'!I17</f>
        <v>0</v>
      </c>
      <c r="W15" s="138">
        <f>'Energy Balance'!J17</f>
        <v>0</v>
      </c>
      <c r="X15" s="138">
        <f>'Energy Balance'!K17</f>
        <v>0</v>
      </c>
      <c r="Y15" s="144">
        <f>'Energy Balance'!L17</f>
        <v>0</v>
      </c>
      <c r="Z15" s="207">
        <f t="shared" si="9"/>
        <v>0</v>
      </c>
      <c r="AA15" s="113">
        <f>SI!D345</f>
        <v>0</v>
      </c>
      <c r="AB15" s="112">
        <f t="shared" si="1"/>
        <v>2197.8426320814601</v>
      </c>
      <c r="AC15" s="107">
        <f t="shared" si="10"/>
        <v>2.1978426320814601</v>
      </c>
    </row>
    <row r="16" spans="1:34" ht="17" x14ac:dyDescent="0.2">
      <c r="A16" s="128" t="s">
        <v>782</v>
      </c>
      <c r="B16" s="4" t="s">
        <v>109</v>
      </c>
      <c r="C16" s="137">
        <f>'Energy Balance'!C18</f>
        <v>449.4</v>
      </c>
      <c r="D16" s="137">
        <f t="shared" si="0"/>
        <v>499.14538666666664</v>
      </c>
      <c r="E16" s="137">
        <f>'Energy Balance'!E18</f>
        <v>74</v>
      </c>
      <c r="F16" s="139">
        <f t="shared" si="2"/>
        <v>874.54538666666667</v>
      </c>
      <c r="G16" s="151">
        <f t="shared" si="3"/>
        <v>-361.97596219575252</v>
      </c>
      <c r="H16" s="187">
        <f>'Energy Balance'!V18</f>
        <v>240.07999999999996</v>
      </c>
      <c r="I16" s="142">
        <f t="shared" si="4"/>
        <v>104.19471999999999</v>
      </c>
      <c r="J16" s="189">
        <f>'Energy Balance'!S18</f>
        <v>460.41116811775441</v>
      </c>
      <c r="K16" s="190">
        <f t="shared" si="5"/>
        <v>209.02667032546049</v>
      </c>
      <c r="L16" s="199">
        <f>'Energy Balance'!O18</f>
        <v>0.67999999999999994</v>
      </c>
      <c r="M16" s="115">
        <f>SI!D383</f>
        <v>0.48</v>
      </c>
      <c r="N16" s="200">
        <f t="shared" si="6"/>
        <v>81.59999999999998</v>
      </c>
      <c r="O16" s="201">
        <f>SI!D384</f>
        <v>0.8</v>
      </c>
      <c r="P16" s="204">
        <f t="shared" si="11"/>
        <v>407.99999999999983</v>
      </c>
      <c r="Q16" s="145">
        <f>SI!D402</f>
        <v>0</v>
      </c>
      <c r="R16" s="112">
        <f t="shared" si="7"/>
        <v>0</v>
      </c>
      <c r="S16" s="114">
        <f>SI!D404</f>
        <v>0</v>
      </c>
      <c r="T16" s="112">
        <f t="shared" si="8"/>
        <v>0</v>
      </c>
      <c r="U16" s="138">
        <f>'Energy Balance'!H18</f>
        <v>0</v>
      </c>
      <c r="V16" s="138">
        <f>'Energy Balance'!I18</f>
        <v>0</v>
      </c>
      <c r="W16" s="138">
        <f>'Energy Balance'!J18</f>
        <v>0</v>
      </c>
      <c r="X16" s="138">
        <f>'Energy Balance'!K18</f>
        <v>0</v>
      </c>
      <c r="Y16" s="144">
        <f>'Energy Balance'!L18</f>
        <v>0</v>
      </c>
      <c r="Z16" s="207">
        <f t="shared" si="9"/>
        <v>0</v>
      </c>
      <c r="AA16" s="113">
        <f>SI!D407</f>
        <v>0</v>
      </c>
      <c r="AB16" s="112">
        <f t="shared" si="1"/>
        <v>359.24542812970782</v>
      </c>
      <c r="AC16" s="107">
        <f>AB16/1000</f>
        <v>0.35924542812970783</v>
      </c>
    </row>
    <row r="17" spans="1:29" ht="17" x14ac:dyDescent="0.2">
      <c r="A17" s="128" t="s">
        <v>783</v>
      </c>
      <c r="B17" s="4" t="s">
        <v>109</v>
      </c>
      <c r="C17" s="137">
        <f>'Energy Balance'!C19</f>
        <v>449.4</v>
      </c>
      <c r="D17" s="137">
        <f t="shared" si="0"/>
        <v>0</v>
      </c>
      <c r="E17" s="137">
        <f>'Energy Balance'!E19</f>
        <v>74</v>
      </c>
      <c r="F17" s="139">
        <f t="shared" si="2"/>
        <v>375.4</v>
      </c>
      <c r="G17" s="151">
        <f t="shared" si="3"/>
        <v>-155.37875824400001</v>
      </c>
      <c r="H17" s="187">
        <f>'Energy Balance'!V19</f>
        <v>240.07999999999996</v>
      </c>
      <c r="I17" s="142">
        <f t="shared" si="4"/>
        <v>104.19471999999999</v>
      </c>
      <c r="J17" s="189">
        <f>'Energy Balance'!S19</f>
        <v>460.41116811775441</v>
      </c>
      <c r="K17" s="190">
        <f t="shared" si="5"/>
        <v>209.02667032546049</v>
      </c>
      <c r="L17" s="199">
        <v>0</v>
      </c>
      <c r="M17" s="115">
        <f>SI!D445</f>
        <v>0</v>
      </c>
      <c r="N17" s="200">
        <f t="shared" si="6"/>
        <v>0</v>
      </c>
      <c r="O17" s="201">
        <f>SI!D446</f>
        <v>0</v>
      </c>
      <c r="P17" s="204">
        <f t="shared" si="11"/>
        <v>0</v>
      </c>
      <c r="Q17" s="145">
        <f>SI!D464</f>
        <v>0.67999999999999994</v>
      </c>
      <c r="R17" s="112">
        <f t="shared" si="7"/>
        <v>152.84845714285711</v>
      </c>
      <c r="S17" s="114">
        <f>SI!D466</f>
        <v>0</v>
      </c>
      <c r="T17" s="112">
        <f t="shared" si="8"/>
        <v>0</v>
      </c>
      <c r="U17" s="138">
        <f>'Energy Balance'!H19</f>
        <v>0</v>
      </c>
      <c r="V17" s="138">
        <f>'Energy Balance'!I19</f>
        <v>0</v>
      </c>
      <c r="W17" s="138">
        <f>'Energy Balance'!J19</f>
        <v>0</v>
      </c>
      <c r="X17" s="138">
        <f>'Energy Balance'!K19</f>
        <v>0</v>
      </c>
      <c r="Y17" s="144">
        <f>'Energy Balance'!L19</f>
        <v>0</v>
      </c>
      <c r="Z17" s="207">
        <f t="shared" si="9"/>
        <v>0</v>
      </c>
      <c r="AA17" s="116">
        <f>SI!D469</f>
        <v>130</v>
      </c>
      <c r="AB17" s="112">
        <f t="shared" si="1"/>
        <v>180.69108922431758</v>
      </c>
      <c r="AC17" s="107">
        <f t="shared" si="10"/>
        <v>0.18069108922431759</v>
      </c>
    </row>
    <row r="18" spans="1:29" ht="17" x14ac:dyDescent="0.2">
      <c r="A18" s="66" t="s">
        <v>150</v>
      </c>
      <c r="B18" s="4" t="s">
        <v>109</v>
      </c>
      <c r="C18" s="137">
        <f>'Energy Balance'!C20</f>
        <v>449.4</v>
      </c>
      <c r="D18" s="137">
        <f t="shared" si="0"/>
        <v>0</v>
      </c>
      <c r="E18" s="137">
        <f>'Energy Balance'!E20</f>
        <v>74</v>
      </c>
      <c r="F18" s="139">
        <f t="shared" si="2"/>
        <v>375.4</v>
      </c>
      <c r="G18" s="151">
        <f t="shared" si="3"/>
        <v>-155.37875824400001</v>
      </c>
      <c r="H18" s="187">
        <f>'Energy Balance'!V20</f>
        <v>2699.08</v>
      </c>
      <c r="I18" s="142">
        <f t="shared" si="4"/>
        <v>1171.4007199999999</v>
      </c>
      <c r="J18" s="189">
        <f>'Energy Balance'!S20</f>
        <v>184.1644672471017</v>
      </c>
      <c r="K18" s="190">
        <f t="shared" si="5"/>
        <v>83.61066813018418</v>
      </c>
      <c r="L18" s="199">
        <f>'Energy Balance'!O20</f>
        <v>0.67999999999999994</v>
      </c>
      <c r="M18" s="115">
        <f>SI!D507</f>
        <v>0.48</v>
      </c>
      <c r="N18" s="200">
        <f t="shared" si="6"/>
        <v>81.59999999999998</v>
      </c>
      <c r="O18" s="201">
        <f>SI!D508</f>
        <v>0</v>
      </c>
      <c r="P18" s="204">
        <f t="shared" si="11"/>
        <v>2039.9999999999995</v>
      </c>
      <c r="Q18" s="145">
        <f>SI!D528</f>
        <v>0</v>
      </c>
      <c r="R18" s="112">
        <f t="shared" si="7"/>
        <v>0</v>
      </c>
      <c r="S18" s="114">
        <f>SI!D530</f>
        <v>0</v>
      </c>
      <c r="T18" s="112">
        <f t="shared" si="8"/>
        <v>0</v>
      </c>
      <c r="U18" s="138">
        <f>'Energy Balance'!H20</f>
        <v>0</v>
      </c>
      <c r="V18" s="138">
        <f>'Energy Balance'!I20</f>
        <v>0</v>
      </c>
      <c r="W18" s="138">
        <f>'Energy Balance'!J20</f>
        <v>0</v>
      </c>
      <c r="X18" s="138">
        <f>'Energy Balance'!K20</f>
        <v>0</v>
      </c>
      <c r="Y18" s="144">
        <f>'Energy Balance'!L20</f>
        <v>0</v>
      </c>
      <c r="Z18" s="207">
        <f t="shared" si="9"/>
        <v>0</v>
      </c>
      <c r="AA18" s="113">
        <f>SI!D533</f>
        <v>0</v>
      </c>
      <c r="AB18" s="112">
        <f t="shared" si="1"/>
        <v>3139.6326298861836</v>
      </c>
      <c r="AC18" s="107">
        <f t="shared" si="10"/>
        <v>3.1396326298861834</v>
      </c>
    </row>
    <row r="19" spans="1:29" ht="17" x14ac:dyDescent="0.2">
      <c r="A19" s="66" t="s">
        <v>151</v>
      </c>
      <c r="B19" s="4" t="s">
        <v>109</v>
      </c>
      <c r="C19" s="137">
        <f>'Energy Balance'!C21</f>
        <v>449.4</v>
      </c>
      <c r="D19" s="137">
        <f t="shared" si="0"/>
        <v>499.14538666666664</v>
      </c>
      <c r="E19" s="137">
        <f>'Energy Balance'!E21</f>
        <v>74</v>
      </c>
      <c r="F19" s="139">
        <f t="shared" si="2"/>
        <v>874.54538666666667</v>
      </c>
      <c r="G19" s="151">
        <f t="shared" si="3"/>
        <v>-361.97596219575252</v>
      </c>
      <c r="H19" s="187">
        <f>'Energy Balance'!V21</f>
        <v>2699.08</v>
      </c>
      <c r="I19" s="142">
        <f t="shared" si="4"/>
        <v>1171.4007199999999</v>
      </c>
      <c r="J19" s="189">
        <f>'Energy Balance'!S21</f>
        <v>184.1644672471017</v>
      </c>
      <c r="K19" s="190">
        <f t="shared" si="5"/>
        <v>83.61066813018418</v>
      </c>
      <c r="L19" s="199">
        <f>'Energy Balance'!O21</f>
        <v>0.67999999999999994</v>
      </c>
      <c r="M19" s="115">
        <f>SI!D573</f>
        <v>0.48</v>
      </c>
      <c r="N19" s="200">
        <f t="shared" si="6"/>
        <v>81.59999999999998</v>
      </c>
      <c r="O19" s="201">
        <f>SI!D574</f>
        <v>0.8</v>
      </c>
      <c r="P19" s="204">
        <f t="shared" si="11"/>
        <v>407.99999999999983</v>
      </c>
      <c r="Q19" s="145">
        <f>SI!D594</f>
        <v>0</v>
      </c>
      <c r="R19" s="112">
        <f t="shared" si="7"/>
        <v>0</v>
      </c>
      <c r="S19" s="114">
        <f>SI!D596</f>
        <v>0</v>
      </c>
      <c r="T19" s="112">
        <f t="shared" si="8"/>
        <v>0</v>
      </c>
      <c r="U19" s="138">
        <f>'Energy Balance'!H21</f>
        <v>0</v>
      </c>
      <c r="V19" s="138">
        <f>'Energy Balance'!I21</f>
        <v>0</v>
      </c>
      <c r="W19" s="138">
        <f>'Energy Balance'!J21</f>
        <v>0</v>
      </c>
      <c r="X19" s="138">
        <f>'Energy Balance'!K21</f>
        <v>0</v>
      </c>
      <c r="Y19" s="144">
        <f>'Energy Balance'!L21</f>
        <v>0</v>
      </c>
      <c r="Z19" s="207">
        <f t="shared" si="9"/>
        <v>0</v>
      </c>
      <c r="AA19" s="113">
        <f>SI!D599</f>
        <v>0</v>
      </c>
      <c r="AB19" s="112">
        <f t="shared" si="1"/>
        <v>1301.0354259344313</v>
      </c>
      <c r="AC19" s="107">
        <f t="shared" si="10"/>
        <v>1.3010354259344312</v>
      </c>
    </row>
    <row r="20" spans="1:29" ht="17" x14ac:dyDescent="0.2">
      <c r="A20" s="66" t="s">
        <v>152</v>
      </c>
      <c r="B20" s="4" t="s">
        <v>109</v>
      </c>
      <c r="C20" s="137">
        <f>'Energy Balance'!C22</f>
        <v>449.4</v>
      </c>
      <c r="D20" s="137">
        <f t="shared" si="0"/>
        <v>0</v>
      </c>
      <c r="E20" s="137">
        <f>'Energy Balance'!E22</f>
        <v>74</v>
      </c>
      <c r="F20" s="139">
        <f t="shared" si="2"/>
        <v>375.4</v>
      </c>
      <c r="G20" s="151">
        <f t="shared" si="3"/>
        <v>-155.37875824400001</v>
      </c>
      <c r="H20" s="187">
        <f>'Energy Balance'!V22</f>
        <v>2699.08</v>
      </c>
      <c r="I20" s="142">
        <f t="shared" si="4"/>
        <v>1171.4007199999999</v>
      </c>
      <c r="J20" s="189">
        <f>'Energy Balance'!S22</f>
        <v>184.1644672471017</v>
      </c>
      <c r="K20" s="190">
        <f t="shared" si="5"/>
        <v>83.61066813018418</v>
      </c>
      <c r="L20" s="199">
        <v>0</v>
      </c>
      <c r="M20" s="115">
        <f>SI!D639</f>
        <v>0</v>
      </c>
      <c r="N20" s="200">
        <f t="shared" si="6"/>
        <v>0</v>
      </c>
      <c r="O20" s="201">
        <v>0</v>
      </c>
      <c r="P20" s="204">
        <f t="shared" si="11"/>
        <v>0</v>
      </c>
      <c r="Q20" s="145">
        <f>SI!D660</f>
        <v>0.67999999999999994</v>
      </c>
      <c r="R20" s="112">
        <f t="shared" si="7"/>
        <v>152.84845714285711</v>
      </c>
      <c r="S20" s="114">
        <f>SI!D662</f>
        <v>0</v>
      </c>
      <c r="T20" s="112">
        <f t="shared" si="8"/>
        <v>0</v>
      </c>
      <c r="U20" s="138">
        <f>'Energy Balance'!H22</f>
        <v>0</v>
      </c>
      <c r="V20" s="138">
        <f>'Energy Balance'!I22</f>
        <v>0</v>
      </c>
      <c r="W20" s="138">
        <f>'Energy Balance'!J22</f>
        <v>0</v>
      </c>
      <c r="X20" s="138">
        <f>'Energy Balance'!K22</f>
        <v>0</v>
      </c>
      <c r="Y20" s="144">
        <f>'Energy Balance'!L22</f>
        <v>0</v>
      </c>
      <c r="Z20" s="207">
        <f t="shared" si="9"/>
        <v>0</v>
      </c>
      <c r="AA20" s="116">
        <f>SI!D665</f>
        <v>130</v>
      </c>
      <c r="AB20" s="112">
        <f t="shared" si="1"/>
        <v>1122.4810870290412</v>
      </c>
      <c r="AC20" s="107">
        <f t="shared" si="10"/>
        <v>1.1224810870290411</v>
      </c>
    </row>
    <row r="21" spans="1:29" ht="17" x14ac:dyDescent="0.2">
      <c r="A21" s="66" t="s">
        <v>153</v>
      </c>
      <c r="B21" s="4" t="s">
        <v>108</v>
      </c>
      <c r="C21" s="137">
        <f>'Energy Balance'!C23</f>
        <v>1830.4814999999999</v>
      </c>
      <c r="D21" s="137">
        <f t="shared" si="0"/>
        <v>0</v>
      </c>
      <c r="E21" s="137">
        <f>'Energy Balance'!E23</f>
        <v>74</v>
      </c>
      <c r="F21" s="139">
        <f t="shared" si="2"/>
        <v>1756.4814999999999</v>
      </c>
      <c r="G21" s="151">
        <f t="shared" si="3"/>
        <v>-727.01095990558997</v>
      </c>
      <c r="H21" s="187">
        <f>'Energy Balance'!V23</f>
        <v>2427.1614999999997</v>
      </c>
      <c r="I21" s="142">
        <f t="shared" si="4"/>
        <v>1053.3880909999998</v>
      </c>
      <c r="J21" s="189">
        <f>'Energy Balance'!S23</f>
        <v>14.254215731199825</v>
      </c>
      <c r="K21" s="190">
        <f t="shared" si="5"/>
        <v>6.4714139419647196</v>
      </c>
      <c r="L21" s="199">
        <f>'Energy Balance'!O23</f>
        <v>0.1</v>
      </c>
      <c r="M21" s="115">
        <f>SI!D710</f>
        <v>0</v>
      </c>
      <c r="N21" s="200">
        <f t="shared" si="6"/>
        <v>0</v>
      </c>
      <c r="O21" s="201">
        <f>SI!D640</f>
        <v>0</v>
      </c>
      <c r="P21" s="204">
        <f t="shared" si="11"/>
        <v>0</v>
      </c>
      <c r="Q21" s="145">
        <f>SI!D734</f>
        <v>0</v>
      </c>
      <c r="R21" s="112">
        <f t="shared" si="7"/>
        <v>0</v>
      </c>
      <c r="S21" s="114">
        <f>SI!D736</f>
        <v>0.67999999999999994</v>
      </c>
      <c r="T21" s="112">
        <f>$S$5*$T$5*S21</f>
        <v>4942.1001142857131</v>
      </c>
      <c r="U21" s="138">
        <f>'Energy Balance'!H23</f>
        <v>0</v>
      </c>
      <c r="V21" s="138">
        <f>'Energy Balance'!I23</f>
        <v>0</v>
      </c>
      <c r="W21" s="138">
        <f>'Energy Balance'!J23</f>
        <v>0</v>
      </c>
      <c r="X21" s="138">
        <f>'Energy Balance'!K23</f>
        <v>0</v>
      </c>
      <c r="Y21" s="144">
        <f>'Energy Balance'!L23</f>
        <v>0</v>
      </c>
      <c r="Z21" s="207">
        <f t="shared" si="9"/>
        <v>0</v>
      </c>
      <c r="AA21" s="113">
        <f>SI!D739</f>
        <v>0</v>
      </c>
      <c r="AB21" s="112">
        <f t="shared" si="1"/>
        <v>5274.9486593220872</v>
      </c>
      <c r="AC21" s="107">
        <f t="shared" si="10"/>
        <v>5.2749486593220869</v>
      </c>
    </row>
    <row r="22" spans="1:29" ht="17" x14ac:dyDescent="0.2">
      <c r="A22" s="128" t="s">
        <v>780</v>
      </c>
      <c r="B22" s="4" t="s">
        <v>14</v>
      </c>
      <c r="C22" s="137">
        <f>'Energy Balance'!C24</f>
        <v>745.5</v>
      </c>
      <c r="D22" s="137">
        <f t="shared" si="0"/>
        <v>0</v>
      </c>
      <c r="E22" s="137">
        <f>'Energy Balance'!E24</f>
        <v>120</v>
      </c>
      <c r="F22" s="139">
        <f t="shared" si="2"/>
        <v>625.5</v>
      </c>
      <c r="G22" s="151">
        <f t="shared" si="3"/>
        <v>-258.89561343000003</v>
      </c>
      <c r="H22" s="187">
        <f>'Energy Balance'!V24</f>
        <v>42.599999999999966</v>
      </c>
      <c r="I22" s="142">
        <f t="shared" si="4"/>
        <v>18.488399999999988</v>
      </c>
      <c r="J22" s="189">
        <f>'Energy Balance'!S24</f>
        <v>460.41116811775441</v>
      </c>
      <c r="K22" s="190">
        <f t="shared" si="5"/>
        <v>209.02667032546049</v>
      </c>
      <c r="L22" s="199">
        <f>'Energy Balance'!O24</f>
        <v>0.67999999999999994</v>
      </c>
      <c r="M22" s="115">
        <f>SI!D781</f>
        <v>0.48</v>
      </c>
      <c r="N22" s="200">
        <f t="shared" si="6"/>
        <v>81.59999999999998</v>
      </c>
      <c r="O22" s="201">
        <f>SI!D782</f>
        <v>0</v>
      </c>
      <c r="P22" s="204">
        <f t="shared" si="11"/>
        <v>2039.9999999999995</v>
      </c>
      <c r="Q22" s="145">
        <f>SI!D802</f>
        <v>0</v>
      </c>
      <c r="R22" s="112">
        <f t="shared" si="7"/>
        <v>0</v>
      </c>
      <c r="S22" s="114">
        <f>SI!D804</f>
        <v>0</v>
      </c>
      <c r="T22" s="112">
        <f t="shared" si="8"/>
        <v>0</v>
      </c>
      <c r="U22" s="138">
        <f>'Energy Balance'!H24</f>
        <v>0</v>
      </c>
      <c r="V22" s="138">
        <f>'Energy Balance'!I24</f>
        <v>0</v>
      </c>
      <c r="W22" s="138">
        <f>'Energy Balance'!J24</f>
        <v>0</v>
      </c>
      <c r="X22" s="138">
        <f>'Energy Balance'!K24</f>
        <v>0</v>
      </c>
      <c r="Y22" s="144">
        <f>'Energy Balance'!L24</f>
        <v>0</v>
      </c>
      <c r="Z22" s="207">
        <f t="shared" si="9"/>
        <v>0</v>
      </c>
      <c r="AA22" s="113">
        <f>SI!D807</f>
        <v>0</v>
      </c>
      <c r="AB22" s="112">
        <f t="shared" si="1"/>
        <v>2008.61945689546</v>
      </c>
      <c r="AC22" s="107">
        <f t="shared" si="10"/>
        <v>2.0086194568954601</v>
      </c>
    </row>
    <row r="23" spans="1:29" ht="17" x14ac:dyDescent="0.2">
      <c r="A23" s="128" t="s">
        <v>785</v>
      </c>
      <c r="B23" s="4" t="s">
        <v>109</v>
      </c>
      <c r="C23" s="137">
        <f>'Energy Balance'!C25</f>
        <v>745.5</v>
      </c>
      <c r="D23" s="137">
        <f t="shared" si="0"/>
        <v>499.14538666666664</v>
      </c>
      <c r="E23" s="137">
        <f>'Energy Balance'!E25</f>
        <v>120</v>
      </c>
      <c r="F23" s="139">
        <f t="shared" si="2"/>
        <v>1124.6453866666666</v>
      </c>
      <c r="G23" s="151">
        <f t="shared" si="3"/>
        <v>-465.4928173817525</v>
      </c>
      <c r="H23" s="187">
        <f>'Energy Balance'!V25</f>
        <v>42.599999999999966</v>
      </c>
      <c r="I23" s="142">
        <f t="shared" si="4"/>
        <v>18.488399999999988</v>
      </c>
      <c r="J23" s="189">
        <f>'Energy Balance'!S25</f>
        <v>460.41116811775441</v>
      </c>
      <c r="K23" s="190">
        <f t="shared" si="5"/>
        <v>209.02667032546049</v>
      </c>
      <c r="L23" s="199">
        <f>'Energy Balance'!O25</f>
        <v>0.67999999999999994</v>
      </c>
      <c r="M23" s="115">
        <f>SI!D845</f>
        <v>0.48</v>
      </c>
      <c r="N23" s="200">
        <f t="shared" si="6"/>
        <v>81.59999999999998</v>
      </c>
      <c r="O23" s="201">
        <f>SI!D846</f>
        <v>0.8</v>
      </c>
      <c r="P23" s="204">
        <f t="shared" si="11"/>
        <v>407.99999999999983</v>
      </c>
      <c r="Q23" s="145">
        <f>SI!D866</f>
        <v>0</v>
      </c>
      <c r="R23" s="112">
        <f t="shared" si="7"/>
        <v>0</v>
      </c>
      <c r="S23" s="114">
        <f>SI!D868</f>
        <v>0</v>
      </c>
      <c r="T23" s="112">
        <f t="shared" si="8"/>
        <v>0</v>
      </c>
      <c r="U23" s="138">
        <f>'Energy Balance'!H25</f>
        <v>0</v>
      </c>
      <c r="V23" s="138">
        <f>'Energy Balance'!I25</f>
        <v>0</v>
      </c>
      <c r="W23" s="138">
        <f>'Energy Balance'!J25</f>
        <v>0</v>
      </c>
      <c r="X23" s="138">
        <f>'Energy Balance'!K25</f>
        <v>0</v>
      </c>
      <c r="Y23" s="144">
        <f>'Energy Balance'!L25</f>
        <v>0</v>
      </c>
      <c r="Z23" s="207">
        <f t="shared" si="9"/>
        <v>0</v>
      </c>
      <c r="AA23" s="113">
        <f>SI!D871</f>
        <v>0</v>
      </c>
      <c r="AB23" s="112">
        <f t="shared" si="1"/>
        <v>170.02225294370783</v>
      </c>
      <c r="AC23" s="107">
        <f t="shared" si="10"/>
        <v>0.17002225294370782</v>
      </c>
    </row>
    <row r="24" spans="1:29" x14ac:dyDescent="0.2">
      <c r="A24" s="128" t="s">
        <v>784</v>
      </c>
      <c r="C24" s="137">
        <f>'Energy Balance'!C26</f>
        <v>745.5</v>
      </c>
      <c r="D24" s="137">
        <f t="shared" si="0"/>
        <v>0</v>
      </c>
      <c r="E24" s="137">
        <f>'Energy Balance'!E26</f>
        <v>120</v>
      </c>
      <c r="F24" s="139">
        <f t="shared" si="2"/>
        <v>625.5</v>
      </c>
      <c r="G24" s="151">
        <f t="shared" si="3"/>
        <v>-258.89561343000003</v>
      </c>
      <c r="H24" s="187">
        <f>'Energy Balance'!V26</f>
        <v>501.61499999999995</v>
      </c>
      <c r="I24" s="142">
        <f t="shared" si="4"/>
        <v>217.70090999999996</v>
      </c>
      <c r="J24" s="189">
        <f>'Energy Balance'!S26</f>
        <v>460.41116811775441</v>
      </c>
      <c r="K24" s="190">
        <f t="shared" si="5"/>
        <v>209.02667032546049</v>
      </c>
      <c r="L24" s="199">
        <v>0</v>
      </c>
      <c r="M24" s="115">
        <f>SI!D909</f>
        <v>0</v>
      </c>
      <c r="N24" s="200">
        <f t="shared" si="6"/>
        <v>0</v>
      </c>
      <c r="O24" s="201">
        <f>SI!D910</f>
        <v>0</v>
      </c>
      <c r="P24" s="204">
        <f t="shared" si="11"/>
        <v>0</v>
      </c>
      <c r="Q24" s="145">
        <f>SI!D930</f>
        <v>0.67999999999999994</v>
      </c>
      <c r="R24" s="112">
        <f t="shared" si="7"/>
        <v>152.84845714285711</v>
      </c>
      <c r="S24" s="114">
        <f>SI!D932</f>
        <v>0</v>
      </c>
      <c r="T24" s="112">
        <f t="shared" si="8"/>
        <v>0</v>
      </c>
      <c r="U24" s="138">
        <f>'Energy Balance'!H26</f>
        <v>0</v>
      </c>
      <c r="V24" s="138">
        <f>'Energy Balance'!I26</f>
        <v>0</v>
      </c>
      <c r="W24" s="138">
        <f>'Energy Balance'!J26</f>
        <v>0</v>
      </c>
      <c r="X24" s="138">
        <f>'Energy Balance'!K26</f>
        <v>0</v>
      </c>
      <c r="Y24" s="144">
        <f>'Energy Balance'!L26</f>
        <v>0</v>
      </c>
      <c r="Z24" s="207">
        <f t="shared" si="9"/>
        <v>0</v>
      </c>
      <c r="AA24" s="113">
        <f>SI!D935</f>
        <v>130</v>
      </c>
      <c r="AB24" s="112">
        <f t="shared" si="1"/>
        <v>190.68042403831754</v>
      </c>
      <c r="AC24" s="107">
        <f t="shared" si="10"/>
        <v>0.19068042403831753</v>
      </c>
    </row>
    <row r="25" spans="1:29" ht="17" x14ac:dyDescent="0.2">
      <c r="A25" s="66" t="s">
        <v>154</v>
      </c>
      <c r="B25" s="4" t="s">
        <v>14</v>
      </c>
      <c r="C25" s="137">
        <f>'Energy Balance'!C27</f>
        <v>1673.7404999999999</v>
      </c>
      <c r="D25" s="137">
        <f t="shared" si="0"/>
        <v>0</v>
      </c>
      <c r="E25" s="137">
        <f>'Energy Balance'!E27</f>
        <v>120</v>
      </c>
      <c r="F25" s="139">
        <f t="shared" si="2"/>
        <v>1553.7404999999999</v>
      </c>
      <c r="G25" s="151">
        <f t="shared" si="3"/>
        <v>-643.0960829073299</v>
      </c>
      <c r="H25" s="187">
        <f>'Energy Balance'!V27</f>
        <v>2441.8405000000002</v>
      </c>
      <c r="I25" s="142">
        <f t="shared" si="4"/>
        <v>1059.758777</v>
      </c>
      <c r="J25" s="189">
        <f>'Energy Balance'!S27</f>
        <v>14.254215731199825</v>
      </c>
      <c r="K25" s="190">
        <f t="shared" si="5"/>
        <v>6.4714139419647196</v>
      </c>
      <c r="L25" s="199">
        <f>'Energy Balance'!O27</f>
        <v>0.1</v>
      </c>
      <c r="M25" s="115">
        <f>SI!D978</f>
        <v>0</v>
      </c>
      <c r="N25" s="200">
        <f t="shared" si="6"/>
        <v>0</v>
      </c>
      <c r="O25" s="201">
        <f>SI!D979</f>
        <v>0</v>
      </c>
      <c r="P25" s="204">
        <f t="shared" si="11"/>
        <v>0</v>
      </c>
      <c r="Q25" s="145">
        <f>SI!D1006</f>
        <v>0</v>
      </c>
      <c r="R25" s="112">
        <f t="shared" si="7"/>
        <v>0</v>
      </c>
      <c r="S25" s="114">
        <f>SI!D1008</f>
        <v>0.67999999999999994</v>
      </c>
      <c r="T25" s="112">
        <f>$S$5*$T$5*S25</f>
        <v>4942.1001142857131</v>
      </c>
      <c r="U25" s="138">
        <f>'Energy Balance'!H27</f>
        <v>0</v>
      </c>
      <c r="V25" s="138">
        <f>'Energy Balance'!I27</f>
        <v>0</v>
      </c>
      <c r="W25" s="138">
        <f>'Energy Balance'!J27</f>
        <v>0</v>
      </c>
      <c r="X25" s="138">
        <f>'Energy Balance'!K27</f>
        <v>0</v>
      </c>
      <c r="Y25" s="144">
        <f>'Energy Balance'!L27</f>
        <v>0</v>
      </c>
      <c r="Z25" s="207">
        <f t="shared" si="9"/>
        <v>0</v>
      </c>
      <c r="AA25" s="113">
        <f>SI!D1011</f>
        <v>0</v>
      </c>
      <c r="AB25" s="112">
        <f t="shared" si="1"/>
        <v>5365.2342223203477</v>
      </c>
      <c r="AC25" s="107">
        <f t="shared" si="10"/>
        <v>5.365234222320348</v>
      </c>
    </row>
    <row r="26" spans="1:29" ht="17" x14ac:dyDescent="0.2">
      <c r="A26" s="66" t="s">
        <v>129</v>
      </c>
      <c r="B26" s="4" t="s">
        <v>17</v>
      </c>
      <c r="C26" s="137">
        <f>'Energy Balance'!C28</f>
        <v>0</v>
      </c>
      <c r="D26" s="137">
        <f t="shared" si="0"/>
        <v>0</v>
      </c>
      <c r="E26" s="137">
        <f>'Energy Balance'!E28</f>
        <v>257.01927597555238</v>
      </c>
      <c r="F26" s="139">
        <f t="shared" si="2"/>
        <v>-257.01927597555238</v>
      </c>
      <c r="G26" s="151">
        <f t="shared" si="3"/>
        <v>106.38075638213444</v>
      </c>
      <c r="H26" s="187">
        <f>'Energy Balance'!V28</f>
        <v>936.06368354520134</v>
      </c>
      <c r="I26" s="142">
        <f t="shared" si="4"/>
        <v>406.25163865861737</v>
      </c>
      <c r="J26" s="189">
        <f>'Energy Balance'!S28</f>
        <v>34.530837608831568</v>
      </c>
      <c r="K26" s="190">
        <f t="shared" si="5"/>
        <v>15.677000274409533</v>
      </c>
      <c r="L26" s="199">
        <v>0.10199999999999999</v>
      </c>
      <c r="M26" s="115">
        <f>SI!D1057</f>
        <v>0</v>
      </c>
      <c r="N26" s="200">
        <f t="shared" si="6"/>
        <v>0</v>
      </c>
      <c r="O26" s="201">
        <f>SI!D1058</f>
        <v>0</v>
      </c>
      <c r="P26" s="204">
        <f t="shared" si="11"/>
        <v>0</v>
      </c>
      <c r="Q26" s="145">
        <f>SI!D1092</f>
        <v>0</v>
      </c>
      <c r="R26" s="112">
        <f t="shared" si="7"/>
        <v>0</v>
      </c>
      <c r="S26" s="114">
        <f>SI!D1094</f>
        <v>0</v>
      </c>
      <c r="T26" s="112">
        <f t="shared" si="8"/>
        <v>0</v>
      </c>
      <c r="U26" s="138">
        <f>'Energy Balance'!H28</f>
        <v>0</v>
      </c>
      <c r="V26" s="138">
        <f>'Energy Balance'!I28</f>
        <v>3693.2597077679302</v>
      </c>
      <c r="W26" s="138">
        <f>'Energy Balance'!J28</f>
        <v>0</v>
      </c>
      <c r="X26" s="138">
        <f>'Energy Balance'!K28</f>
        <v>0</v>
      </c>
      <c r="Y26" s="144">
        <f>'Energy Balance'!L28</f>
        <v>0</v>
      </c>
      <c r="Z26" s="207">
        <f>(U26*$U$5+V26*$V$5+W26*$W$5+X26*$X$5+Y26*$Y$5)/1000</f>
        <v>1178.1498467779697</v>
      </c>
      <c r="AA26" s="113">
        <f>SI!D1100</f>
        <v>0</v>
      </c>
      <c r="AB26" s="112">
        <f t="shared" si="1"/>
        <v>-649.84045146280835</v>
      </c>
      <c r="AC26" s="107">
        <f t="shared" si="10"/>
        <v>-0.64984045146280833</v>
      </c>
    </row>
    <row r="27" spans="1:29" ht="17" x14ac:dyDescent="0.2">
      <c r="A27" s="66" t="s">
        <v>130</v>
      </c>
      <c r="B27" s="4" t="s">
        <v>17</v>
      </c>
      <c r="C27" s="137">
        <f>'Energy Balance'!C29</f>
        <v>0</v>
      </c>
      <c r="D27" s="137">
        <f t="shared" si="0"/>
        <v>0</v>
      </c>
      <c r="E27" s="137">
        <f>'Energy Balance'!E29</f>
        <v>293.14045213354422</v>
      </c>
      <c r="F27" s="139">
        <f t="shared" si="2"/>
        <v>-293.14045213354422</v>
      </c>
      <c r="G27" s="151">
        <f t="shared" si="3"/>
        <v>121.33137837931491</v>
      </c>
      <c r="H27" s="187">
        <f>'Energy Balance'!V29</f>
        <v>1356.072022004568</v>
      </c>
      <c r="I27" s="142">
        <f t="shared" si="4"/>
        <v>588.53525754998248</v>
      </c>
      <c r="J27" s="189">
        <f>'Energy Balance'!S29</f>
        <v>34.530837608831568</v>
      </c>
      <c r="K27" s="190">
        <f t="shared" si="5"/>
        <v>15.677000274409533</v>
      </c>
      <c r="L27" s="199">
        <v>0.10199999999999999</v>
      </c>
      <c r="M27" s="115">
        <f>SI!D1139</f>
        <v>0</v>
      </c>
      <c r="N27" s="200">
        <f t="shared" si="6"/>
        <v>0</v>
      </c>
      <c r="O27" s="201">
        <f>SI!D1140</f>
        <v>0</v>
      </c>
      <c r="P27" s="204">
        <f t="shared" si="11"/>
        <v>0</v>
      </c>
      <c r="Q27" s="145">
        <f>SI!D1176</f>
        <v>0</v>
      </c>
      <c r="R27" s="112">
        <f t="shared" si="7"/>
        <v>0</v>
      </c>
      <c r="S27" s="114">
        <f>SI!D1178</f>
        <v>0</v>
      </c>
      <c r="T27" s="112">
        <f t="shared" si="8"/>
        <v>0</v>
      </c>
      <c r="U27" s="138">
        <f>'Energy Balance'!H29</f>
        <v>2800.7992375027452</v>
      </c>
      <c r="V27" s="138">
        <f>'Energy Balance'!I29</f>
        <v>0</v>
      </c>
      <c r="W27" s="138">
        <f>'Energy Balance'!J29</f>
        <v>862.13107813591773</v>
      </c>
      <c r="X27" s="138">
        <f>'Energy Balance'!K29</f>
        <v>0</v>
      </c>
      <c r="Y27" s="144">
        <f>'Energy Balance'!L29</f>
        <v>0</v>
      </c>
      <c r="Z27" s="207">
        <f t="shared" si="9"/>
        <v>1668.1431497687684</v>
      </c>
      <c r="AA27" s="113">
        <f>SI!D1190</f>
        <v>0</v>
      </c>
      <c r="AB27" s="112">
        <f t="shared" si="1"/>
        <v>-942.59951356506133</v>
      </c>
      <c r="AC27" s="107">
        <f t="shared" si="10"/>
        <v>-0.94259951356506133</v>
      </c>
    </row>
    <row r="28" spans="1:29" ht="17" x14ac:dyDescent="0.2">
      <c r="A28" s="66" t="s">
        <v>786</v>
      </c>
      <c r="B28" s="4" t="s">
        <v>18</v>
      </c>
      <c r="C28" s="137">
        <f>'Energy Balance'!C30</f>
        <v>0</v>
      </c>
      <c r="D28" s="137">
        <f t="shared" si="0"/>
        <v>0</v>
      </c>
      <c r="E28" s="137">
        <f>'Energy Balance'!E30</f>
        <v>275.61758399999997</v>
      </c>
      <c r="F28" s="139">
        <f t="shared" si="2"/>
        <v>-275.61758399999997</v>
      </c>
      <c r="G28" s="151">
        <f t="shared" si="3"/>
        <v>114.07863066630622</v>
      </c>
      <c r="H28" s="187">
        <f>'Energy Balance'!V30</f>
        <v>1070.7306922977725</v>
      </c>
      <c r="I28" s="142">
        <f t="shared" si="4"/>
        <v>464.69712045723327</v>
      </c>
      <c r="J28" s="189">
        <f>'Energy Balance'!S30</f>
        <v>34.530837608831575</v>
      </c>
      <c r="K28" s="190">
        <f t="shared" si="5"/>
        <v>15.677000274409535</v>
      </c>
      <c r="L28" s="199">
        <v>0.10199999999999999</v>
      </c>
      <c r="M28" s="115">
        <f>SI!D1238</f>
        <v>0</v>
      </c>
      <c r="N28" s="200">
        <f t="shared" si="6"/>
        <v>0</v>
      </c>
      <c r="O28" s="201">
        <f>SI!D1239</f>
        <v>0</v>
      </c>
      <c r="P28" s="204">
        <f t="shared" si="11"/>
        <v>0</v>
      </c>
      <c r="Q28" s="145">
        <f>SI!D1264</f>
        <v>0</v>
      </c>
      <c r="R28" s="112">
        <f t="shared" si="7"/>
        <v>0</v>
      </c>
      <c r="S28" s="114">
        <f>SI!D1266</f>
        <v>0</v>
      </c>
      <c r="T28" s="112">
        <f t="shared" si="8"/>
        <v>0</v>
      </c>
      <c r="U28" s="138">
        <f>'Energy Balance'!H30</f>
        <v>0</v>
      </c>
      <c r="V28" s="138">
        <f>'Energy Balance'!I30</f>
        <v>3704.6459028474028</v>
      </c>
      <c r="W28" s="138">
        <f>'Energy Balance'!J30</f>
        <v>0</v>
      </c>
      <c r="X28" s="138">
        <f>'Energy Balance'!K30</f>
        <v>0</v>
      </c>
      <c r="Y28" s="144">
        <f>'Energy Balance'!L30</f>
        <v>0</v>
      </c>
      <c r="Z28" s="207">
        <f t="shared" si="9"/>
        <v>1181.7820430083214</v>
      </c>
      <c r="AA28" s="113">
        <f>SI!D1269</f>
        <v>0</v>
      </c>
      <c r="AB28" s="112">
        <f t="shared" si="1"/>
        <v>-587.32929161037225</v>
      </c>
      <c r="AC28" s="107">
        <f t="shared" si="10"/>
        <v>-0.58732929161037228</v>
      </c>
    </row>
    <row r="29" spans="1:29" ht="17" x14ac:dyDescent="0.2">
      <c r="A29" s="66" t="s">
        <v>787</v>
      </c>
      <c r="B29" s="4" t="s">
        <v>18</v>
      </c>
      <c r="C29" s="137">
        <f>'Energy Balance'!C31</f>
        <v>0</v>
      </c>
      <c r="D29" s="137">
        <f t="shared" si="0"/>
        <v>0</v>
      </c>
      <c r="E29" s="137">
        <f>'Energy Balance'!E31</f>
        <v>311.02312141536402</v>
      </c>
      <c r="F29" s="139">
        <f t="shared" si="2"/>
        <v>-311.02312141536402</v>
      </c>
      <c r="G29" s="151">
        <f t="shared" si="3"/>
        <v>128.733048456825</v>
      </c>
      <c r="H29" s="187">
        <f>'Energy Balance'!V31</f>
        <v>1409.8903344591151</v>
      </c>
      <c r="I29" s="142">
        <f t="shared" si="4"/>
        <v>611.89240515525591</v>
      </c>
      <c r="J29" s="189">
        <f>'Energy Balance'!S31</f>
        <v>34.530837608831575</v>
      </c>
      <c r="K29" s="190">
        <f t="shared" si="5"/>
        <v>15.677000274409535</v>
      </c>
      <c r="L29" s="199">
        <v>0.10199999999999999</v>
      </c>
      <c r="M29" s="115">
        <f>SI!D1302</f>
        <v>0</v>
      </c>
      <c r="N29" s="200">
        <f t="shared" si="6"/>
        <v>0</v>
      </c>
      <c r="O29" s="201">
        <f>SI!D1303</f>
        <v>0</v>
      </c>
      <c r="P29" s="204">
        <f t="shared" si="11"/>
        <v>0</v>
      </c>
      <c r="Q29" s="145">
        <f>SI!D1338</f>
        <v>0</v>
      </c>
      <c r="R29" s="112">
        <f t="shared" si="7"/>
        <v>0</v>
      </c>
      <c r="S29" s="114">
        <f>SI!D1340</f>
        <v>0</v>
      </c>
      <c r="T29" s="112">
        <f t="shared" si="8"/>
        <v>0</v>
      </c>
      <c r="U29" s="138">
        <f>'Energy Balance'!H31</f>
        <v>2615.4939784972571</v>
      </c>
      <c r="V29" s="138">
        <f>'Energy Balance'!I31</f>
        <v>0</v>
      </c>
      <c r="W29" s="138">
        <f>'Energy Balance'!J31</f>
        <v>826.41802853733248</v>
      </c>
      <c r="X29" s="138">
        <f>'Energy Balance'!K31</f>
        <v>0</v>
      </c>
      <c r="Y29" s="144">
        <f>'Energy Balance'!L31</f>
        <v>0</v>
      </c>
      <c r="Z29" s="207">
        <f t="shared" si="9"/>
        <v>1567.5865593649278</v>
      </c>
      <c r="AA29" s="113">
        <f>SI!D1343</f>
        <v>0</v>
      </c>
      <c r="AB29" s="112">
        <f t="shared" si="1"/>
        <v>-811.28410547843725</v>
      </c>
      <c r="AC29" s="107">
        <f t="shared" si="10"/>
        <v>-0.81128410547843721</v>
      </c>
    </row>
    <row r="30" spans="1:29" ht="17" x14ac:dyDescent="0.2">
      <c r="A30" s="66" t="s">
        <v>155</v>
      </c>
      <c r="B30" s="4" t="s">
        <v>19</v>
      </c>
      <c r="C30" s="137">
        <f>'Energy Balance'!C32</f>
        <v>0</v>
      </c>
      <c r="D30" s="137">
        <f t="shared" si="0"/>
        <v>0</v>
      </c>
      <c r="E30" s="137">
        <f>'Energy Balance'!E32</f>
        <v>213.06122448979593</v>
      </c>
      <c r="F30" s="139">
        <f t="shared" si="2"/>
        <v>-213.06122448979593</v>
      </c>
      <c r="G30" s="151">
        <f t="shared" si="3"/>
        <v>88.186437110204096</v>
      </c>
      <c r="H30" s="187">
        <f>'Energy Balance'!V32</f>
        <v>1608.2757821658854</v>
      </c>
      <c r="I30" s="142">
        <f t="shared" si="4"/>
        <v>697.99168945999429</v>
      </c>
      <c r="J30" s="189">
        <f>'Energy Balance'!S32</f>
        <v>47.395267306239418</v>
      </c>
      <c r="K30" s="190">
        <f t="shared" si="5"/>
        <v>21.517451357032698</v>
      </c>
      <c r="L30" s="199">
        <f>'Energy Balance'!O32</f>
        <v>0.34991720066239479</v>
      </c>
      <c r="M30" s="115">
        <f>SI!D1387</f>
        <v>0</v>
      </c>
      <c r="N30" s="200">
        <f t="shared" si="6"/>
        <v>0</v>
      </c>
      <c r="O30" s="201">
        <f>SI!D1388</f>
        <v>0</v>
      </c>
      <c r="P30" s="204">
        <f t="shared" si="11"/>
        <v>0</v>
      </c>
      <c r="Q30" s="145">
        <f>SI!D1415</f>
        <v>0</v>
      </c>
      <c r="R30" s="112">
        <f t="shared" si="7"/>
        <v>0</v>
      </c>
      <c r="S30" s="114">
        <f>SI!D1417</f>
        <v>0</v>
      </c>
      <c r="T30" s="112">
        <f t="shared" si="8"/>
        <v>0</v>
      </c>
      <c r="U30" s="138">
        <f>'Energy Balance'!H32</f>
        <v>0</v>
      </c>
      <c r="V30" s="138">
        <f>'Energy Balance'!I32</f>
        <v>4000.0000000000005</v>
      </c>
      <c r="W30" s="138">
        <f>'Energy Balance'!J32</f>
        <v>0</v>
      </c>
      <c r="X30" s="138">
        <f>'Energy Balance'!K32</f>
        <v>0</v>
      </c>
      <c r="Y30" s="144">
        <f>'Energy Balance'!L32</f>
        <v>0</v>
      </c>
      <c r="Z30" s="207">
        <f t="shared" si="9"/>
        <v>1276.0000000000002</v>
      </c>
      <c r="AA30" s="113">
        <f>SI!D1420</f>
        <v>0</v>
      </c>
      <c r="AB30" s="112">
        <f t="shared" si="1"/>
        <v>-468.30442207276917</v>
      </c>
      <c r="AC30" s="107">
        <f t="shared" si="10"/>
        <v>-0.46830442207276918</v>
      </c>
    </row>
    <row r="31" spans="1:29" ht="17" x14ac:dyDescent="0.2">
      <c r="A31" s="66" t="s">
        <v>156</v>
      </c>
      <c r="B31" s="4" t="s">
        <v>19</v>
      </c>
      <c r="C31" s="137">
        <f>'Energy Balance'!C33</f>
        <v>0</v>
      </c>
      <c r="D31" s="137">
        <f t="shared" si="0"/>
        <v>0</v>
      </c>
      <c r="E31" s="137">
        <f>'Energy Balance'!E33</f>
        <v>167.14285714285717</v>
      </c>
      <c r="F31" s="139">
        <f t="shared" si="2"/>
        <v>-167.14285714285717</v>
      </c>
      <c r="G31" s="151">
        <f t="shared" si="3"/>
        <v>69.180739457142877</v>
      </c>
      <c r="H31" s="187">
        <f>'Energy Balance'!V33</f>
        <v>1700.1772554325071</v>
      </c>
      <c r="I31" s="142">
        <f t="shared" si="4"/>
        <v>737.87692885770809</v>
      </c>
      <c r="J31" s="189">
        <f>'Energy Balance'!S33</f>
        <v>47.395267306239418</v>
      </c>
      <c r="K31" s="190">
        <f t="shared" si="5"/>
        <v>21.517451357032698</v>
      </c>
      <c r="L31" s="199">
        <f>'Energy Balance'!O33</f>
        <v>0.34991720066239479</v>
      </c>
      <c r="M31" s="115">
        <f>SI!D1460</f>
        <v>0</v>
      </c>
      <c r="N31" s="200">
        <f t="shared" si="6"/>
        <v>0</v>
      </c>
      <c r="O31" s="201">
        <f>SI!D1461</f>
        <v>0</v>
      </c>
      <c r="P31" s="204">
        <f t="shared" si="11"/>
        <v>0</v>
      </c>
      <c r="Q31" s="145">
        <f>SI!D1489</f>
        <v>0</v>
      </c>
      <c r="R31" s="112">
        <f t="shared" si="7"/>
        <v>0</v>
      </c>
      <c r="S31" s="114">
        <f>SI!D1491</f>
        <v>0</v>
      </c>
      <c r="T31" s="112">
        <f t="shared" si="8"/>
        <v>0</v>
      </c>
      <c r="U31" s="138">
        <f>'Energy Balance'!H33</f>
        <v>0</v>
      </c>
      <c r="V31" s="138">
        <f>'Energy Balance'!I33</f>
        <v>4237.5</v>
      </c>
      <c r="W31" s="138">
        <f>'Energy Balance'!J33</f>
        <v>0</v>
      </c>
      <c r="X31" s="138">
        <f>'Energy Balance'!K33</f>
        <v>0</v>
      </c>
      <c r="Y31" s="144">
        <f>'Energy Balance'!L33</f>
        <v>0</v>
      </c>
      <c r="Z31" s="207">
        <f t="shared" si="9"/>
        <v>1351.7625</v>
      </c>
      <c r="AA31" s="113">
        <f>SI!D1494</f>
        <v>0</v>
      </c>
      <c r="AB31" s="112">
        <f t="shared" si="1"/>
        <v>-523.18738032811643</v>
      </c>
      <c r="AC31" s="107">
        <f t="shared" si="10"/>
        <v>-0.5231873803281164</v>
      </c>
    </row>
    <row r="32" spans="1:29" ht="17" x14ac:dyDescent="0.2">
      <c r="A32" s="67" t="s">
        <v>157</v>
      </c>
      <c r="B32" s="4" t="s">
        <v>58</v>
      </c>
      <c r="C32" s="137">
        <f>'Energy Balance'!C34</f>
        <v>0</v>
      </c>
      <c r="D32" s="137">
        <f t="shared" si="0"/>
        <v>0</v>
      </c>
      <c r="E32" s="137">
        <f>'Energy Balance'!E34</f>
        <v>133.11372037399434</v>
      </c>
      <c r="F32" s="139">
        <f t="shared" si="2"/>
        <v>-133.11372037399434</v>
      </c>
      <c r="G32" s="151">
        <f t="shared" si="3"/>
        <v>55.09601645431615</v>
      </c>
      <c r="H32" s="187">
        <f>'Energy Balance'!V34</f>
        <v>347.53932014205981</v>
      </c>
      <c r="I32" s="142">
        <f t="shared" si="4"/>
        <v>150.83206494165395</v>
      </c>
      <c r="J32" s="189">
        <f>'Energy Balance'!S34</f>
        <v>17.00135945799531</v>
      </c>
      <c r="K32" s="190">
        <f t="shared" si="5"/>
        <v>7.7186171939298713</v>
      </c>
      <c r="L32" s="199">
        <f>'Energy Balance'!O34</f>
        <v>0.12554999999999999</v>
      </c>
      <c r="M32" s="115">
        <f>SI!D1534</f>
        <v>0</v>
      </c>
      <c r="N32" s="200">
        <f t="shared" si="6"/>
        <v>0</v>
      </c>
      <c r="O32" s="201">
        <f>SI!D1535</f>
        <v>0</v>
      </c>
      <c r="P32" s="204">
        <f t="shared" si="11"/>
        <v>0</v>
      </c>
      <c r="Q32" s="145">
        <f>SI!D1561</f>
        <v>0</v>
      </c>
      <c r="R32" s="112">
        <f t="shared" si="7"/>
        <v>0</v>
      </c>
      <c r="S32" s="114">
        <f>SI!D1563</f>
        <v>0</v>
      </c>
      <c r="T32" s="112">
        <f t="shared" si="8"/>
        <v>0</v>
      </c>
      <c r="U32" s="138">
        <f>'Energy Balance'!H34</f>
        <v>0</v>
      </c>
      <c r="V32" s="138">
        <f>'Energy Balance'!I34</f>
        <v>5051.8356970562209</v>
      </c>
      <c r="W32" s="138">
        <f>'Energy Balance'!J34</f>
        <v>0</v>
      </c>
      <c r="X32" s="138">
        <f>'Energy Balance'!K34</f>
        <v>0</v>
      </c>
      <c r="Y32" s="144">
        <f>'Energy Balance'!L34</f>
        <v>0</v>
      </c>
      <c r="Z32" s="207">
        <f t="shared" si="9"/>
        <v>1611.5355873609344</v>
      </c>
      <c r="AA32" s="113">
        <f>SI!D1566</f>
        <v>0</v>
      </c>
      <c r="AB32" s="112">
        <f t="shared" si="1"/>
        <v>-1397.8888887710345</v>
      </c>
      <c r="AC32" s="107">
        <f t="shared" si="10"/>
        <v>-1.3978888887710346</v>
      </c>
    </row>
    <row r="33" spans="1:29" ht="17" x14ac:dyDescent="0.2">
      <c r="A33" s="67" t="s">
        <v>158</v>
      </c>
      <c r="B33" s="4" t="s">
        <v>58</v>
      </c>
      <c r="C33" s="137">
        <f>'Energy Balance'!C35</f>
        <v>0</v>
      </c>
      <c r="D33" s="137">
        <f t="shared" si="0"/>
        <v>0</v>
      </c>
      <c r="E33" s="137">
        <f>'Energy Balance'!E35</f>
        <v>255.69471624266137</v>
      </c>
      <c r="F33" s="139">
        <f t="shared" si="2"/>
        <v>-255.69471624266137</v>
      </c>
      <c r="G33" s="151">
        <f t="shared" si="3"/>
        <v>105.83251864500976</v>
      </c>
      <c r="H33" s="187">
        <f>'Energy Balance'!V35</f>
        <v>13.001014713343478</v>
      </c>
      <c r="I33" s="142">
        <f t="shared" si="4"/>
        <v>5.6424403855910699</v>
      </c>
      <c r="J33" s="189">
        <f>'Energy Balance'!S35</f>
        <v>17.00135945799531</v>
      </c>
      <c r="K33" s="190">
        <f t="shared" si="5"/>
        <v>7.7186171939298713</v>
      </c>
      <c r="L33" s="199">
        <f>'Energy Balance'!O35</f>
        <v>0.12554999999999999</v>
      </c>
      <c r="M33" s="115">
        <f>SI!D1618</f>
        <v>0</v>
      </c>
      <c r="N33" s="200">
        <f t="shared" si="6"/>
        <v>0</v>
      </c>
      <c r="O33" s="201">
        <f>SI!D1619</f>
        <v>0</v>
      </c>
      <c r="P33" s="204">
        <f t="shared" si="11"/>
        <v>0</v>
      </c>
      <c r="Q33" s="145">
        <f>SI!D1645</f>
        <v>0</v>
      </c>
      <c r="R33" s="112">
        <f t="shared" si="7"/>
        <v>0</v>
      </c>
      <c r="S33" s="114">
        <f>SI!D1647</f>
        <v>0</v>
      </c>
      <c r="T33" s="112">
        <f t="shared" si="8"/>
        <v>0</v>
      </c>
      <c r="U33" s="138">
        <f>'Energy Balance'!H35</f>
        <v>0</v>
      </c>
      <c r="V33" s="138">
        <f>'Energy Balance'!I35</f>
        <v>5051.8356970562209</v>
      </c>
      <c r="W33" s="138">
        <f>'Energy Balance'!J35</f>
        <v>0</v>
      </c>
      <c r="X33" s="138">
        <f>'Energy Balance'!K35</f>
        <v>0</v>
      </c>
      <c r="Y33" s="144">
        <f>'Energy Balance'!L35</f>
        <v>0</v>
      </c>
      <c r="Z33" s="207">
        <f t="shared" si="9"/>
        <v>1611.5355873609344</v>
      </c>
      <c r="AA33" s="113">
        <f>SI!D1650</f>
        <v>0</v>
      </c>
      <c r="AB33" s="112">
        <f t="shared" si="1"/>
        <v>-1492.3420111364037</v>
      </c>
      <c r="AC33" s="107">
        <f t="shared" si="10"/>
        <v>-1.4923420111364036</v>
      </c>
    </row>
    <row r="34" spans="1:29" ht="17" x14ac:dyDescent="0.2">
      <c r="A34" s="67" t="s">
        <v>159</v>
      </c>
      <c r="B34" s="4" t="s">
        <v>58</v>
      </c>
      <c r="C34" s="137">
        <f>'Energy Balance'!C36</f>
        <v>129.55715010509527</v>
      </c>
      <c r="D34" s="137">
        <f t="shared" si="0"/>
        <v>0</v>
      </c>
      <c r="E34" s="137">
        <f>'Energy Balance'!E36</f>
        <v>60</v>
      </c>
      <c r="F34" s="139">
        <f t="shared" si="2"/>
        <v>69.557150105095275</v>
      </c>
      <c r="G34" s="151">
        <f t="shared" si="3"/>
        <v>-28.789833804798132</v>
      </c>
      <c r="H34" s="187">
        <f>'Energy Balance'!V36</f>
        <v>684.93150684931493</v>
      </c>
      <c r="I34" s="142">
        <f t="shared" si="4"/>
        <v>297.2602739726027</v>
      </c>
      <c r="J34" s="189">
        <f>'Energy Balance'!S36</f>
        <v>17.00135945799531</v>
      </c>
      <c r="K34" s="190">
        <f t="shared" si="5"/>
        <v>7.7186171939298713</v>
      </c>
      <c r="L34" s="199">
        <f>'Energy Balance'!O36</f>
        <v>0.12554999999999999</v>
      </c>
      <c r="M34" s="115">
        <f>SI!D1705</f>
        <v>0</v>
      </c>
      <c r="N34" s="200">
        <f t="shared" si="6"/>
        <v>0</v>
      </c>
      <c r="O34" s="201">
        <f>SI!D1705</f>
        <v>0</v>
      </c>
      <c r="P34" s="204">
        <f t="shared" si="11"/>
        <v>0</v>
      </c>
      <c r="Q34" s="145">
        <f>SI!D1728</f>
        <v>0</v>
      </c>
      <c r="R34" s="112">
        <f t="shared" si="7"/>
        <v>0</v>
      </c>
      <c r="S34" s="114">
        <f>SI!D1730</f>
        <v>0</v>
      </c>
      <c r="T34" s="112">
        <f t="shared" si="8"/>
        <v>0</v>
      </c>
      <c r="U34" s="138">
        <f>'Energy Balance'!H36</f>
        <v>0</v>
      </c>
      <c r="V34" s="138">
        <f>'Energy Balance'!I36</f>
        <v>5051.8356970562209</v>
      </c>
      <c r="W34" s="138">
        <f>'Energy Balance'!J36</f>
        <v>0</v>
      </c>
      <c r="X34" s="138">
        <f>'Energy Balance'!K36</f>
        <v>0</v>
      </c>
      <c r="Y34" s="144">
        <f>'Energy Balance'!L36</f>
        <v>0</v>
      </c>
      <c r="Z34" s="207">
        <f t="shared" si="9"/>
        <v>1611.5355873609344</v>
      </c>
      <c r="AA34" s="113">
        <f>SI!D1733</f>
        <v>0</v>
      </c>
      <c r="AB34" s="112">
        <f t="shared" si="1"/>
        <v>-1335.3465299991999</v>
      </c>
      <c r="AC34" s="107">
        <f t="shared" si="10"/>
        <v>-1.3353465299992</v>
      </c>
    </row>
    <row r="35" spans="1:29" ht="17" x14ac:dyDescent="0.2">
      <c r="A35" s="67" t="s">
        <v>160</v>
      </c>
      <c r="B35" s="4" t="s">
        <v>58</v>
      </c>
      <c r="C35" s="137">
        <f>'Energy Balance'!C37</f>
        <v>0</v>
      </c>
      <c r="D35" s="137">
        <f t="shared" si="0"/>
        <v>0</v>
      </c>
      <c r="E35" s="137">
        <f>'Energy Balance'!E37</f>
        <v>222.17293614553884</v>
      </c>
      <c r="F35" s="139">
        <f t="shared" si="2"/>
        <v>-222.17293614553884</v>
      </c>
      <c r="G35" s="151">
        <f t="shared" si="3"/>
        <v>91.95779151229975</v>
      </c>
      <c r="H35" s="187">
        <f>'Energy Balance'!V37</f>
        <v>0</v>
      </c>
      <c r="I35" s="142">
        <f t="shared" si="4"/>
        <v>0</v>
      </c>
      <c r="J35" s="189">
        <f>'Energy Balance'!S37</f>
        <v>17.00135945799531</v>
      </c>
      <c r="K35" s="190">
        <f t="shared" si="5"/>
        <v>7.7186171939298713</v>
      </c>
      <c r="L35" s="199">
        <f>'Energy Balance'!O37</f>
        <v>0.12554999999999999</v>
      </c>
      <c r="M35" s="115">
        <f>SI!D1789</f>
        <v>0</v>
      </c>
      <c r="N35" s="200">
        <f t="shared" si="6"/>
        <v>0</v>
      </c>
      <c r="O35" s="201">
        <f>SI!D1790</f>
        <v>0</v>
      </c>
      <c r="P35" s="204">
        <f t="shared" si="11"/>
        <v>0</v>
      </c>
      <c r="Q35" s="145">
        <f>SI!D1816</f>
        <v>0</v>
      </c>
      <c r="R35" s="112">
        <f t="shared" si="7"/>
        <v>0</v>
      </c>
      <c r="S35" s="114">
        <f>SI!D1818</f>
        <v>0</v>
      </c>
      <c r="T35" s="112">
        <f t="shared" si="8"/>
        <v>0</v>
      </c>
      <c r="U35" s="138">
        <f>'Energy Balance'!H37</f>
        <v>0</v>
      </c>
      <c r="V35" s="138">
        <f>'Energy Balance'!I37</f>
        <v>5051.8356970562209</v>
      </c>
      <c r="W35" s="138">
        <f>'Energy Balance'!J37</f>
        <v>0</v>
      </c>
      <c r="X35" s="138">
        <f>'Energy Balance'!K37</f>
        <v>0</v>
      </c>
      <c r="Y35" s="144">
        <f>'Energy Balance'!L37</f>
        <v>0</v>
      </c>
      <c r="Z35" s="207">
        <f t="shared" si="9"/>
        <v>1611.5355873609344</v>
      </c>
      <c r="AA35" s="113">
        <f>SI!D1821</f>
        <v>0</v>
      </c>
      <c r="AB35" s="112">
        <f t="shared" si="1"/>
        <v>-1511.8591786547047</v>
      </c>
      <c r="AC35" s="107">
        <f t="shared" si="10"/>
        <v>-1.5118591786547046</v>
      </c>
    </row>
    <row r="36" spans="1:29" ht="17" x14ac:dyDescent="0.2">
      <c r="A36" s="67" t="s">
        <v>139</v>
      </c>
      <c r="B36" s="4" t="s">
        <v>75</v>
      </c>
      <c r="C36" s="137">
        <f>'Energy Balance'!C38</f>
        <v>660.96</v>
      </c>
      <c r="D36" s="137">
        <f t="shared" si="0"/>
        <v>0</v>
      </c>
      <c r="E36" s="137">
        <f>'Energy Balance'!E38</f>
        <v>60</v>
      </c>
      <c r="F36" s="139">
        <f>C36+D36-E36</f>
        <v>600.96</v>
      </c>
      <c r="G36" s="151">
        <f t="shared" si="3"/>
        <v>-248.73846178560004</v>
      </c>
      <c r="H36" s="187">
        <f>'Energy Balance'!V38</f>
        <v>0</v>
      </c>
      <c r="I36" s="142">
        <f t="shared" si="4"/>
        <v>0</v>
      </c>
      <c r="J36" s="189">
        <f>'Energy Balance'!S38</f>
        <v>6.7707524723199164</v>
      </c>
      <c r="K36" s="190">
        <f t="shared" si="5"/>
        <v>3.0739216224332422</v>
      </c>
      <c r="L36" s="199">
        <f>'Energy Balance'!O38</f>
        <v>0.05</v>
      </c>
      <c r="M36" s="115">
        <f>SI!D1873</f>
        <v>0</v>
      </c>
      <c r="N36" s="200">
        <f t="shared" si="6"/>
        <v>0</v>
      </c>
      <c r="O36" s="201">
        <f>SI!D1874</f>
        <v>0</v>
      </c>
      <c r="P36" s="204">
        <f t="shared" si="11"/>
        <v>0</v>
      </c>
      <c r="Q36" s="145">
        <f>SI!D1883</f>
        <v>0</v>
      </c>
      <c r="R36" s="112">
        <f t="shared" si="7"/>
        <v>0</v>
      </c>
      <c r="S36" s="114">
        <f>SI!D1885</f>
        <v>0</v>
      </c>
      <c r="T36" s="112">
        <f t="shared" si="8"/>
        <v>0</v>
      </c>
      <c r="U36" s="138">
        <f>'Energy Balance'!H38</f>
        <v>0</v>
      </c>
      <c r="V36" s="138">
        <f>'Energy Balance'!I38</f>
        <v>0</v>
      </c>
      <c r="W36" s="138">
        <f>'Energy Balance'!J38</f>
        <v>0</v>
      </c>
      <c r="X36" s="138">
        <f>'Energy Balance'!K38</f>
        <v>0</v>
      </c>
      <c r="Y36" s="144">
        <f>'Energy Balance'!L38</f>
        <v>0</v>
      </c>
      <c r="Z36" s="207">
        <f t="shared" si="9"/>
        <v>0</v>
      </c>
      <c r="AA36" s="113">
        <f>SI!D1888</f>
        <v>0</v>
      </c>
      <c r="AB36" s="112">
        <f t="shared" si="1"/>
        <v>-245.66454016316681</v>
      </c>
      <c r="AC36" s="107">
        <f t="shared" si="10"/>
        <v>-0.2456645401631668</v>
      </c>
    </row>
    <row r="37" spans="1:29" ht="17" x14ac:dyDescent="0.2">
      <c r="A37" s="67" t="s">
        <v>140</v>
      </c>
      <c r="B37" s="4" t="s">
        <v>75</v>
      </c>
      <c r="C37" s="137">
        <f>'Energy Balance'!C39</f>
        <v>534.38400000000001</v>
      </c>
      <c r="D37" s="137">
        <f t="shared" si="0"/>
        <v>0</v>
      </c>
      <c r="E37" s="137">
        <f>'Energy Balance'!E39</f>
        <v>60</v>
      </c>
      <c r="F37" s="139">
        <f t="shared" si="2"/>
        <v>474.38400000000001</v>
      </c>
      <c r="G37" s="151">
        <f t="shared" si="3"/>
        <v>-196.34841995424</v>
      </c>
      <c r="H37" s="187">
        <f>'Energy Balance'!V39</f>
        <v>0</v>
      </c>
      <c r="I37" s="142">
        <f t="shared" si="4"/>
        <v>0</v>
      </c>
      <c r="J37" s="189">
        <f>'Energy Balance'!S39</f>
        <v>10.833203955711868</v>
      </c>
      <c r="K37" s="190">
        <f t="shared" si="5"/>
        <v>4.9182745958931884</v>
      </c>
      <c r="L37" s="199">
        <f>'Energy Balance'!O39</f>
        <v>0.08</v>
      </c>
      <c r="M37" s="115">
        <f>SI!D1931</f>
        <v>0</v>
      </c>
      <c r="N37" s="200">
        <f t="shared" si="6"/>
        <v>0</v>
      </c>
      <c r="O37" s="201">
        <f>SI!D1932</f>
        <v>0</v>
      </c>
      <c r="P37" s="204">
        <f t="shared" si="11"/>
        <v>0</v>
      </c>
      <c r="Q37" s="145">
        <f>SI!D1941</f>
        <v>0</v>
      </c>
      <c r="R37" s="112">
        <f t="shared" si="7"/>
        <v>0</v>
      </c>
      <c r="S37" s="114">
        <f>SI!D1943</f>
        <v>0</v>
      </c>
      <c r="T37" s="112">
        <f t="shared" si="8"/>
        <v>0</v>
      </c>
      <c r="U37" s="138">
        <f>'Energy Balance'!H39</f>
        <v>0</v>
      </c>
      <c r="V37" s="138">
        <f>'Energy Balance'!I39</f>
        <v>0</v>
      </c>
      <c r="W37" s="138">
        <f>'Energy Balance'!J39</f>
        <v>0</v>
      </c>
      <c r="X37" s="138">
        <f>'Energy Balance'!K39</f>
        <v>0</v>
      </c>
      <c r="Y37" s="144">
        <f>'Energy Balance'!L39</f>
        <v>0</v>
      </c>
      <c r="Z37" s="207">
        <f t="shared" si="9"/>
        <v>0</v>
      </c>
      <c r="AA37" s="113">
        <f>SI!D1946</f>
        <v>0</v>
      </c>
      <c r="AB37" s="112">
        <f t="shared" si="1"/>
        <v>-191.43014535834681</v>
      </c>
      <c r="AC37" s="107">
        <f t="shared" si="10"/>
        <v>-0.19143014535834679</v>
      </c>
    </row>
    <row r="38" spans="1:29" ht="17" x14ac:dyDescent="0.2">
      <c r="A38" s="45" t="s">
        <v>586</v>
      </c>
      <c r="B38" s="4" t="s">
        <v>76</v>
      </c>
      <c r="C38" s="137">
        <f>'Energy Balance'!C40</f>
        <v>0</v>
      </c>
      <c r="D38" s="137">
        <f t="shared" si="0"/>
        <v>0</v>
      </c>
      <c r="E38" s="137">
        <f>'Energy Balance'!E40</f>
        <v>308.76666666666665</v>
      </c>
      <c r="F38" s="139">
        <f t="shared" si="2"/>
        <v>-308.76666666666665</v>
      </c>
      <c r="G38" s="151">
        <f t="shared" si="3"/>
        <v>127.79909763933333</v>
      </c>
      <c r="H38" s="187">
        <f>'Energy Balance'!V40</f>
        <v>0</v>
      </c>
      <c r="I38" s="142">
        <f t="shared" si="4"/>
        <v>0</v>
      </c>
      <c r="J38" s="189">
        <f>'Energy Balance'!S40</f>
        <v>0.68610291719508432</v>
      </c>
      <c r="K38" s="190">
        <f t="shared" si="5"/>
        <v>0.31149072440656828</v>
      </c>
      <c r="L38" s="199">
        <f>'Energy Balance'!O40</f>
        <v>3.7333333333333305E-4</v>
      </c>
      <c r="M38" s="115">
        <f>SI!D1992</f>
        <v>0</v>
      </c>
      <c r="N38" s="200">
        <f t="shared" si="6"/>
        <v>0</v>
      </c>
      <c r="O38" s="201">
        <f>SI!D1993</f>
        <v>0</v>
      </c>
      <c r="P38" s="204">
        <f t="shared" si="11"/>
        <v>0</v>
      </c>
      <c r="Q38" s="145">
        <f>SI!D2015</f>
        <v>0</v>
      </c>
      <c r="R38" s="112">
        <f t="shared" si="7"/>
        <v>0</v>
      </c>
      <c r="S38" s="114">
        <f>SI!D2017</f>
        <v>0</v>
      </c>
      <c r="T38" s="112">
        <f t="shared" si="8"/>
        <v>0</v>
      </c>
      <c r="U38" s="138">
        <f>'Energy Balance'!H40</f>
        <v>0</v>
      </c>
      <c r="V38" s="138">
        <f>'Energy Balance'!I40</f>
        <v>0</v>
      </c>
      <c r="W38" s="138">
        <f>'Energy Balance'!J40</f>
        <v>0</v>
      </c>
      <c r="X38" s="138">
        <f>'Energy Balance'!K40</f>
        <v>0</v>
      </c>
      <c r="Y38" s="144">
        <f>'Energy Balance'!L40</f>
        <v>1712.0592592592593</v>
      </c>
      <c r="Z38" s="207">
        <f t="shared" si="9"/>
        <v>1751.4366222222222</v>
      </c>
      <c r="AA38" s="113">
        <f>SI!D2020</f>
        <v>0</v>
      </c>
      <c r="AB38" s="112">
        <f t="shared" si="1"/>
        <v>-1623.3260338584823</v>
      </c>
      <c r="AC38" s="107">
        <f t="shared" si="10"/>
        <v>-1.6233260338584823</v>
      </c>
    </row>
    <row r="39" spans="1:29" ht="17" x14ac:dyDescent="0.2">
      <c r="A39" s="67" t="s">
        <v>142</v>
      </c>
      <c r="B39" s="4" t="s">
        <v>76</v>
      </c>
      <c r="C39" s="137">
        <f>'Energy Balance'!C41</f>
        <v>0</v>
      </c>
      <c r="D39" s="137">
        <f t="shared" si="0"/>
        <v>0</v>
      </c>
      <c r="E39" s="137">
        <f>'Energy Balance'!E41</f>
        <v>308.76666666666665</v>
      </c>
      <c r="F39" s="139">
        <f t="shared" si="2"/>
        <v>-308.76666666666665</v>
      </c>
      <c r="G39" s="151">
        <f t="shared" si="3"/>
        <v>127.79909763933333</v>
      </c>
      <c r="H39" s="187">
        <f>'Energy Balance'!V41</f>
        <v>3440.1376375146538</v>
      </c>
      <c r="I39" s="142">
        <f t="shared" si="4"/>
        <v>1493.0197346813598</v>
      </c>
      <c r="J39" s="189">
        <f>'Energy Balance'!S41</f>
        <v>0.68610291719508432</v>
      </c>
      <c r="K39" s="190">
        <f t="shared" si="5"/>
        <v>0.31149072440656828</v>
      </c>
      <c r="L39" s="199">
        <f>'Energy Balance'!O41</f>
        <v>3.7333333333333305E-4</v>
      </c>
      <c r="M39" s="115">
        <f>SI!D2063</f>
        <v>0</v>
      </c>
      <c r="N39" s="200">
        <f t="shared" si="6"/>
        <v>0</v>
      </c>
      <c r="O39" s="201">
        <f>SI!D2064</f>
        <v>0</v>
      </c>
      <c r="P39" s="204">
        <f t="shared" si="11"/>
        <v>0</v>
      </c>
      <c r="Q39" s="145">
        <f>SI!D2091</f>
        <v>0</v>
      </c>
      <c r="R39" s="112">
        <f t="shared" si="7"/>
        <v>0</v>
      </c>
      <c r="S39" s="114">
        <f>SI!D2093</f>
        <v>0</v>
      </c>
      <c r="T39" s="112">
        <f t="shared" si="8"/>
        <v>0</v>
      </c>
      <c r="U39" s="138">
        <f>'Energy Balance'!H41</f>
        <v>0</v>
      </c>
      <c r="V39" s="138">
        <f>'Energy Balance'!I41</f>
        <v>0</v>
      </c>
      <c r="W39" s="138">
        <f>'Energy Balance'!J41</f>
        <v>0</v>
      </c>
      <c r="X39" s="138">
        <f>'Energy Balance'!K41</f>
        <v>0</v>
      </c>
      <c r="Y39" s="144">
        <f>'Energy Balance'!L41</f>
        <v>5113.9111111111106</v>
      </c>
      <c r="Z39" s="207">
        <f t="shared" si="9"/>
        <v>5231.5310666666664</v>
      </c>
      <c r="AA39" s="113">
        <f>SI!D2096</f>
        <v>0</v>
      </c>
      <c r="AB39" s="112">
        <f t="shared" si="1"/>
        <v>-3610.400743621567</v>
      </c>
      <c r="AC39" s="107">
        <f t="shared" si="10"/>
        <v>-3.6104007436215668</v>
      </c>
    </row>
    <row r="40" spans="1:29" ht="17" x14ac:dyDescent="0.2">
      <c r="A40" s="67" t="s">
        <v>141</v>
      </c>
      <c r="B40" s="4" t="s">
        <v>77</v>
      </c>
      <c r="C40" s="137">
        <f>'Energy Balance'!C42</f>
        <v>0</v>
      </c>
      <c r="D40" s="137">
        <f t="shared" si="0"/>
        <v>0</v>
      </c>
      <c r="E40" s="137">
        <f>'Energy Balance'!E42</f>
        <v>582.28588679245286</v>
      </c>
      <c r="F40" s="139">
        <f t="shared" si="2"/>
        <v>-582.28588679245286</v>
      </c>
      <c r="G40" s="151">
        <f t="shared" si="3"/>
        <v>241.00921159514567</v>
      </c>
      <c r="H40" s="187">
        <f>'Energy Balance'!V42</f>
        <v>1.1054821802935011</v>
      </c>
      <c r="I40" s="142">
        <f t="shared" si="4"/>
        <v>0.47977926624737949</v>
      </c>
      <c r="J40" s="189">
        <f>'Energy Balance'!S42</f>
        <v>0.15765377756680304</v>
      </c>
      <c r="K40" s="190">
        <f t="shared" si="5"/>
        <v>7.1574815015328586E-2</v>
      </c>
      <c r="L40" s="199">
        <v>0</v>
      </c>
      <c r="M40" s="115">
        <f>SI!D2134</f>
        <v>0</v>
      </c>
      <c r="N40" s="200">
        <f t="shared" si="6"/>
        <v>0</v>
      </c>
      <c r="O40" s="201">
        <f>SI!D2135</f>
        <v>0</v>
      </c>
      <c r="P40" s="204">
        <f t="shared" si="11"/>
        <v>0</v>
      </c>
      <c r="Q40" s="145">
        <f>SI!D2180</f>
        <v>0</v>
      </c>
      <c r="R40" s="112">
        <f t="shared" si="7"/>
        <v>0</v>
      </c>
      <c r="S40" s="114">
        <f>SI!D2182</f>
        <v>0</v>
      </c>
      <c r="T40" s="112">
        <f t="shared" si="8"/>
        <v>0</v>
      </c>
      <c r="U40" s="138">
        <f>'Energy Balance'!H42</f>
        <v>65.153719461279834</v>
      </c>
      <c r="V40" s="138">
        <f>'Energy Balance'!I42</f>
        <v>1915.968859538784</v>
      </c>
      <c r="W40" s="138">
        <f>'Energy Balance'!J42</f>
        <v>0</v>
      </c>
      <c r="X40" s="138">
        <f>'Energy Balance'!K42</f>
        <v>800.6254402515724</v>
      </c>
      <c r="Y40" s="144">
        <f>'Energy Balance'!L42</f>
        <v>0</v>
      </c>
      <c r="Z40" s="207">
        <f t="shared" si="9"/>
        <v>988.24529589747567</v>
      </c>
      <c r="AA40" s="113">
        <f>SI!D2185</f>
        <v>0</v>
      </c>
      <c r="AB40" s="112">
        <f t="shared" si="1"/>
        <v>-746.6847302210673</v>
      </c>
      <c r="AC40" s="107">
        <f t="shared" si="10"/>
        <v>-0.74668473022106729</v>
      </c>
    </row>
    <row r="41" spans="1:29" ht="17" x14ac:dyDescent="0.2">
      <c r="A41" s="66" t="s">
        <v>73</v>
      </c>
      <c r="B41" s="4" t="s">
        <v>74</v>
      </c>
      <c r="C41" s="137">
        <f>'Energy Balance'!C43</f>
        <v>0</v>
      </c>
      <c r="D41" s="137">
        <f t="shared" si="0"/>
        <v>0</v>
      </c>
      <c r="E41" s="137">
        <f>'Energy Balance'!E43</f>
        <v>294.61111111111109</v>
      </c>
      <c r="F41" s="139">
        <f t="shared" si="2"/>
        <v>-294.61111111111109</v>
      </c>
      <c r="G41" s="151">
        <f t="shared" si="3"/>
        <v>121.94008686555554</v>
      </c>
      <c r="H41" s="187">
        <f>'Energy Balance'!V43</f>
        <v>94</v>
      </c>
      <c r="I41" s="142">
        <f t="shared" si="4"/>
        <v>40.795999999999999</v>
      </c>
      <c r="J41" s="189">
        <f>'Energy Balance'!S43</f>
        <v>0.13541504944639832</v>
      </c>
      <c r="K41" s="190">
        <f t="shared" si="5"/>
        <v>6.1478432448664834E-2</v>
      </c>
      <c r="L41" s="199">
        <v>0</v>
      </c>
      <c r="M41" s="115">
        <f>SI!D2232</f>
        <v>0</v>
      </c>
      <c r="N41" s="200">
        <f t="shared" si="6"/>
        <v>0</v>
      </c>
      <c r="O41" s="201">
        <f>SI!D2233</f>
        <v>0</v>
      </c>
      <c r="P41" s="204">
        <f t="shared" si="11"/>
        <v>0</v>
      </c>
      <c r="Q41" s="145">
        <f>SI!D2271</f>
        <v>0</v>
      </c>
      <c r="R41" s="112">
        <f t="shared" si="7"/>
        <v>0</v>
      </c>
      <c r="S41" s="114">
        <f>SI!D2273</f>
        <v>0</v>
      </c>
      <c r="T41" s="112">
        <f t="shared" si="8"/>
        <v>0</v>
      </c>
      <c r="U41" s="138">
        <f>'Energy Balance'!H43</f>
        <v>0</v>
      </c>
      <c r="V41" s="138">
        <f>'Energy Balance'!I43</f>
        <v>2062.490299823633</v>
      </c>
      <c r="W41" s="138">
        <f>'Energy Balance'!J43</f>
        <v>0</v>
      </c>
      <c r="X41" s="138">
        <f>'Energy Balance'!K43</f>
        <v>709.49443856554967</v>
      </c>
      <c r="Y41" s="144">
        <f>'Energy Balance'!L43</f>
        <v>1088.8888888888889</v>
      </c>
      <c r="Z41" s="207">
        <f t="shared" si="9"/>
        <v>2079.788325314521</v>
      </c>
      <c r="AA41" s="113">
        <f>SI!D2276</f>
        <v>0</v>
      </c>
      <c r="AB41" s="112">
        <f t="shared" si="1"/>
        <v>-1916.9907600165168</v>
      </c>
      <c r="AC41" s="107">
        <f t="shared" si="10"/>
        <v>-1.9169907600165168</v>
      </c>
    </row>
    <row r="42" spans="1:29" ht="18" thickBot="1" x14ac:dyDescent="0.25">
      <c r="A42" s="80" t="s">
        <v>161</v>
      </c>
      <c r="B42" s="4" t="s">
        <v>96</v>
      </c>
      <c r="C42" s="137">
        <f>'Energy Balance'!C44</f>
        <v>178.66666666666666</v>
      </c>
      <c r="D42" s="137">
        <f t="shared" si="0"/>
        <v>0</v>
      </c>
      <c r="E42" s="137">
        <f>'Energy Balance'!E44</f>
        <v>0</v>
      </c>
      <c r="F42" s="139">
        <f t="shared" si="2"/>
        <v>178.66666666666666</v>
      </c>
      <c r="G42" s="151">
        <f t="shared" si="3"/>
        <v>-73.950465653333339</v>
      </c>
      <c r="H42" s="187">
        <f>'Energy Balance'!V44</f>
        <v>0</v>
      </c>
      <c r="I42" s="143">
        <f t="shared" si="4"/>
        <v>0</v>
      </c>
      <c r="J42" s="189">
        <f>'Energy Balance'!S44</f>
        <v>230.74724425666275</v>
      </c>
      <c r="K42" s="190">
        <f t="shared" si="5"/>
        <v>104.75924889252489</v>
      </c>
      <c r="L42" s="199">
        <v>0</v>
      </c>
      <c r="M42" s="115">
        <f>SI!D2335</f>
        <v>0</v>
      </c>
      <c r="N42" s="200">
        <f t="shared" si="6"/>
        <v>0</v>
      </c>
      <c r="O42" s="201">
        <f>SI!D2336</f>
        <v>0</v>
      </c>
      <c r="P42" s="205">
        <f t="shared" si="11"/>
        <v>0</v>
      </c>
      <c r="Q42" s="145">
        <f>SI!D2357</f>
        <v>0.34079999999999994</v>
      </c>
      <c r="R42" s="112">
        <f t="shared" si="7"/>
        <v>76.604050285714266</v>
      </c>
      <c r="S42" s="114">
        <f>SI!D2359</f>
        <v>0</v>
      </c>
      <c r="T42" s="112">
        <f t="shared" si="8"/>
        <v>0</v>
      </c>
      <c r="U42" s="138">
        <f>'Energy Balance'!H44</f>
        <v>0</v>
      </c>
      <c r="V42" s="138">
        <f>'Energy Balance'!I44</f>
        <v>0</v>
      </c>
      <c r="W42" s="138">
        <f>'Energy Balance'!J44</f>
        <v>0</v>
      </c>
      <c r="X42" s="138">
        <f>'Energy Balance'!K44</f>
        <v>0</v>
      </c>
      <c r="Y42" s="144">
        <f>'Energy Balance'!L44</f>
        <v>1040.7407407407406</v>
      </c>
      <c r="Z42" s="147">
        <f t="shared" si="9"/>
        <v>1064.6777777777777</v>
      </c>
      <c r="AA42" s="113">
        <f>SI!D2362</f>
        <v>130</v>
      </c>
      <c r="AB42" s="112">
        <f t="shared" si="1"/>
        <v>-1087.2649442528718</v>
      </c>
      <c r="AC42" s="107">
        <f t="shared" si="10"/>
        <v>-1.0872649442528719</v>
      </c>
    </row>
    <row r="43" spans="1:29" x14ac:dyDescent="0.2">
      <c r="Q43" s="4"/>
      <c r="S43" s="4"/>
      <c r="AB43" s="60"/>
    </row>
    <row r="44" spans="1:29" x14ac:dyDescent="0.2">
      <c r="Q44" s="4"/>
      <c r="S44" s="4"/>
    </row>
    <row r="45" spans="1:29" x14ac:dyDescent="0.2">
      <c r="Q45" s="4"/>
      <c r="S45" s="4"/>
    </row>
    <row r="46" spans="1:29" x14ac:dyDescent="0.2">
      <c r="Q46" s="4"/>
      <c r="S46" s="4"/>
    </row>
  </sheetData>
  <phoneticPr fontId="7" type="noConversion"/>
  <pageMargins left="0.25" right="0.25" top="0.75" bottom="0.75" header="0.3" footer="0.3"/>
  <pageSetup scale="19" orientation="landscape" r:id="rId1"/>
  <ignoredErrors>
    <ignoredError sqref="N34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C053-2655-2441-8350-E2A6EBBCC015}">
  <sheetPr codeName="Sheet6">
    <tabColor theme="2" tint="-0.249977111117893"/>
    <pageSetUpPr fitToPage="1"/>
  </sheetPr>
  <dimension ref="A1:O53"/>
  <sheetViews>
    <sheetView zoomScaleNormal="100" workbookViewId="0">
      <pane xSplit="2" ySplit="10" topLeftCell="C11" activePane="bottomRight" state="frozen"/>
      <selection pane="topRight"/>
      <selection pane="bottomLeft"/>
      <selection pane="bottomRight" activeCell="J36" sqref="J36"/>
    </sheetView>
  </sheetViews>
  <sheetFormatPr baseColWidth="10" defaultColWidth="11" defaultRowHeight="16" x14ac:dyDescent="0.2"/>
  <cols>
    <col min="1" max="1" width="30.6640625" style="2" bestFit="1" customWidth="1"/>
    <col min="2" max="2" width="30.6640625" style="2" hidden="1" customWidth="1"/>
    <col min="3" max="3" width="28.1640625" customWidth="1"/>
    <col min="4" max="4" width="19.33203125" style="117" customWidth="1"/>
    <col min="5" max="6" width="19.33203125" style="2" customWidth="1"/>
    <col min="7" max="7" width="19.33203125" style="17" customWidth="1"/>
    <col min="8" max="8" width="19.33203125" style="21" customWidth="1"/>
    <col min="9" max="9" width="19.33203125" style="2" customWidth="1"/>
    <col min="10" max="10" width="27" style="4" customWidth="1"/>
  </cols>
  <sheetData>
    <row r="1" spans="1:12" x14ac:dyDescent="0.2">
      <c r="A1" s="57" t="s">
        <v>7</v>
      </c>
      <c r="B1" s="7"/>
      <c r="E1" s="46" t="s">
        <v>60</v>
      </c>
      <c r="F1" s="2">
        <v>45</v>
      </c>
      <c r="G1" s="28" t="s">
        <v>61</v>
      </c>
      <c r="I1"/>
      <c r="J1" s="47" t="s">
        <v>67</v>
      </c>
      <c r="K1" s="4">
        <v>5.8000000000000003E-2</v>
      </c>
      <c r="L1" s="28" t="s">
        <v>64</v>
      </c>
    </row>
    <row r="2" spans="1:12" x14ac:dyDescent="0.2">
      <c r="A2" s="7"/>
      <c r="B2" s="7"/>
      <c r="E2" s="39" t="s">
        <v>63</v>
      </c>
      <c r="F2" s="2">
        <v>3.42</v>
      </c>
      <c r="G2" s="28" t="s">
        <v>64</v>
      </c>
      <c r="I2" s="21"/>
      <c r="J2" s="39" t="s">
        <v>68</v>
      </c>
      <c r="K2" s="4">
        <v>1.60934</v>
      </c>
    </row>
    <row r="3" spans="1:12" x14ac:dyDescent="0.2">
      <c r="A3" s="7"/>
      <c r="B3" s="7"/>
      <c r="E3" s="39" t="s">
        <v>65</v>
      </c>
      <c r="F3" s="2">
        <v>1100</v>
      </c>
      <c r="G3" s="28" t="s">
        <v>64</v>
      </c>
      <c r="I3" s="21"/>
      <c r="J3" s="39" t="s">
        <v>69</v>
      </c>
      <c r="K3" s="4">
        <v>160</v>
      </c>
    </row>
    <row r="4" spans="1:12" x14ac:dyDescent="0.2">
      <c r="A4" s="7"/>
      <c r="B4" s="7"/>
      <c r="E4" s="39" t="s">
        <v>71</v>
      </c>
      <c r="F4" s="17">
        <f>F2/F3*1000</f>
        <v>3.1090909090909089</v>
      </c>
      <c r="G4" s="17" t="s">
        <v>66</v>
      </c>
      <c r="I4" s="21"/>
      <c r="J4" s="39" t="s">
        <v>70</v>
      </c>
      <c r="K4" s="48">
        <f>K1/F3*1000/K2*K3</f>
        <v>5.2421263601001877</v>
      </c>
    </row>
    <row r="5" spans="1:12" x14ac:dyDescent="0.2">
      <c r="A5" s="7"/>
      <c r="B5" s="7"/>
      <c r="E5" s="39"/>
      <c r="F5" s="17"/>
      <c r="I5" s="21"/>
      <c r="J5" s="43" t="s">
        <v>72</v>
      </c>
      <c r="K5" s="49">
        <f>(F1+F4+K4)*1.08</f>
        <v>57.619314650726388</v>
      </c>
    </row>
    <row r="6" spans="1:12" x14ac:dyDescent="0.2">
      <c r="A6" s="7"/>
      <c r="B6" s="7"/>
      <c r="E6" s="39"/>
      <c r="F6" s="17"/>
      <c r="H6"/>
      <c r="I6" s="43"/>
      <c r="J6" s="49"/>
    </row>
    <row r="7" spans="1:12" x14ac:dyDescent="0.2">
      <c r="D7" s="118"/>
      <c r="E7"/>
      <c r="F7"/>
      <c r="G7" s="25"/>
      <c r="H7" s="24"/>
      <c r="I7"/>
      <c r="J7" s="5"/>
    </row>
    <row r="8" spans="1:12" s="96" customFormat="1" ht="17" thickBot="1" x14ac:dyDescent="0.25">
      <c r="A8" s="95"/>
      <c r="B8" s="95"/>
      <c r="D8" s="119" t="s">
        <v>163</v>
      </c>
      <c r="E8" s="96" t="s">
        <v>163</v>
      </c>
      <c r="F8" s="96" t="s">
        <v>164</v>
      </c>
      <c r="G8" s="97" t="s">
        <v>163</v>
      </c>
      <c r="H8" s="98"/>
      <c r="J8" s="94"/>
    </row>
    <row r="9" spans="1:12" ht="17" customHeight="1" thickBot="1" x14ac:dyDescent="0.25">
      <c r="A9" s="308" t="s">
        <v>9</v>
      </c>
      <c r="B9" s="62"/>
      <c r="C9" s="310" t="s">
        <v>8</v>
      </c>
      <c r="D9" s="312" t="s">
        <v>21</v>
      </c>
      <c r="E9" s="89" t="s">
        <v>62</v>
      </c>
      <c r="F9" s="90"/>
      <c r="G9" s="90"/>
      <c r="H9" s="91"/>
      <c r="I9" s="306" t="s">
        <v>6</v>
      </c>
    </row>
    <row r="10" spans="1:12" ht="52" thickBot="1" x14ac:dyDescent="0.25">
      <c r="A10" s="309"/>
      <c r="B10" s="63" t="s">
        <v>24</v>
      </c>
      <c r="C10" s="311"/>
      <c r="D10" s="313"/>
      <c r="E10" s="29" t="s">
        <v>22</v>
      </c>
      <c r="F10" s="26" t="s">
        <v>23</v>
      </c>
      <c r="G10" s="27" t="s">
        <v>26</v>
      </c>
      <c r="H10" s="30" t="s">
        <v>38</v>
      </c>
      <c r="I10" s="307"/>
    </row>
    <row r="11" spans="1:12" ht="17" x14ac:dyDescent="0.2">
      <c r="A11" s="128" t="s">
        <v>777</v>
      </c>
      <c r="B11" s="2" t="str">
        <f>'Energy Balance'!A10</f>
        <v>LF*</v>
      </c>
      <c r="C11" s="4" t="str">
        <f>'Energy Balance'!B10</f>
        <v>Hao et al. 2020</v>
      </c>
      <c r="D11" s="120">
        <f>SI!D29</f>
        <v>35805</v>
      </c>
      <c r="E11" s="122">
        <f>SI!D33</f>
        <v>22.505999999999997</v>
      </c>
      <c r="F11" s="104">
        <f>$K$5*'Energy Balance'!Q10</f>
        <v>288.09657325363202</v>
      </c>
      <c r="G11" s="121">
        <f>SI!D35</f>
        <v>0</v>
      </c>
      <c r="H11" s="125">
        <f>G11-F11-E11</f>
        <v>-310.60257325363199</v>
      </c>
      <c r="I11" s="14">
        <f>SI!D38</f>
        <v>9</v>
      </c>
    </row>
    <row r="12" spans="1:12" ht="17" x14ac:dyDescent="0.2">
      <c r="A12" s="128" t="s">
        <v>781</v>
      </c>
      <c r="B12" s="2" t="str">
        <f>'Energy Balance'!A11</f>
        <v>LF_LFG*</v>
      </c>
      <c r="C12" s="4" t="s">
        <v>104</v>
      </c>
      <c r="D12" s="120">
        <f>SI!D68</f>
        <v>35805</v>
      </c>
      <c r="E12" s="122">
        <f>SI!D72</f>
        <v>22.505999999999997</v>
      </c>
      <c r="F12" s="104">
        <f>$K$5*'Energy Balance'!Q11</f>
        <v>288.09657325363202</v>
      </c>
      <c r="G12" s="121">
        <f>SI!D74</f>
        <v>0</v>
      </c>
      <c r="H12" s="125">
        <f t="shared" ref="H12:H45" si="0">G12-F12-E12</f>
        <v>-310.60257325363199</v>
      </c>
      <c r="I12" s="14">
        <f>SI!D78</f>
        <v>9</v>
      </c>
    </row>
    <row r="13" spans="1:12" ht="17" x14ac:dyDescent="0.2">
      <c r="A13" s="65" t="s">
        <v>126</v>
      </c>
      <c r="B13" s="2" t="str">
        <f>'Energy Balance'!A12</f>
        <v>TD-LF</v>
      </c>
      <c r="C13" s="4" t="str">
        <f>'Energy Balance'!B12</f>
        <v>Hao et al. 2020</v>
      </c>
      <c r="D13" s="120">
        <f>SI!D111</f>
        <v>260864.99999999997</v>
      </c>
      <c r="E13" s="122">
        <f>SI!D118</f>
        <v>172.88699999999997</v>
      </c>
      <c r="F13" s="104">
        <f>$K$5*'Energy Balance'!Q12</f>
        <v>115.23862930145278</v>
      </c>
      <c r="G13" s="121">
        <f>SI!D120</f>
        <v>0</v>
      </c>
      <c r="H13" s="125">
        <f t="shared" si="0"/>
        <v>-288.12562930145276</v>
      </c>
      <c r="I13" s="14">
        <f>SI!D123</f>
        <v>9</v>
      </c>
    </row>
    <row r="14" spans="1:12" ht="17" x14ac:dyDescent="0.2">
      <c r="A14" s="65" t="s">
        <v>143</v>
      </c>
      <c r="B14" s="2" t="str">
        <f>'Energy Balance'!A13</f>
        <v>TD-LF_LFG</v>
      </c>
      <c r="C14" s="4" t="s">
        <v>104</v>
      </c>
      <c r="D14" s="120">
        <f>SI!D156</f>
        <v>260864.99999999997</v>
      </c>
      <c r="E14" s="122">
        <f>SI!D163</f>
        <v>172.88699999999997</v>
      </c>
      <c r="F14" s="104">
        <f>$K$5*'Energy Balance'!Q13</f>
        <v>115.23862930145278</v>
      </c>
      <c r="G14" s="121">
        <f>SI!D165</f>
        <v>0</v>
      </c>
      <c r="H14" s="125">
        <f t="shared" si="0"/>
        <v>-288.12562930145276</v>
      </c>
      <c r="I14" s="14">
        <f>SI!D168</f>
        <v>9</v>
      </c>
    </row>
    <row r="15" spans="1:12" ht="17" x14ac:dyDescent="0.2">
      <c r="A15" s="128" t="s">
        <v>778</v>
      </c>
      <c r="B15" s="2" t="str">
        <f>'Energy Balance'!A14</f>
        <v>LA*</v>
      </c>
      <c r="C15" s="4" t="s">
        <v>104</v>
      </c>
      <c r="D15" s="120">
        <f>SI!D199</f>
        <v>35805</v>
      </c>
      <c r="E15" s="122">
        <f>SI!D204</f>
        <v>22.505999999999997</v>
      </c>
      <c r="F15" s="104">
        <f>$K$5*'Energy Balance'!Q14</f>
        <v>288.09657325363202</v>
      </c>
      <c r="G15" s="121">
        <f>SI!D206</f>
        <v>0</v>
      </c>
      <c r="H15" s="125">
        <f t="shared" si="0"/>
        <v>-310.60257325363199</v>
      </c>
      <c r="I15" s="14">
        <f>SI!D209</f>
        <v>9</v>
      </c>
    </row>
    <row r="16" spans="1:12" ht="17" x14ac:dyDescent="0.2">
      <c r="A16" s="65" t="s">
        <v>127</v>
      </c>
      <c r="B16" s="2" t="str">
        <f>'Energy Balance'!A15</f>
        <v>TD-LA</v>
      </c>
      <c r="C16" s="4" t="s">
        <v>104</v>
      </c>
      <c r="D16" s="120">
        <f>SI!D243</f>
        <v>260864.99999999997</v>
      </c>
      <c r="E16" s="122">
        <f>SI!D250</f>
        <v>172.88699999999997</v>
      </c>
      <c r="F16" s="104">
        <f>$K$5*'Energy Balance'!Q15</f>
        <v>115.23862930145278</v>
      </c>
      <c r="G16" s="121">
        <f>SI!D252</f>
        <v>0</v>
      </c>
      <c r="H16" s="125">
        <f t="shared" si="0"/>
        <v>-288.12562930145276</v>
      </c>
      <c r="I16" s="38">
        <f>SI!D255</f>
        <v>9</v>
      </c>
    </row>
    <row r="17" spans="1:15" ht="17" x14ac:dyDescent="0.2">
      <c r="A17" s="66" t="s">
        <v>128</v>
      </c>
      <c r="B17" s="2" t="str">
        <f>'Energy Balance'!A16</f>
        <v>TD-INC-LF</v>
      </c>
      <c r="C17" s="4" t="str">
        <f>'Energy Balance'!B16</f>
        <v>Hao et al. 2020</v>
      </c>
      <c r="D17" s="120">
        <f>SI!D291</f>
        <v>562650</v>
      </c>
      <c r="E17" s="122">
        <f>SI!D299</f>
        <v>401.01599999999996</v>
      </c>
      <c r="F17" s="104">
        <f>$K$5*'Energy Balance'!Q16</f>
        <v>6.0651910158659348</v>
      </c>
      <c r="G17" s="121">
        <f>SI!D303</f>
        <v>141.10319999999999</v>
      </c>
      <c r="H17" s="125">
        <f>G17-F17-E17</f>
        <v>-265.97799101586588</v>
      </c>
      <c r="I17" s="14">
        <f>SI!D306</f>
        <v>9</v>
      </c>
    </row>
    <row r="18" spans="1:15" ht="17" x14ac:dyDescent="0.2">
      <c r="A18" s="128" t="s">
        <v>779</v>
      </c>
      <c r="B18" s="2" t="str">
        <f>'Energy Balance'!A17</f>
        <v>AD-CHP-LF*</v>
      </c>
      <c r="C18" s="4" t="str">
        <f>'Energy Balance'!B17</f>
        <v>Hao et al. 2020</v>
      </c>
      <c r="D18" s="120">
        <f>SI!D353</f>
        <v>465464.99999999994</v>
      </c>
      <c r="E18" s="122">
        <f>SI!D361</f>
        <v>66.49499999999999</v>
      </c>
      <c r="F18" s="104">
        <f>$K$5*'Energy Balance'!Q17</f>
        <v>195.90566981246974</v>
      </c>
      <c r="G18" s="121">
        <f>SI!D365</f>
        <v>30.604139999999997</v>
      </c>
      <c r="H18" s="125">
        <f t="shared" si="0"/>
        <v>-231.79652981246971</v>
      </c>
      <c r="I18" s="14">
        <f>SI!D368</f>
        <v>9</v>
      </c>
    </row>
    <row r="19" spans="1:15" ht="17" x14ac:dyDescent="0.2">
      <c r="A19" s="128" t="s">
        <v>782</v>
      </c>
      <c r="B19" s="2" t="str">
        <f>'Energy Balance'!A18</f>
        <v>AD-CHP-LF_LFG*</v>
      </c>
      <c r="C19" s="4" t="s">
        <v>104</v>
      </c>
      <c r="D19" s="120">
        <f>SI!D415</f>
        <v>465464.99999999994</v>
      </c>
      <c r="E19" s="122">
        <f>SI!D423</f>
        <v>66.49499999999999</v>
      </c>
      <c r="F19" s="104">
        <f>$K$5*'Energy Balance'!Q18</f>
        <v>195.90566981246974</v>
      </c>
      <c r="G19" s="121">
        <f>SI!D427</f>
        <v>30.604139999999997</v>
      </c>
      <c r="H19" s="125">
        <f t="shared" si="0"/>
        <v>-231.79652981246971</v>
      </c>
      <c r="I19" s="14">
        <f>SI!D430</f>
        <v>9</v>
      </c>
    </row>
    <row r="20" spans="1:15" ht="17" x14ac:dyDescent="0.2">
      <c r="A20" s="128" t="s">
        <v>783</v>
      </c>
      <c r="B20" s="2" t="str">
        <f>'Energy Balance'!A19</f>
        <v>AD-CHP-LA*</v>
      </c>
      <c r="C20" s="4" t="s">
        <v>104</v>
      </c>
      <c r="D20" s="120">
        <f>SI!D477</f>
        <v>465464.99999999994</v>
      </c>
      <c r="E20" s="122">
        <f>SI!D485</f>
        <v>66.49499999999999</v>
      </c>
      <c r="F20" s="104">
        <f>$K$5*'Energy Balance'!Q19</f>
        <v>195.90566981246974</v>
      </c>
      <c r="G20" s="122">
        <f>SI!D489</f>
        <v>30.604139999999997</v>
      </c>
      <c r="H20" s="125">
        <f t="shared" si="0"/>
        <v>-231.79652981246971</v>
      </c>
      <c r="I20" s="14">
        <f>SI!D492</f>
        <v>9</v>
      </c>
    </row>
    <row r="21" spans="1:15" ht="17" x14ac:dyDescent="0.2">
      <c r="A21" s="66" t="s">
        <v>150</v>
      </c>
      <c r="B21" s="2" t="str">
        <f>'Energy Balance'!A20</f>
        <v>AD-CHP-TD-LF</v>
      </c>
      <c r="C21" s="4" t="str">
        <f>'Energy Balance'!B20</f>
        <v>Hao et al. 2022</v>
      </c>
      <c r="D21" s="120">
        <f>SI!D542</f>
        <v>639375</v>
      </c>
      <c r="E21" s="122">
        <f>SI!D551</f>
        <v>201.53099999999998</v>
      </c>
      <c r="F21" s="104">
        <f>$K$5*'Energy Balance'!Q20</f>
        <v>78.362267924987876</v>
      </c>
      <c r="G21" s="122">
        <f>SI!D555</f>
        <v>30.604139999999997</v>
      </c>
      <c r="H21" s="125">
        <f t="shared" si="0"/>
        <v>-249.28912792498784</v>
      </c>
      <c r="I21" s="14">
        <f>SI!D558</f>
        <v>9</v>
      </c>
    </row>
    <row r="22" spans="1:15" ht="17" x14ac:dyDescent="0.2">
      <c r="A22" s="66" t="s">
        <v>151</v>
      </c>
      <c r="B22" s="2" t="str">
        <f>'Energy Balance'!A21</f>
        <v>AD-CHP-TD-LF_LFG</v>
      </c>
      <c r="C22" s="4" t="s">
        <v>104</v>
      </c>
      <c r="D22" s="120">
        <f>SI!D608</f>
        <v>639375</v>
      </c>
      <c r="E22" s="122">
        <f>SI!D617</f>
        <v>201.53099999999998</v>
      </c>
      <c r="F22" s="104">
        <f>$K$5*'Energy Balance'!Q21</f>
        <v>78.362267924987876</v>
      </c>
      <c r="G22" s="122">
        <f>SI!D621</f>
        <v>30.604139999999997</v>
      </c>
      <c r="H22" s="125">
        <f t="shared" si="0"/>
        <v>-249.28912792498784</v>
      </c>
      <c r="I22" s="14">
        <f>SI!D624</f>
        <v>9</v>
      </c>
    </row>
    <row r="23" spans="1:15" ht="17" x14ac:dyDescent="0.2">
      <c r="A23" s="66" t="s">
        <v>152</v>
      </c>
      <c r="B23" s="2" t="str">
        <f>'Energy Balance'!A22</f>
        <v>AD-CHP-TD-LA</v>
      </c>
      <c r="C23" s="4" t="str">
        <f>'Energy Balance'!B22</f>
        <v>Hao et al. 2023</v>
      </c>
      <c r="D23" s="120">
        <f>SI!D674</f>
        <v>639375</v>
      </c>
      <c r="E23" s="122">
        <f>SI!D683</f>
        <v>201.53099999999998</v>
      </c>
      <c r="F23" s="104">
        <f>$K$5*'Energy Balance'!Q22</f>
        <v>78.362267924987876</v>
      </c>
      <c r="G23" s="122">
        <f>SI!D687</f>
        <v>30.604139999999997</v>
      </c>
      <c r="H23" s="125">
        <f t="shared" si="0"/>
        <v>-249.28912792498784</v>
      </c>
      <c r="I23" s="14">
        <f>SI!D690</f>
        <v>9</v>
      </c>
    </row>
    <row r="24" spans="1:15" ht="17" x14ac:dyDescent="0.2">
      <c r="A24" s="66" t="s">
        <v>153</v>
      </c>
      <c r="B24" s="2" t="str">
        <f>'Energy Balance'!A23</f>
        <v>AD-CHP-TD-INC-LF</v>
      </c>
      <c r="C24" s="4" t="str">
        <f>'Energy Balance'!B23</f>
        <v>Hao et al. 2024</v>
      </c>
      <c r="D24" s="120">
        <f>SI!D749</f>
        <v>879779.99999999988</v>
      </c>
      <c r="E24" s="122">
        <f>SI!D759</f>
        <v>407.15399999999994</v>
      </c>
      <c r="F24" s="104">
        <f>$K$5*'Energy Balance'!Q23</f>
        <v>6.0651910158659348</v>
      </c>
      <c r="G24" s="122">
        <f>SI!D763</f>
        <v>124.65579014999997</v>
      </c>
      <c r="H24" s="125">
        <f t="shared" si="0"/>
        <v>-288.5634008658659</v>
      </c>
      <c r="I24" s="14">
        <f>SI!D766</f>
        <v>9</v>
      </c>
    </row>
    <row r="25" spans="1:15" ht="17" x14ac:dyDescent="0.2">
      <c r="A25" s="128" t="s">
        <v>780</v>
      </c>
      <c r="B25" s="2" t="str">
        <f>'Energy Balance'!A24</f>
        <v>TH-AD-CHP-LF*</v>
      </c>
      <c r="C25" s="4" t="str">
        <f>'Energy Balance'!B24</f>
        <v>Hao et al. 2020</v>
      </c>
      <c r="D25" s="120">
        <f>SI!D815</f>
        <v>644490</v>
      </c>
      <c r="E25" s="122">
        <f>SI!D823</f>
        <v>163.67999999999998</v>
      </c>
      <c r="F25" s="104">
        <f>$K$5*'Energy Balance'!Q24</f>
        <v>195.90566981246974</v>
      </c>
      <c r="G25" s="122">
        <f>SI!D827</f>
        <v>50.768549999999998</v>
      </c>
      <c r="H25" s="125">
        <f t="shared" si="0"/>
        <v>-308.81711981246974</v>
      </c>
      <c r="I25" s="14">
        <f>SI!D830</f>
        <v>9</v>
      </c>
    </row>
    <row r="26" spans="1:15" ht="17" x14ac:dyDescent="0.2">
      <c r="A26" s="128" t="s">
        <v>785</v>
      </c>
      <c r="B26" s="2" t="str">
        <f>'Energy Balance'!A25</f>
        <v>TH-AD-CHP-LF_LFG*</v>
      </c>
      <c r="C26" s="4" t="s">
        <v>104</v>
      </c>
      <c r="D26" s="120">
        <f>SI!D879</f>
        <v>644490</v>
      </c>
      <c r="E26" s="122">
        <f>SI!D887</f>
        <v>163.67999999999998</v>
      </c>
      <c r="F26" s="104">
        <f>$K$5*'Energy Balance'!Q25</f>
        <v>195.90566981246974</v>
      </c>
      <c r="G26" s="122">
        <f>SI!D891</f>
        <v>50.768549999999998</v>
      </c>
      <c r="H26" s="125">
        <f t="shared" si="0"/>
        <v>-308.81711981246974</v>
      </c>
      <c r="I26" s="14">
        <f>SI!D894</f>
        <v>9</v>
      </c>
    </row>
    <row r="27" spans="1:15" ht="17" x14ac:dyDescent="0.2">
      <c r="A27" s="128" t="s">
        <v>784</v>
      </c>
      <c r="B27" s="2" t="str">
        <f>'Energy Balance'!A26</f>
        <v>TH-AD-CHP-LA*</v>
      </c>
      <c r="C27" s="4" t="s">
        <v>104</v>
      </c>
      <c r="D27" s="120">
        <f>SI!D943</f>
        <v>644490</v>
      </c>
      <c r="E27" s="122">
        <f>SI!D951</f>
        <v>163.67999999999998</v>
      </c>
      <c r="F27" s="104">
        <f>$K$5*'Energy Balance'!Q26</f>
        <v>195.90566981246974</v>
      </c>
      <c r="G27" s="122">
        <f>SI!D955</f>
        <v>50.768549999999998</v>
      </c>
      <c r="H27" s="125">
        <f t="shared" si="0"/>
        <v>-308.81711981246974</v>
      </c>
      <c r="I27" s="14">
        <f>SI!D958</f>
        <v>9</v>
      </c>
    </row>
    <row r="28" spans="1:15" ht="17" x14ac:dyDescent="0.2">
      <c r="A28" s="66" t="s">
        <v>154</v>
      </c>
      <c r="B28" s="2" t="str">
        <f>'Energy Balance'!A27</f>
        <v>TH-AD-CHP-TD-INC-LF</v>
      </c>
      <c r="C28" s="4" t="str">
        <f>'Energy Balance'!B27</f>
        <v>Hao et al. 2020</v>
      </c>
      <c r="D28" s="120">
        <f>SI!D1021</f>
        <v>920699.99999999988</v>
      </c>
      <c r="E28" s="122">
        <f>SI!D1031</f>
        <v>455.23499999999996</v>
      </c>
      <c r="F28" s="104">
        <f>$K$5*'Energy Balance'!Q27</f>
        <v>6.0651910158659348</v>
      </c>
      <c r="G28" s="122">
        <f>SI!D1035</f>
        <v>113.98172804999999</v>
      </c>
      <c r="H28" s="125">
        <f t="shared" si="0"/>
        <v>-347.31846296586593</v>
      </c>
      <c r="I28" s="127">
        <f>SI!D1038</f>
        <v>9</v>
      </c>
    </row>
    <row r="29" spans="1:15" ht="17" x14ac:dyDescent="0.2">
      <c r="A29" s="66" t="s">
        <v>129</v>
      </c>
      <c r="B29" s="2" t="str">
        <f>'Energy Balance'!A28</f>
        <v>HTL-CAS_BC</v>
      </c>
      <c r="C29" s="4" t="str">
        <f>'Energy Balance'!B28</f>
        <v>Snowden-Swan et al. 2017</v>
      </c>
      <c r="D29" s="120">
        <f>SI!D1106</f>
        <v>196407.39117999998</v>
      </c>
      <c r="E29" s="122">
        <f>SI!D1113</f>
        <v>148.46645953333331</v>
      </c>
      <c r="F29" s="104">
        <f>$K$5*'Energy Balance'!Q28</f>
        <v>14.692925235935226</v>
      </c>
      <c r="G29" s="122">
        <f>SI!D1118</f>
        <v>120.02295538789936</v>
      </c>
      <c r="H29" s="125">
        <f t="shared" si="0"/>
        <v>-43.136429381369169</v>
      </c>
      <c r="I29" s="14">
        <f>SI!D1121</f>
        <v>7</v>
      </c>
    </row>
    <row r="30" spans="1:15" ht="17" x14ac:dyDescent="0.2">
      <c r="A30" s="66" t="s">
        <v>130</v>
      </c>
      <c r="B30" s="2" t="str">
        <f>'Energy Balance'!A29</f>
        <v>HTL-CAS_FP</v>
      </c>
      <c r="C30" s="4" t="str">
        <f>'Energy Balance'!B29</f>
        <v>Snowden-Swan et al. 2017</v>
      </c>
      <c r="D30" s="120">
        <f>SI!D1198</f>
        <v>271195.30231252348</v>
      </c>
      <c r="E30" s="122">
        <f>SI!D1207</f>
        <v>188.87615337918933</v>
      </c>
      <c r="F30" s="104">
        <f>$K$5*'Energy Balance'!Q29</f>
        <v>14.692925235935226</v>
      </c>
      <c r="G30" s="122">
        <f>SI!D1216</f>
        <v>279.23239200577484</v>
      </c>
      <c r="H30" s="125">
        <f t="shared" si="0"/>
        <v>75.663313390650302</v>
      </c>
      <c r="I30" s="14">
        <f>SI!D1219</f>
        <v>6</v>
      </c>
    </row>
    <row r="31" spans="1:15" ht="17" x14ac:dyDescent="0.2">
      <c r="A31" s="66" t="s">
        <v>786</v>
      </c>
      <c r="B31" s="2" t="str">
        <f>'Energy Balance'!A30</f>
        <v>HTL-NH3-CAS_BC</v>
      </c>
      <c r="C31" s="4" t="str">
        <f>'Energy Balance'!B30</f>
        <v>Snowden-Swan et al. 2020</v>
      </c>
      <c r="D31" s="120">
        <f>SI!D1273</f>
        <v>242508.19999999995</v>
      </c>
      <c r="E31" s="122">
        <f>SI!D1277</f>
        <v>148.79666666666662</v>
      </c>
      <c r="F31" s="104">
        <f>$K$5*'Energy Balance'!Q30</f>
        <v>14.692925235935229</v>
      </c>
      <c r="G31" s="122">
        <f>SI!D1282</f>
        <v>120.4382705229331</v>
      </c>
      <c r="H31" s="125">
        <f t="shared" si="0"/>
        <v>-43.051321379668764</v>
      </c>
      <c r="I31" s="14">
        <f>SI!D1285</f>
        <v>6</v>
      </c>
      <c r="J31" s="221"/>
      <c r="K31" s="221"/>
      <c r="L31" s="221"/>
      <c r="M31" s="221"/>
      <c r="N31" s="221"/>
      <c r="O31" s="221"/>
    </row>
    <row r="32" spans="1:15" ht="17" x14ac:dyDescent="0.2">
      <c r="A32" s="66" t="s">
        <v>787</v>
      </c>
      <c r="B32" s="2" t="str">
        <f>'Energy Balance'!A31</f>
        <v>HTL-NH3-CAS_FP</v>
      </c>
      <c r="C32" s="4" t="str">
        <f>'Energy Balance'!B31</f>
        <v>Snowden-Swan et al. 2020</v>
      </c>
      <c r="D32" s="120">
        <f>SI!D1349</f>
        <v>314991.14420061081</v>
      </c>
      <c r="E32" s="122">
        <f>SI!D1355</f>
        <v>266.90276906536155</v>
      </c>
      <c r="F32" s="104">
        <f>$K$5*'Energy Balance'!Q31</f>
        <v>14.692925235935229</v>
      </c>
      <c r="G32" s="122">
        <f>SI!D1365</f>
        <v>261.7309405566275</v>
      </c>
      <c r="H32" s="125">
        <f t="shared" si="0"/>
        <v>-19.864753744669287</v>
      </c>
      <c r="I32" s="14">
        <f>SI!D1368</f>
        <v>6</v>
      </c>
      <c r="J32" s="221"/>
      <c r="K32" s="221"/>
      <c r="L32" s="221"/>
      <c r="M32" s="221"/>
      <c r="N32" s="221"/>
      <c r="O32" s="221"/>
    </row>
    <row r="33" spans="1:9" ht="17" x14ac:dyDescent="0.2">
      <c r="A33" s="66" t="s">
        <v>155</v>
      </c>
      <c r="B33" s="2" t="str">
        <f>'Energy Balance'!A32</f>
        <v>SupCrit HTL-CAS_BHO</v>
      </c>
      <c r="C33" s="4" t="str">
        <f>'Energy Balance'!B32</f>
        <v>Do et al. 2020</v>
      </c>
      <c r="D33" s="120">
        <f>SI!D1426</f>
        <v>448062.75000000006</v>
      </c>
      <c r="E33" s="122">
        <f>SI!D1432</f>
        <v>416.61975000000007</v>
      </c>
      <c r="F33" s="104">
        <f>$K$5*'Energy Balance'!Q32</f>
        <v>20.166760127754234</v>
      </c>
      <c r="G33" s="122">
        <f>SI!D1438</f>
        <v>241.06300000000005</v>
      </c>
      <c r="H33" s="125">
        <f t="shared" si="0"/>
        <v>-195.72351012775425</v>
      </c>
      <c r="I33" s="14">
        <f>SI!D1441</f>
        <v>4</v>
      </c>
    </row>
    <row r="34" spans="1:9" ht="17" x14ac:dyDescent="0.2">
      <c r="A34" s="66" t="s">
        <v>156</v>
      </c>
      <c r="B34" s="2" t="str">
        <f>'Energy Balance'!A33</f>
        <v>SubCrit HTL-CAS_BHO</v>
      </c>
      <c r="C34" s="4" t="str">
        <f>'Energy Balance'!B33</f>
        <v>Do et al. 2020</v>
      </c>
      <c r="D34" s="120">
        <f>SI!D1500</f>
        <v>420812.15000000008</v>
      </c>
      <c r="E34" s="122">
        <f>SI!D1506</f>
        <v>410.33115000000015</v>
      </c>
      <c r="F34" s="104">
        <f>$K$5*'Energy Balance'!Q33</f>
        <v>20.166760127754234</v>
      </c>
      <c r="G34" s="122">
        <f>SI!D1512</f>
        <v>247.61362500000007</v>
      </c>
      <c r="H34" s="125">
        <f t="shared" si="0"/>
        <v>-182.88428512775431</v>
      </c>
      <c r="I34" s="14">
        <f>SI!D1515</f>
        <v>7</v>
      </c>
    </row>
    <row r="35" spans="1:9" ht="17" x14ac:dyDescent="0.2">
      <c r="A35" s="67" t="s">
        <v>157</v>
      </c>
      <c r="B35" s="2" t="str">
        <f>'Energy Balance'!A34</f>
        <v>HTL-AD-CHP_BC</v>
      </c>
      <c r="C35" s="4" t="str">
        <f>'Energy Balance'!B34</f>
        <v>Van Doren et al. 2017</v>
      </c>
      <c r="D35" s="120">
        <f>SI!D1579</f>
        <v>886317.4458333333</v>
      </c>
      <c r="E35" s="122">
        <f>SI!D1589</f>
        <v>413.55642123287663</v>
      </c>
      <c r="F35" s="104">
        <f>$K$5*'Energy Balance'!Q34</f>
        <v>7.2341049543986973</v>
      </c>
      <c r="G35" s="122">
        <f>SI!D1596</f>
        <v>315.80549213597152</v>
      </c>
      <c r="H35" s="125">
        <f t="shared" si="0"/>
        <v>-104.98503405130378</v>
      </c>
      <c r="I35" s="14">
        <f>SI!D1599</f>
        <v>7</v>
      </c>
    </row>
    <row r="36" spans="1:9" ht="17" x14ac:dyDescent="0.2">
      <c r="A36" s="67" t="s">
        <v>158</v>
      </c>
      <c r="B36" s="2" t="str">
        <f>'Energy Balance'!A35</f>
        <v>HTL-AD-Boiler_BC</v>
      </c>
      <c r="C36" s="4" t="str">
        <f>'Energy Balance'!B35</f>
        <v>Van Doren et al. 2017</v>
      </c>
      <c r="D36" s="120">
        <f>SI!D1662</f>
        <v>861392.68333333323</v>
      </c>
      <c r="E36" s="122">
        <f>SI!D1672</f>
        <v>408.31891901319119</v>
      </c>
      <c r="F36" s="104">
        <f>$K$5*'Energy Balance'!Q35</f>
        <v>7.2341049543986973</v>
      </c>
      <c r="G36" s="122">
        <f>SI!D1679</f>
        <v>315.80549213597152</v>
      </c>
      <c r="H36" s="125">
        <f t="shared" si="0"/>
        <v>-99.747531831618346</v>
      </c>
      <c r="I36" s="14">
        <f>SI!D1682</f>
        <v>7</v>
      </c>
    </row>
    <row r="37" spans="1:9" ht="17" x14ac:dyDescent="0.2">
      <c r="A37" s="67" t="s">
        <v>159</v>
      </c>
      <c r="B37" s="2" t="str">
        <f>'Energy Balance'!A36</f>
        <v>HTL-CHG-CHP_BC</v>
      </c>
      <c r="C37" s="4" t="str">
        <f>'Energy Balance'!B36</f>
        <v>Van Doren et al. 2017</v>
      </c>
      <c r="D37" s="120">
        <f>SI!D1748</f>
        <v>1620709.3562499997</v>
      </c>
      <c r="E37" s="122">
        <f>SI!D1758</f>
        <v>747.78953576864535</v>
      </c>
      <c r="F37" s="104">
        <f>$K$5*'Energy Balance'!Q36</f>
        <v>7.2341049543986973</v>
      </c>
      <c r="G37" s="122">
        <f>SI!D1767</f>
        <v>325.47576737696596</v>
      </c>
      <c r="H37" s="125">
        <f t="shared" si="0"/>
        <v>-429.54787334607806</v>
      </c>
      <c r="I37" s="14">
        <f>SI!D1770</f>
        <v>6</v>
      </c>
    </row>
    <row r="38" spans="1:9" ht="17" x14ac:dyDescent="0.2">
      <c r="A38" s="67" t="s">
        <v>160</v>
      </c>
      <c r="B38" s="2" t="str">
        <f>'Energy Balance'!A37</f>
        <v>HTL-CHG-Boiler_BC</v>
      </c>
      <c r="C38" s="4" t="str">
        <f>'Energy Balance'!B37</f>
        <v>Van Doren et al. 2017</v>
      </c>
      <c r="D38" s="120">
        <f>SI!D1835</f>
        <v>1572014.989583333</v>
      </c>
      <c r="E38" s="122">
        <f>SI!D1845</f>
        <v>730.27484145103995</v>
      </c>
      <c r="F38" s="104">
        <f>$K$5*'Energy Balance'!Q37</f>
        <v>7.2341049543986973</v>
      </c>
      <c r="G38" s="122">
        <f>SI!D1852</f>
        <v>315.80549213597152</v>
      </c>
      <c r="H38" s="125">
        <f t="shared" si="0"/>
        <v>-421.7034542694671</v>
      </c>
      <c r="I38" s="14">
        <f>SI!D1855</f>
        <v>6</v>
      </c>
    </row>
    <row r="39" spans="1:9" ht="17" x14ac:dyDescent="0.2">
      <c r="A39" s="67" t="s">
        <v>139</v>
      </c>
      <c r="B39" s="2" t="str">
        <f>'Energy Balance'!A38</f>
        <v>TD-AirGs-CHP</v>
      </c>
      <c r="C39" s="4" t="str">
        <f>'Energy Balance'!B38</f>
        <v>Lumely et al. 2014</v>
      </c>
      <c r="D39" s="120">
        <f>SI!D1894</f>
        <v>443691.30000000005</v>
      </c>
      <c r="E39" s="122">
        <f>SI!D1905</f>
        <v>172.80111196286236</v>
      </c>
      <c r="F39" s="104">
        <f>$K$5*'Energy Balance'!Q38</f>
        <v>2.8809657325363194</v>
      </c>
      <c r="G39" s="122">
        <f>SI!D1910</f>
        <v>40.925376</v>
      </c>
      <c r="H39" s="125">
        <f t="shared" si="0"/>
        <v>-134.75670169539868</v>
      </c>
      <c r="I39" s="14">
        <f>SI!D1913</f>
        <v>7</v>
      </c>
    </row>
    <row r="40" spans="1:9" ht="17" x14ac:dyDescent="0.2">
      <c r="A40" s="67" t="s">
        <v>140</v>
      </c>
      <c r="B40" s="2" t="str">
        <f>'Energy Balance'!A39</f>
        <v>TD-StmGs-CHP</v>
      </c>
      <c r="C40" s="4" t="str">
        <f>'Energy Balance'!B39</f>
        <v>Lumely et al. 2014</v>
      </c>
      <c r="D40" s="120">
        <f>SI!D1952</f>
        <v>443691.30000000005</v>
      </c>
      <c r="E40" s="122">
        <f>SI!D1963</f>
        <v>172.80111196286236</v>
      </c>
      <c r="F40" s="104">
        <f>$K$5*'Energy Balance'!Q39</f>
        <v>4.6095451720581115</v>
      </c>
      <c r="G40" s="122">
        <f>SI!D1968</f>
        <v>32.305550400000001</v>
      </c>
      <c r="H40" s="125">
        <f t="shared" si="0"/>
        <v>-145.10510673492047</v>
      </c>
      <c r="I40" s="14">
        <f>SI!D1971</f>
        <v>7</v>
      </c>
    </row>
    <row r="41" spans="1:9" ht="17" x14ac:dyDescent="0.2">
      <c r="A41" s="45" t="s">
        <v>586</v>
      </c>
      <c r="B41" s="2" t="str">
        <f>'Energy Balance'!A40</f>
        <v>FD-Torr-Comb_BSF</v>
      </c>
      <c r="C41" s="4" t="str">
        <f>'Energy Balance'!B40</f>
        <v>Do et al. 2018</v>
      </c>
      <c r="D41" s="120">
        <f>SI!D2026</f>
        <v>286390.15513333335</v>
      </c>
      <c r="E41" s="122">
        <f>SI!D2032</f>
        <v>363.74216666666661</v>
      </c>
      <c r="F41" s="104">
        <f>$K$5*'Energy Balance'!Q40</f>
        <v>0.29193786089701346</v>
      </c>
      <c r="G41" s="122">
        <f>SI!D2039</f>
        <v>27.774850133333338</v>
      </c>
      <c r="H41" s="125">
        <f t="shared" si="0"/>
        <v>-336.25925439423031</v>
      </c>
      <c r="I41" s="14">
        <f>SI!D2042</f>
        <v>7</v>
      </c>
    </row>
    <row r="42" spans="1:9" ht="17" x14ac:dyDescent="0.2">
      <c r="A42" s="67" t="s">
        <v>142</v>
      </c>
      <c r="B42" s="2" t="str">
        <f>'Energy Balance'!A41</f>
        <v>FD-Torr_BSF</v>
      </c>
      <c r="C42" s="4" t="str">
        <f>'Energy Balance'!B41</f>
        <v>Do et al. 2018</v>
      </c>
      <c r="D42" s="120">
        <f>SI!D2102</f>
        <v>271028.17068888887</v>
      </c>
      <c r="E42" s="122">
        <f>SI!D2108</f>
        <v>543.64223333333337</v>
      </c>
      <c r="F42" s="104">
        <f>$K$5*'Energy Balance'!Q41</f>
        <v>0.29193786089701346</v>
      </c>
      <c r="G42" s="122">
        <f>SI!D2115</f>
        <v>82.963316800000001</v>
      </c>
      <c r="H42" s="125">
        <f t="shared" si="0"/>
        <v>-460.9708543942304</v>
      </c>
      <c r="I42" s="14">
        <f>SI!D2118</f>
        <v>7</v>
      </c>
    </row>
    <row r="43" spans="1:9" ht="17" x14ac:dyDescent="0.2">
      <c r="A43" s="67" t="s">
        <v>141</v>
      </c>
      <c r="B43" s="2" t="str">
        <f>'Energy Balance'!A42</f>
        <v>TE-PBR-TD-MWPy</v>
      </c>
      <c r="C43" s="4" t="str">
        <f>'Energy Balance'!B42</f>
        <v>Xin et al. 2018</v>
      </c>
      <c r="D43" s="120">
        <f>SI!D2191</f>
        <v>144989.78067283021</v>
      </c>
      <c r="E43" s="122">
        <f>SI!D2197</f>
        <v>107.25228078773584</v>
      </c>
      <c r="F43" s="104">
        <f>$K$5*'Energy Balance'!Q42</f>
        <v>6.708192813600794E-2</v>
      </c>
      <c r="G43" s="122">
        <f>SI!D2215</f>
        <v>101.13953556959656</v>
      </c>
      <c r="H43" s="125">
        <f t="shared" si="0"/>
        <v>-6.1798271462752865</v>
      </c>
      <c r="I43" s="14">
        <f>SI!D2218</f>
        <v>3</v>
      </c>
    </row>
    <row r="44" spans="1:9" ht="17" x14ac:dyDescent="0.2">
      <c r="A44" s="66" t="s">
        <v>73</v>
      </c>
      <c r="B44" s="2" t="str">
        <f>'Energy Balance'!A43</f>
        <v>TD-Py</v>
      </c>
      <c r="C44" s="4" t="str">
        <f>'Energy Balance'!B43</f>
        <v>Shahbeig and Nosrati 2020</v>
      </c>
      <c r="D44" s="120">
        <f>SI!D2286</f>
        <v>68694.184942499982</v>
      </c>
      <c r="E44" s="122">
        <f>SI!D2299</f>
        <v>936.23739089523804</v>
      </c>
      <c r="F44" s="104">
        <f>$K$5*'Energy Balance'!Q43</f>
        <v>5.7619314650726387E-2</v>
      </c>
      <c r="G44" s="122">
        <f>SI!D2311</f>
        <v>160.57266593573331</v>
      </c>
      <c r="H44" s="125">
        <f t="shared" si="0"/>
        <v>-775.72234427415549</v>
      </c>
      <c r="I44" s="14">
        <f>SI!D2314</f>
        <v>7</v>
      </c>
    </row>
    <row r="45" spans="1:9" ht="17" x14ac:dyDescent="0.2">
      <c r="A45" s="80" t="s">
        <v>161</v>
      </c>
      <c r="B45" s="2" t="str">
        <f>'Energy Balance'!A44</f>
        <v>HTC-AD-CHP-LA</v>
      </c>
      <c r="C45" s="4" t="str">
        <f>'Energy Balance'!B44</f>
        <v>Medina-Martos et al. 2020</v>
      </c>
      <c r="D45" s="120">
        <f>SI!D2368</f>
        <v>1419674.612183125</v>
      </c>
      <c r="E45" s="122">
        <f>SI!D2375</f>
        <v>518.35035944003016</v>
      </c>
      <c r="F45" s="104">
        <f>$K$5*'Energy Balance'!Q44</f>
        <v>98.183312164837758</v>
      </c>
      <c r="G45" s="122">
        <f>SI!D2383</f>
        <v>36.776390465380246</v>
      </c>
      <c r="H45" s="125">
        <f t="shared" si="0"/>
        <v>-579.75728113948765</v>
      </c>
      <c r="I45" s="14">
        <f>SI!D2386</f>
        <v>4</v>
      </c>
    </row>
    <row r="46" spans="1:9" x14ac:dyDescent="0.2">
      <c r="G46" s="28"/>
      <c r="H46" s="223"/>
      <c r="I46" s="3"/>
    </row>
    <row r="47" spans="1:9" x14ac:dyDescent="0.2">
      <c r="G47" s="28"/>
      <c r="H47" s="223"/>
      <c r="I47" s="3"/>
    </row>
    <row r="48" spans="1:9" x14ac:dyDescent="0.2">
      <c r="G48" s="28"/>
      <c r="H48" s="224"/>
      <c r="I48" s="3"/>
    </row>
    <row r="49" spans="7:9" x14ac:dyDescent="0.2">
      <c r="G49" s="28"/>
      <c r="H49" s="224"/>
      <c r="I49" s="3"/>
    </row>
    <row r="50" spans="7:9" x14ac:dyDescent="0.2">
      <c r="G50" s="28"/>
      <c r="H50" s="224"/>
      <c r="I50" s="3"/>
    </row>
    <row r="51" spans="7:9" x14ac:dyDescent="0.2">
      <c r="G51" s="28"/>
      <c r="H51" s="224"/>
      <c r="I51" s="3"/>
    </row>
    <row r="52" spans="7:9" x14ac:dyDescent="0.2">
      <c r="G52" s="28"/>
      <c r="H52" s="224"/>
      <c r="I52" s="3"/>
    </row>
    <row r="53" spans="7:9" x14ac:dyDescent="0.2">
      <c r="G53" s="28"/>
      <c r="H53" s="224"/>
      <c r="I53" s="3"/>
    </row>
  </sheetData>
  <mergeCells count="4">
    <mergeCell ref="I9:I10"/>
    <mergeCell ref="A9:A10"/>
    <mergeCell ref="C9:C10"/>
    <mergeCell ref="D9:D10"/>
  </mergeCells>
  <conditionalFormatting sqref="B11:B45">
    <cfRule type="expression" dxfId="1" priority="1">
      <formula>$B11=$A11</formula>
    </cfRule>
  </conditionalFormatting>
  <hyperlinks>
    <hyperlink ref="E1" r:id="rId1" xr:uid="{08869FDE-FC96-9849-8C04-A22125F6DCE7}"/>
  </hyperlinks>
  <pageMargins left="0.25" right="0.25" top="0.75" bottom="0.75" header="0.3" footer="0.3"/>
  <pageSetup scale="39" orientation="landscape" horizontalDpi="0" verticalDpi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E7DE-6330-4C4D-8350-EC310C001B9A}">
  <sheetPr codeName="Sheet7">
    <tabColor theme="9" tint="0.39997558519241921"/>
    <pageSetUpPr fitToPage="1"/>
  </sheetPr>
  <dimension ref="A1:AE48"/>
  <sheetViews>
    <sheetView zoomScaleNormal="100" workbookViewId="0">
      <pane xSplit="3" ySplit="6" topLeftCell="D7" activePane="bottomRight" state="frozen"/>
      <selection pane="topRight"/>
      <selection pane="bottomLeft"/>
      <selection pane="bottomRight" activeCell="K24" sqref="K24:K40"/>
    </sheetView>
  </sheetViews>
  <sheetFormatPr baseColWidth="10" defaultColWidth="10.83203125" defaultRowHeight="16" x14ac:dyDescent="0.2"/>
  <cols>
    <col min="1" max="1" width="30.33203125" style="2" bestFit="1" customWidth="1"/>
    <col min="2" max="2" width="30.33203125" style="2" hidden="1" customWidth="1"/>
    <col min="3" max="3" width="22" style="2" hidden="1" customWidth="1"/>
    <col min="4" max="4" width="12" style="17" customWidth="1"/>
    <col min="5" max="5" width="8.83203125" style="2" customWidth="1"/>
    <col min="6" max="6" width="12" style="22" customWidth="1"/>
    <col min="7" max="7" width="8.83203125" style="31" customWidth="1"/>
    <col min="8" max="8" width="12" style="22" customWidth="1"/>
    <col min="9" max="9" width="8.83203125" style="22" customWidth="1"/>
    <col min="10" max="10" width="8.83203125" style="33" customWidth="1"/>
    <col min="11" max="11" width="12" style="2" customWidth="1"/>
    <col min="12" max="12" width="8.83203125" style="2" customWidth="1"/>
    <col min="13" max="13" width="12" style="2" customWidth="1"/>
    <col min="14" max="14" width="8.83203125" style="2" customWidth="1"/>
    <col min="15" max="15" width="12" style="18" customWidth="1"/>
    <col min="16" max="16" width="8.83203125" style="18" customWidth="1"/>
    <col min="17" max="17" width="8.83203125" style="35" customWidth="1"/>
    <col min="18" max="18" width="34.83203125" style="4" customWidth="1"/>
    <col min="29" max="31" width="0" hidden="1" customWidth="1"/>
  </cols>
  <sheetData>
    <row r="1" spans="1:31" x14ac:dyDescent="0.2">
      <c r="A1" s="57" t="s">
        <v>30</v>
      </c>
      <c r="B1" s="7"/>
      <c r="AC1" t="s">
        <v>0</v>
      </c>
      <c r="AD1">
        <v>4.5</v>
      </c>
      <c r="AE1">
        <v>0</v>
      </c>
    </row>
    <row r="2" spans="1:31" ht="17" thickBot="1" x14ac:dyDescent="0.25">
      <c r="C2"/>
      <c r="F2" s="23"/>
      <c r="G2" s="32"/>
      <c r="H2" s="23"/>
      <c r="I2" s="23"/>
      <c r="J2" s="34"/>
      <c r="K2"/>
      <c r="L2"/>
      <c r="M2"/>
      <c r="N2"/>
      <c r="O2" s="19"/>
      <c r="P2" s="19"/>
      <c r="Q2" s="36"/>
      <c r="R2" s="5"/>
      <c r="AC2" t="s">
        <v>1</v>
      </c>
      <c r="AD2">
        <v>4.5</v>
      </c>
      <c r="AE2">
        <v>9</v>
      </c>
    </row>
    <row r="3" spans="1:31" s="6" customFormat="1" ht="17" thickBot="1" x14ac:dyDescent="0.25">
      <c r="A3" s="314" t="s">
        <v>9</v>
      </c>
      <c r="B3" s="52"/>
      <c r="C3" s="317" t="s">
        <v>5</v>
      </c>
      <c r="D3" s="327" t="s">
        <v>25</v>
      </c>
      <c r="E3" s="328"/>
      <c r="F3" s="328"/>
      <c r="G3" s="328"/>
      <c r="H3" s="328"/>
      <c r="I3" s="328"/>
      <c r="J3" s="329"/>
      <c r="K3" s="330" t="s">
        <v>7</v>
      </c>
      <c r="L3" s="331"/>
      <c r="M3" s="331"/>
      <c r="N3" s="331"/>
      <c r="O3" s="331"/>
      <c r="P3" s="331"/>
      <c r="Q3" s="332"/>
      <c r="R3" s="324" t="s">
        <v>8</v>
      </c>
      <c r="AC3" t="s">
        <v>2</v>
      </c>
      <c r="AD3">
        <v>0</v>
      </c>
      <c r="AE3">
        <v>4.5</v>
      </c>
    </row>
    <row r="4" spans="1:31" s="8" customFormat="1" ht="56" customHeight="1" thickBot="1" x14ac:dyDescent="0.25">
      <c r="A4" s="315"/>
      <c r="B4" s="51" t="s">
        <v>24</v>
      </c>
      <c r="C4" s="318"/>
      <c r="D4" s="333" t="s">
        <v>79</v>
      </c>
      <c r="E4" s="334"/>
      <c r="F4" s="335" t="s">
        <v>942</v>
      </c>
      <c r="G4" s="336"/>
      <c r="H4" s="335" t="s">
        <v>943</v>
      </c>
      <c r="I4" s="336"/>
      <c r="J4" s="320" t="s">
        <v>29</v>
      </c>
      <c r="K4" s="337" t="s">
        <v>41</v>
      </c>
      <c r="L4" s="338"/>
      <c r="M4" s="339" t="s">
        <v>84</v>
      </c>
      <c r="N4" s="340"/>
      <c r="O4" s="341" t="s">
        <v>6</v>
      </c>
      <c r="P4" s="342"/>
      <c r="Q4" s="322" t="s">
        <v>29</v>
      </c>
      <c r="R4" s="325"/>
      <c r="AC4" t="s">
        <v>3</v>
      </c>
      <c r="AD4">
        <v>9</v>
      </c>
      <c r="AE4">
        <v>4.5</v>
      </c>
    </row>
    <row r="5" spans="1:31" s="8" customFormat="1" ht="35" thickBot="1" x14ac:dyDescent="0.25">
      <c r="A5" s="316"/>
      <c r="B5" s="53"/>
      <c r="C5" s="319"/>
      <c r="D5" s="84" t="s">
        <v>78</v>
      </c>
      <c r="E5" s="55" t="s">
        <v>28</v>
      </c>
      <c r="F5" s="85" t="s">
        <v>80</v>
      </c>
      <c r="G5" s="54" t="s">
        <v>28</v>
      </c>
      <c r="H5" s="220" t="s">
        <v>941</v>
      </c>
      <c r="I5" s="54" t="s">
        <v>28</v>
      </c>
      <c r="J5" s="321"/>
      <c r="K5" s="86" t="s">
        <v>81</v>
      </c>
      <c r="L5" s="55" t="s">
        <v>28</v>
      </c>
      <c r="M5" s="87" t="s">
        <v>82</v>
      </c>
      <c r="N5" s="55" t="s">
        <v>28</v>
      </c>
      <c r="O5" s="88" t="s">
        <v>83</v>
      </c>
      <c r="P5" s="56" t="s">
        <v>28</v>
      </c>
      <c r="Q5" s="323"/>
      <c r="R5" s="326"/>
    </row>
    <row r="6" spans="1:31" ht="17" x14ac:dyDescent="0.2">
      <c r="A6" s="128" t="s">
        <v>777</v>
      </c>
      <c r="B6" s="2" t="str">
        <f>'Energy Balance'!A10</f>
        <v>LF*</v>
      </c>
      <c r="C6" s="2" t="s">
        <v>10</v>
      </c>
      <c r="D6" s="17">
        <f>IF('Energy Balance'!Q10="","",'Energy Balance'!Q10)</f>
        <v>5.0000000000000009</v>
      </c>
      <c r="E6" s="17">
        <f>IF(D6&gt;='ENV-Com'!$AA$6,0,((D6-'ENV-Com'!$AA$6)/(MIN(D$6:D$40)-'ENV-Com'!$AA$6))*3)</f>
        <v>0</v>
      </c>
      <c r="F6" s="18">
        <f>IF('Energy Balance'!Y10="","",'Energy Balance'!Y10)</f>
        <v>-876.22873089752466</v>
      </c>
      <c r="G6" s="17">
        <f>((F6-MIN(F$6:F$40))/(MAX(F$6:F$40)-MIN(F$6:F$40)))*3</f>
        <v>0.80563688866828809</v>
      </c>
      <c r="H6" s="129">
        <f>IF(GWP!AC8="","",GWP!AC8)</f>
        <v>5.3322262738433244</v>
      </c>
      <c r="I6" s="17">
        <f>IF(H6&gt;='ENV-Com'!$AA$54,0,((H6-'ENV-Com'!$AA$54)/(MIN(H$6:H$40)-'ENV-Com'!$AA$54))*3)</f>
        <v>0</v>
      </c>
      <c r="J6" s="33">
        <f>SUM(E6,G6,I6)</f>
        <v>0.80563688866828809</v>
      </c>
      <c r="K6" s="130">
        <f>'Commercial Viability'!D11</f>
        <v>35805</v>
      </c>
      <c r="L6" s="22">
        <f>IF(K6&gt;='ENV-Com'!$AA$78,0,('ENV-Com'!$AA$78-K6)/('ENV-Com'!$AA$78))*3</f>
        <v>2.892585</v>
      </c>
      <c r="M6" s="130">
        <f>'Commercial Viability'!H11</f>
        <v>-310.60257325363199</v>
      </c>
      <c r="N6" s="17">
        <f>IF(M6&lt;='ENV-Com'!$AA$101,0,((M6-'ENV-Com'!$AA$101))/(MAX(M$6:M$40)-'ENV-Com'!$AA$101))*3</f>
        <v>0.56382796967746074</v>
      </c>
      <c r="O6" s="18">
        <f>'Commercial Viability'!I11</f>
        <v>9</v>
      </c>
      <c r="P6" s="17">
        <f>(O6-1)/(9-1)*3</f>
        <v>3</v>
      </c>
      <c r="Q6" s="33">
        <f>SUM(L6,N6,P6)</f>
        <v>6.4564129696774604</v>
      </c>
      <c r="R6" s="4" t="str">
        <f>'Energy Balance'!B10</f>
        <v>Hao et al. 2020</v>
      </c>
    </row>
    <row r="7" spans="1:31" ht="17" x14ac:dyDescent="0.2">
      <c r="A7" s="128" t="s">
        <v>781</v>
      </c>
      <c r="B7" s="2" t="str">
        <f>'Energy Balance'!A11</f>
        <v>LF_LFG*</v>
      </c>
      <c r="C7" s="7"/>
      <c r="D7" s="17">
        <f>IF('Energy Balance'!Q11="","",'Energy Balance'!Q11)</f>
        <v>5.0000000000000009</v>
      </c>
      <c r="E7" s="17">
        <f>IF(D7&gt;='ENV-Com'!$AA$6,0,((D7-'ENV-Com'!$AA$6)/(MIN(D$6:D$40)-'ENV-Com'!$AA$6))*3)</f>
        <v>0</v>
      </c>
      <c r="F7" s="18">
        <f>IF('Energy Balance'!Y11="","",'Energy Balance'!Y11)</f>
        <v>423.39322146513121</v>
      </c>
      <c r="G7" s="17">
        <f>((F7-MIN(F$6:F$40))/(MAX(F$6:F$40)-MIN(F$6:F$40)))*3</f>
        <v>1.2904676569054627</v>
      </c>
      <c r="H7" s="129">
        <f>IF(GWP!AC9="","",GWP!AC9)</f>
        <v>0.82586057788314626</v>
      </c>
      <c r="I7" s="17">
        <f>IF(H7&gt;='ENV-Com'!$AA$54,0,((H7-'ENV-Com'!$AA$54)/(MIN(H$6:H$40)-'ENV-Com'!$AA$54))*3)</f>
        <v>0.70863872196070798</v>
      </c>
      <c r="J7" s="33">
        <f t="shared" ref="J7:J25" si="0">SUM(E7,G7,I7)</f>
        <v>1.9991063788661707</v>
      </c>
      <c r="K7" s="130">
        <f>'Commercial Viability'!D12</f>
        <v>35805</v>
      </c>
      <c r="L7" s="22">
        <f>IF(K7&gt;='ENV-Com'!$AA$78,0,('ENV-Com'!$AA$78-K7)/('ENV-Com'!$AA$78))*3</f>
        <v>2.892585</v>
      </c>
      <c r="M7" s="130">
        <f>'Commercial Viability'!H12</f>
        <v>-310.60257325363199</v>
      </c>
      <c r="N7" s="17">
        <f>IF(M7&lt;='ENV-Com'!$AA$101,0,((M7-'ENV-Com'!$AA$101))/(MAX(M$6:M$40)-'ENV-Com'!$AA$101))*3</f>
        <v>0.56382796967746074</v>
      </c>
      <c r="O7" s="18">
        <f>'Commercial Viability'!I12</f>
        <v>9</v>
      </c>
      <c r="P7" s="17">
        <f>(O7-1)/(9-1)*3</f>
        <v>3</v>
      </c>
      <c r="Q7" s="33">
        <f>SUM(L7,N7,P7)</f>
        <v>6.4564129696774604</v>
      </c>
      <c r="R7" s="4" t="str">
        <f>'Energy Balance'!B11</f>
        <v>Hao et al. 2020; Zhao et al. 2019</v>
      </c>
    </row>
    <row r="8" spans="1:31" ht="17" x14ac:dyDescent="0.2">
      <c r="A8" s="65" t="s">
        <v>126</v>
      </c>
      <c r="B8" s="2" t="str">
        <f>'Energy Balance'!A12</f>
        <v>TD-LF</v>
      </c>
      <c r="D8" s="17">
        <f>IF('Energy Balance'!Q12="","",'Energy Balance'!Q12)</f>
        <v>2</v>
      </c>
      <c r="E8" s="17">
        <f>IF(D8&gt;='ENV-Com'!$AA$6,0,((D8-'ENV-Com'!$AA$6)/(MIN(D$6:D$40)-'ENV-Com'!$AA$6))*3)</f>
        <v>0.60024009603841533</v>
      </c>
      <c r="F8" s="18">
        <f>IF('Energy Balance'!Y12="","",'Energy Balance'!Y12)</f>
        <v>-3035.7933764199024</v>
      </c>
      <c r="G8" s="17">
        <f t="shared" ref="G8:G40" si="1">((F8-MIN(F$6:F$40))/(MAX(F$6:F$40)-MIN(F$6:F$40)))*3</f>
        <v>0</v>
      </c>
      <c r="H8" s="129">
        <f>IF(GWP!AC10="","",GWP!AC10)</f>
        <v>6.2327909764973297</v>
      </c>
      <c r="I8" s="17">
        <f>IF(H8&gt;='ENV-Com'!$AA$54,0,((H8-'ENV-Com'!$AA$54)/(MIN(H$6:H$40)-'ENV-Com'!$AA$54))*3)</f>
        <v>0</v>
      </c>
      <c r="J8" s="33">
        <f t="shared" si="0"/>
        <v>0.60024009603841533</v>
      </c>
      <c r="K8" s="130">
        <f>'Commercial Viability'!D13</f>
        <v>260864.99999999997</v>
      </c>
      <c r="L8" s="22">
        <f>IF(K8&gt;='ENV-Com'!$AA$78,0,('ENV-Com'!$AA$78-K8)/('ENV-Com'!$AA$78))*3</f>
        <v>2.2174049999999998</v>
      </c>
      <c r="M8" s="130">
        <f>'Commercial Viability'!H13</f>
        <v>-288.12562930145276</v>
      </c>
      <c r="N8" s="17">
        <f>IF(M8&lt;='ENV-Com'!$AA$101,0,((M8-'ENV-Com'!$AA$101))/(MAX(M$6:M$40)-'ENV-Com'!$AA$101))*3</f>
        <v>0.70558965269621898</v>
      </c>
      <c r="O8" s="18">
        <f>'Commercial Viability'!I13</f>
        <v>9</v>
      </c>
      <c r="P8" s="17">
        <f>(O8-1)/(9-1)*3</f>
        <v>3</v>
      </c>
      <c r="Q8" s="33">
        <f>SUM(L8,N8,P8)</f>
        <v>5.9229946526962189</v>
      </c>
      <c r="R8" s="4" t="str">
        <f>'Energy Balance'!B12</f>
        <v>Hao et al. 2020</v>
      </c>
    </row>
    <row r="9" spans="1:31" ht="17" x14ac:dyDescent="0.2">
      <c r="A9" s="65" t="s">
        <v>143</v>
      </c>
      <c r="B9" s="2" t="str">
        <f>'Energy Balance'!A13</f>
        <v>TD-LF_LFG</v>
      </c>
      <c r="D9" s="17">
        <f>IF('Energy Balance'!Q13="","",'Energy Balance'!Q13)</f>
        <v>2</v>
      </c>
      <c r="E9" s="17">
        <f>IF(D9&gt;='ENV-Com'!$AA$6,0,((D9-'ENV-Com'!$AA$6)/(MIN(D$6:D$40)-'ENV-Com'!$AA$6))*3)</f>
        <v>0.60024009603841533</v>
      </c>
      <c r="F9" s="18">
        <f>IF('Energy Balance'!Y13="","",'Energy Balance'!Y13)</f>
        <v>-1736.1714240572464</v>
      </c>
      <c r="G9" s="17">
        <f t="shared" si="1"/>
        <v>0.48483076823717464</v>
      </c>
      <c r="H9" s="129">
        <f>IF(GWP!AC11="","",GWP!AC11)</f>
        <v>1.7264252805371516</v>
      </c>
      <c r="I9" s="17">
        <f>IF(H9&gt;='ENV-Com'!$AA$54,0,((H9-'ENV-Com'!$AA$54)/(MIN(H$6:H$40)-'ENV-Com'!$AA$54))*3)</f>
        <v>0.24349049500043465</v>
      </c>
      <c r="J9" s="33">
        <f t="shared" si="0"/>
        <v>1.3285613592760246</v>
      </c>
      <c r="K9" s="130">
        <f>'Commercial Viability'!D14</f>
        <v>260864.99999999997</v>
      </c>
      <c r="L9" s="22">
        <f>IF(K9&gt;='ENV-Com'!$AA$78,0,('ENV-Com'!$AA$78-K9)/('ENV-Com'!$AA$78))*3</f>
        <v>2.2174049999999998</v>
      </c>
      <c r="M9" s="130">
        <f>'Commercial Viability'!H14</f>
        <v>-288.12562930145276</v>
      </c>
      <c r="N9" s="17">
        <f>IF(M9&lt;='ENV-Com'!$AA$101,0,((M9-'ENV-Com'!$AA$101))/(MAX(M$6:M$40)-'ENV-Com'!$AA$101))*3</f>
        <v>0.70558965269621898</v>
      </c>
      <c r="O9" s="18">
        <f>'Commercial Viability'!I14</f>
        <v>9</v>
      </c>
      <c r="P9" s="17">
        <f t="shared" ref="P9:P23" si="2">(O9-1)/(9-1)*3</f>
        <v>3</v>
      </c>
      <c r="Q9" s="33">
        <f t="shared" ref="Q9:Q23" si="3">SUM(L9,N9,P9)</f>
        <v>5.9229946526962189</v>
      </c>
      <c r="R9" s="4" t="str">
        <f>'Energy Balance'!B13</f>
        <v>Hao et al. 2020; Zhao et al. 2019</v>
      </c>
    </row>
    <row r="10" spans="1:31" ht="17" x14ac:dyDescent="0.2">
      <c r="A10" s="128" t="s">
        <v>778</v>
      </c>
      <c r="B10" s="2" t="str">
        <f>'Energy Balance'!A14</f>
        <v>LA*</v>
      </c>
      <c r="C10" s="2" t="s">
        <v>10</v>
      </c>
      <c r="D10" s="17">
        <f>IF('Energy Balance'!Q14="","",'Energy Balance'!Q14)</f>
        <v>5.0000000000000009</v>
      </c>
      <c r="E10" s="17">
        <f>IF(D10&gt;='ENV-Com'!$AA$6,0,((D10-'ENV-Com'!$AA$6)/(MIN(D$6:D$40)-'ENV-Com'!$AA$6))*3)</f>
        <v>0</v>
      </c>
      <c r="F10" s="18">
        <f>IF('Energy Balance'!Y14="","",'Energy Balance'!Y14)</f>
        <v>-876.22873089752466</v>
      </c>
      <c r="G10" s="17">
        <f t="shared" si="1"/>
        <v>0.80563688866828809</v>
      </c>
      <c r="H10" s="129">
        <f>IF(GWP!AC12="","",GWP!AC12)</f>
        <v>0.42700341670046715</v>
      </c>
      <c r="I10" s="17">
        <f>IF(H10&gt;='ENV-Com'!$AA$54,0,((H10-'ENV-Com'!$AA$54)/(MIN(H$6:H$40)-'ENV-Com'!$AA$54))*3)</f>
        <v>0.91465135024579702</v>
      </c>
      <c r="J10" s="33">
        <f t="shared" si="0"/>
        <v>1.720288238914085</v>
      </c>
      <c r="K10" s="130">
        <f>'Commercial Viability'!D15</f>
        <v>35805</v>
      </c>
      <c r="L10" s="22">
        <f>IF(K10&gt;='ENV-Com'!$AA$78,0,('ENV-Com'!$AA$78-K10)/('ENV-Com'!$AA$78))*3</f>
        <v>2.892585</v>
      </c>
      <c r="M10" s="130">
        <f>'Commercial Viability'!H15</f>
        <v>-310.60257325363199</v>
      </c>
      <c r="N10" s="17">
        <f>IF(M10&lt;='ENV-Com'!$AA$101,0,((M10-'ENV-Com'!$AA$101))/(MAX(M$6:M$40)-'ENV-Com'!$AA$101))*3</f>
        <v>0.56382796967746074</v>
      </c>
      <c r="O10" s="18">
        <f>'Commercial Viability'!I15</f>
        <v>9</v>
      </c>
      <c r="P10" s="17">
        <f t="shared" si="2"/>
        <v>3</v>
      </c>
      <c r="Q10" s="33">
        <f t="shared" si="3"/>
        <v>6.4564129696774604</v>
      </c>
      <c r="R10" s="4" t="str">
        <f>'Energy Balance'!B14</f>
        <v>Hao et al. 2020</v>
      </c>
    </row>
    <row r="11" spans="1:31" ht="17" x14ac:dyDescent="0.2">
      <c r="A11" s="65" t="s">
        <v>127</v>
      </c>
      <c r="B11" s="2" t="str">
        <f>'Energy Balance'!A15</f>
        <v>TD-LA</v>
      </c>
      <c r="D11" s="17">
        <f>IF('Energy Balance'!Q15="","",'Energy Balance'!Q15)</f>
        <v>2</v>
      </c>
      <c r="E11" s="17">
        <f>IF(D11&gt;='ENV-Com'!$AA$6,0,((D11-'ENV-Com'!$AA$6)/(MIN(D$6:D$40)-'ENV-Com'!$AA$6))*3)</f>
        <v>0.60024009603841533</v>
      </c>
      <c r="F11" s="18">
        <f>IF('Energy Balance'!Y15="","",'Energy Balance'!Y15)</f>
        <v>-3035.7933764199024</v>
      </c>
      <c r="G11" s="17">
        <f t="shared" si="1"/>
        <v>0</v>
      </c>
      <c r="H11" s="129">
        <f>IF(GWP!AC13="","",GWP!AC13)</f>
        <v>1.3275681193544724</v>
      </c>
      <c r="I11" s="17">
        <f>IF(H11&gt;='ENV-Com'!$AA$54,0,((H11-'ENV-Com'!$AA$54)/(MIN(H$6:H$40)-'ENV-Com'!$AA$54))*3)</f>
        <v>0.44950312328552355</v>
      </c>
      <c r="J11" s="33">
        <f t="shared" si="0"/>
        <v>1.0497432193239389</v>
      </c>
      <c r="K11" s="130">
        <f>'Commercial Viability'!D16</f>
        <v>260864.99999999997</v>
      </c>
      <c r="L11" s="22">
        <f>IF(K11&gt;='ENV-Com'!$AA$78,0,('ENV-Com'!$AA$78-K11)/('ENV-Com'!$AA$78))*3</f>
        <v>2.2174049999999998</v>
      </c>
      <c r="M11" s="130">
        <f>'Commercial Viability'!H16</f>
        <v>-288.12562930145276</v>
      </c>
      <c r="N11" s="17">
        <f>IF(M11&lt;='ENV-Com'!$AA$101,0,((M11-'ENV-Com'!$AA$101))/(MAX(M$6:M$40)-'ENV-Com'!$AA$101))*3</f>
        <v>0.70558965269621898</v>
      </c>
      <c r="O11" s="18">
        <f>'Commercial Viability'!I16</f>
        <v>9</v>
      </c>
      <c r="P11" s="17">
        <f t="shared" si="2"/>
        <v>3</v>
      </c>
      <c r="Q11" s="33">
        <f t="shared" si="3"/>
        <v>5.9229946526962189</v>
      </c>
      <c r="R11" s="4" t="str">
        <f>'Energy Balance'!B15</f>
        <v>Hao et al. 2020</v>
      </c>
    </row>
    <row r="12" spans="1:31" ht="17" x14ac:dyDescent="0.2">
      <c r="A12" s="128" t="s">
        <v>945</v>
      </c>
      <c r="B12" s="2" t="str">
        <f>'Energy Balance'!A16</f>
        <v>TD-INC-LF</v>
      </c>
      <c r="C12" s="2" t="s">
        <v>13</v>
      </c>
      <c r="D12" s="17">
        <f>IF('Energy Balance'!Q16="","",'Energy Balance'!Q16)</f>
        <v>0.10526315789473684</v>
      </c>
      <c r="E12" s="17">
        <f>IF(D12&gt;='ENV-Com'!$AA$6,0,((D12-'ENV-Com'!$AA$6)/(MIN(D$6:D$40)-'ENV-Com'!$AA$6))*3)</f>
        <v>2.8748341441839891</v>
      </c>
      <c r="F12" s="18">
        <f>IF('Energy Balance'!Y16="","",'Energy Balance'!Y16)</f>
        <v>-125.50760394481404</v>
      </c>
      <c r="G12" s="17">
        <f t="shared" si="1"/>
        <v>1.0856973324386274</v>
      </c>
      <c r="H12" s="129">
        <f>IF(GWP!AC14="","",GWP!AC14)</f>
        <v>7.3620091573362485</v>
      </c>
      <c r="I12" s="17">
        <f>IF(H12&gt;='ENV-Com'!$AA$54,0,((H12-'ENV-Com'!$AA$54)/(MIN(H$6:H$40)-'ENV-Com'!$AA$54))*3)</f>
        <v>0</v>
      </c>
      <c r="J12" s="33">
        <f t="shared" si="0"/>
        <v>3.9605314766226165</v>
      </c>
      <c r="K12" s="130">
        <f>'Commercial Viability'!D17</f>
        <v>562650</v>
      </c>
      <c r="L12" s="22">
        <f>IF(K12&gt;='ENV-Com'!$AA$78,0,('ENV-Com'!$AA$78-K12)/('ENV-Com'!$AA$78))*3</f>
        <v>1.3120500000000002</v>
      </c>
      <c r="M12" s="130">
        <f>'Commercial Viability'!H17</f>
        <v>-265.97799101586588</v>
      </c>
      <c r="N12" s="17">
        <f>IF(M12&lt;='ENV-Com'!$AA$101,0,((M12-'ENV-Com'!$AA$101))/(MAX(M$6:M$40)-'ENV-Com'!$AA$101))*3</f>
        <v>0.8452744107725535</v>
      </c>
      <c r="O12" s="18">
        <f>'Commercial Viability'!I17</f>
        <v>9</v>
      </c>
      <c r="P12" s="17">
        <f t="shared" si="2"/>
        <v>3</v>
      </c>
      <c r="Q12" s="33">
        <f t="shared" si="3"/>
        <v>5.1573244107725538</v>
      </c>
      <c r="R12" s="4" t="str">
        <f>'Energy Balance'!B16</f>
        <v>Hao et al. 2020</v>
      </c>
    </row>
    <row r="13" spans="1:31" s="1" customFormat="1" ht="17" x14ac:dyDescent="0.2">
      <c r="A13" s="128" t="s">
        <v>779</v>
      </c>
      <c r="B13" s="2" t="str">
        <f>'Energy Balance'!A17</f>
        <v>AD-CHP-LF*</v>
      </c>
      <c r="C13" s="2" t="s">
        <v>11</v>
      </c>
      <c r="D13" s="17">
        <f>IF('Energy Balance'!Q17="","",'Energy Balance'!Q17)</f>
        <v>3.4000000000000004</v>
      </c>
      <c r="E13" s="17">
        <f>IF(D13&gt;='ENV-Com'!$AA$6,0,((D13-'ENV-Com'!$AA$6)/(MIN(D$6:D$40)-'ENV-Com'!$AA$6))*3)</f>
        <v>0</v>
      </c>
      <c r="F13" s="18">
        <f>IF('Energy Balance'!Y17="","",'Energy Balance'!Y17)</f>
        <v>-407.9056179180966</v>
      </c>
      <c r="G13" s="17">
        <f t="shared" si="1"/>
        <v>0.98034727597458171</v>
      </c>
      <c r="H13" s="129">
        <f>IF(GWP!AC15="","",GWP!AC15)</f>
        <v>2.1978426320814601</v>
      </c>
      <c r="I13" s="17">
        <f>IF(H13&gt;='ENV-Com'!$AA$54,0,((H13-'ENV-Com'!$AA$54)/(MIN(H$6:H$40)-'ENV-Com'!$AA$54))*3)</f>
        <v>0</v>
      </c>
      <c r="J13" s="33">
        <f t="shared" si="0"/>
        <v>0.98034727597458171</v>
      </c>
      <c r="K13" s="130">
        <f>'Commercial Viability'!D18</f>
        <v>465464.99999999994</v>
      </c>
      <c r="L13" s="22">
        <f>IF(K13&gt;='ENV-Com'!$AA$78,0,('ENV-Com'!$AA$78-K13)/('ENV-Com'!$AA$78))*3</f>
        <v>1.6036049999999999</v>
      </c>
      <c r="M13" s="130">
        <f>'Commercial Viability'!H18</f>
        <v>-231.79652981246971</v>
      </c>
      <c r="N13" s="17">
        <f>IF(M13&lt;='ENV-Com'!$AA$101,0,((M13-'ENV-Com'!$AA$101))/(MAX(M$6:M$40)-'ENV-Com'!$AA$101))*3</f>
        <v>1.0608562745055914</v>
      </c>
      <c r="O13" s="18">
        <f>'Commercial Viability'!I18</f>
        <v>9</v>
      </c>
      <c r="P13" s="17">
        <f t="shared" si="2"/>
        <v>3</v>
      </c>
      <c r="Q13" s="33">
        <f t="shared" si="3"/>
        <v>5.6644612745055909</v>
      </c>
      <c r="R13" s="4" t="str">
        <f>'Energy Balance'!B17</f>
        <v>Hao et al. 2020</v>
      </c>
    </row>
    <row r="14" spans="1:31" s="1" customFormat="1" ht="17" x14ac:dyDescent="0.2">
      <c r="A14" s="128" t="s">
        <v>782</v>
      </c>
      <c r="B14" s="2" t="str">
        <f>'Energy Balance'!A18</f>
        <v>AD-CHP-LF_LFG*</v>
      </c>
      <c r="C14" s="2"/>
      <c r="D14" s="17">
        <f>IF('Energy Balance'!Q18="","",'Energy Balance'!Q18)</f>
        <v>3.4000000000000004</v>
      </c>
      <c r="E14" s="17">
        <f>IF(D14&gt;='ENV-Com'!$AA$6,0,((D14-'ENV-Com'!$AA$6)/(MIN(D$6:D$40)-'ENV-Com'!$AA$6))*3)</f>
        <v>0</v>
      </c>
      <c r="F14" s="18">
        <f>IF('Energy Balance'!Y18="","",'Energy Balance'!Y18)</f>
        <v>122.34013864586709</v>
      </c>
      <c r="G14" s="17">
        <f t="shared" si="1"/>
        <v>1.1781582294153492</v>
      </c>
      <c r="H14" s="129">
        <f>IF(GWP!AC16="","",GWP!AC16)</f>
        <v>0.35924542812970783</v>
      </c>
      <c r="I14" s="17">
        <f>IF(H14&gt;='ENV-Com'!$AA$54,0,((H14-'ENV-Com'!$AA$54)/(MIN(H$6:H$40)-'ENV-Com'!$AA$54))*3)</f>
        <v>0.94964884476584599</v>
      </c>
      <c r="J14" s="33">
        <f t="shared" si="0"/>
        <v>2.1278070741811952</v>
      </c>
      <c r="K14" s="130">
        <f>'Commercial Viability'!D19</f>
        <v>465464.99999999994</v>
      </c>
      <c r="L14" s="22">
        <f>IF(K14&gt;='ENV-Com'!$AA$78,0,('ENV-Com'!$AA$78-K14)/('ENV-Com'!$AA$78))*3</f>
        <v>1.6036049999999999</v>
      </c>
      <c r="M14" s="130">
        <f>'Commercial Viability'!H19</f>
        <v>-231.79652981246971</v>
      </c>
      <c r="N14" s="17">
        <f>IF(M14&lt;='ENV-Com'!$AA$101,0,((M14-'ENV-Com'!$AA$101))/(MAX(M$6:M$40)-'ENV-Com'!$AA$101))*3</f>
        <v>1.0608562745055914</v>
      </c>
      <c r="O14" s="18">
        <f>'Commercial Viability'!I19</f>
        <v>9</v>
      </c>
      <c r="P14" s="17">
        <f t="shared" si="2"/>
        <v>3</v>
      </c>
      <c r="Q14" s="33">
        <f t="shared" si="3"/>
        <v>5.6644612745055909</v>
      </c>
      <c r="R14" s="4" t="str">
        <f>'Energy Balance'!B18</f>
        <v>Hao et al. 2020; Zhao et al. 2019</v>
      </c>
    </row>
    <row r="15" spans="1:31" s="1" customFormat="1" ht="17" x14ac:dyDescent="0.2">
      <c r="A15" s="128" t="s">
        <v>783</v>
      </c>
      <c r="B15" s="2" t="str">
        <f>'Energy Balance'!A19</f>
        <v>AD-CHP-LA*</v>
      </c>
      <c r="C15" s="2"/>
      <c r="D15" s="17">
        <f>IF('Energy Balance'!Q19="","",'Energy Balance'!Q19)</f>
        <v>3.4000000000000004</v>
      </c>
      <c r="E15" s="17">
        <f>IF(D15&gt;='ENV-Com'!$AA$6,0,((D15-'ENV-Com'!$AA$6)/(MIN(D$6:D$40)-'ENV-Com'!$AA$6))*3)</f>
        <v>0</v>
      </c>
      <c r="F15" s="18">
        <f>IF('Energy Balance'!Y19="","",'Energy Balance'!Y19)</f>
        <v>-407.9056179180966</v>
      </c>
      <c r="G15" s="17">
        <f t="shared" si="1"/>
        <v>0.98034727597458171</v>
      </c>
      <c r="H15" s="129">
        <f>IF(GWP!AC17="","",GWP!AC17)</f>
        <v>0.18069108922431759</v>
      </c>
      <c r="I15" s="17">
        <f>IF(H15&gt;='ENV-Com'!$AA$54,0,((H15-'ENV-Com'!$AA$54)/(MIN(H$6:H$40)-'ENV-Com'!$AA$54))*3)</f>
        <v>1.0418734610684184</v>
      </c>
      <c r="J15" s="33">
        <f t="shared" si="0"/>
        <v>2.0222207370429999</v>
      </c>
      <c r="K15" s="130">
        <f>'Commercial Viability'!D20</f>
        <v>465464.99999999994</v>
      </c>
      <c r="L15" s="22">
        <f>IF(K15&gt;='ENV-Com'!$AA$78,0,('ENV-Com'!$AA$78-K15)/('ENV-Com'!$AA$78))*3</f>
        <v>1.6036049999999999</v>
      </c>
      <c r="M15" s="130">
        <f>'Commercial Viability'!H20</f>
        <v>-231.79652981246971</v>
      </c>
      <c r="N15" s="17">
        <f>IF(M15&lt;='ENV-Com'!$AA$101,0,((M15-'ENV-Com'!$AA$101))/(MAX(M$6:M$40)-'ENV-Com'!$AA$101))*3</f>
        <v>1.0608562745055914</v>
      </c>
      <c r="O15" s="18">
        <f>'Commercial Viability'!I20</f>
        <v>9</v>
      </c>
      <c r="P15" s="17">
        <f t="shared" si="2"/>
        <v>3</v>
      </c>
      <c r="Q15" s="33">
        <f t="shared" si="3"/>
        <v>5.6644612745055909</v>
      </c>
      <c r="R15" s="4" t="str">
        <f>'Energy Balance'!B19</f>
        <v>Hao et al. 2021</v>
      </c>
    </row>
    <row r="16" spans="1:31" ht="17" x14ac:dyDescent="0.2">
      <c r="A16" s="66" t="s">
        <v>150</v>
      </c>
      <c r="B16" s="2" t="str">
        <f>'Energy Balance'!A20</f>
        <v>AD-CHP-TD-LF</v>
      </c>
      <c r="D16" s="17">
        <f>IF('Energy Balance'!Q20="","",'Energy Balance'!Q20)</f>
        <v>1.3599999999999999</v>
      </c>
      <c r="E16" s="17">
        <f>IF(D16&gt;='ENV-Com'!$AA$6,0,((D16-'ENV-Com'!$AA$6)/(MIN(D$6:D$40)-'ENV-Com'!$AA$6))*3)</f>
        <v>1.3685474189675872</v>
      </c>
      <c r="F16" s="18">
        <f>IF('Energy Balance'!Y20="","",'Energy Balance'!Y20)</f>
        <v>-2680.0566356968429</v>
      </c>
      <c r="G16" s="17">
        <f t="shared" si="1"/>
        <v>0.13270945214598967</v>
      </c>
      <c r="H16" s="129">
        <f>IF(GWP!AC18="","",GWP!AC18)</f>
        <v>3.1396326298861834</v>
      </c>
      <c r="I16" s="17">
        <f>IF(H16&gt;='ENV-Com'!$AA$54,0,((H16-'ENV-Com'!$AA$54)/(MIN(H$6:H$40)-'ENV-Com'!$AA$54))*3)</f>
        <v>0</v>
      </c>
      <c r="J16" s="33">
        <f t="shared" si="0"/>
        <v>1.501256871113577</v>
      </c>
      <c r="K16" s="130">
        <f>'Commercial Viability'!D21</f>
        <v>639375</v>
      </c>
      <c r="L16" s="22">
        <f>IF(K16&gt;='ENV-Com'!$AA$78,0,('ENV-Com'!$AA$78-K16)/('ENV-Com'!$AA$78))*3</f>
        <v>1.0818749999999999</v>
      </c>
      <c r="M16" s="130">
        <f>'Commercial Viability'!H21</f>
        <v>-249.28912792498784</v>
      </c>
      <c r="N16" s="17">
        <f>IF(M16&lt;='ENV-Com'!$AA$101,0,((M16-'ENV-Com'!$AA$101))/(MAX(M$6:M$40)-'ENV-Com'!$AA$101))*3</f>
        <v>0.95053077144444686</v>
      </c>
      <c r="O16" s="18">
        <f>'Commercial Viability'!I21</f>
        <v>9</v>
      </c>
      <c r="P16" s="17">
        <f t="shared" si="2"/>
        <v>3</v>
      </c>
      <c r="Q16" s="33">
        <f t="shared" si="3"/>
        <v>5.0324057714444468</v>
      </c>
      <c r="R16" s="4" t="str">
        <f>'Energy Balance'!B20</f>
        <v>Hao et al. 2022</v>
      </c>
    </row>
    <row r="17" spans="1:18" ht="17" x14ac:dyDescent="0.2">
      <c r="A17" s="66" t="s">
        <v>151</v>
      </c>
      <c r="B17" s="2" t="str">
        <f>'Energy Balance'!A21</f>
        <v>AD-CHP-TD-LF_LFG</v>
      </c>
      <c r="D17" s="17">
        <f>IF('Energy Balance'!Q21="","",'Energy Balance'!Q21)</f>
        <v>1.3599999999999999</v>
      </c>
      <c r="E17" s="17">
        <f>IF(D17&gt;='ENV-Com'!$AA$6,0,((D17-'ENV-Com'!$AA$6)/(MIN(D$6:D$40)-'ENV-Com'!$AA$6))*3)</f>
        <v>1.3685474189675872</v>
      </c>
      <c r="F17" s="18">
        <f>IF('Energy Balance'!Y21="","",'Energy Balance'!Y21)</f>
        <v>-2149.8108791328791</v>
      </c>
      <c r="G17" s="17">
        <f t="shared" si="1"/>
        <v>0.33052040558675699</v>
      </c>
      <c r="H17" s="129">
        <f>IF(GWP!AC19="","",GWP!AC19)</f>
        <v>1.3010354259344312</v>
      </c>
      <c r="I17" s="17">
        <f>IF(H17&gt;='ENV-Com'!$AA$54,0,((H17-'ENV-Com'!$AA$54)/(MIN(H$6:H$40)-'ENV-Com'!$AA$54))*3)</f>
        <v>0.4632074526517993</v>
      </c>
      <c r="J17" s="33">
        <f t="shared" si="0"/>
        <v>2.1622752772061435</v>
      </c>
      <c r="K17" s="130">
        <f>'Commercial Viability'!D22</f>
        <v>639375</v>
      </c>
      <c r="L17" s="22">
        <f>IF(K17&gt;='ENV-Com'!$AA$78,0,('ENV-Com'!$AA$78-K17)/('ENV-Com'!$AA$78))*3</f>
        <v>1.0818749999999999</v>
      </c>
      <c r="M17" s="130">
        <f>'Commercial Viability'!H22</f>
        <v>-249.28912792498784</v>
      </c>
      <c r="N17" s="17">
        <f>IF(M17&lt;='ENV-Com'!$AA$101,0,((M17-'ENV-Com'!$AA$101))/(MAX(M$6:M$40)-'ENV-Com'!$AA$101))*3</f>
        <v>0.95053077144444686</v>
      </c>
      <c r="O17" s="18">
        <f>'Commercial Viability'!I22</f>
        <v>9</v>
      </c>
      <c r="P17" s="17">
        <f t="shared" si="2"/>
        <v>3</v>
      </c>
      <c r="Q17" s="33">
        <f t="shared" si="3"/>
        <v>5.0324057714444468</v>
      </c>
      <c r="R17" s="4" t="str">
        <f>'Energy Balance'!B21</f>
        <v>Hao et al. 2020; Zhao et al. 2019</v>
      </c>
    </row>
    <row r="18" spans="1:18" ht="17" x14ac:dyDescent="0.2">
      <c r="A18" s="66" t="s">
        <v>152</v>
      </c>
      <c r="B18" s="2" t="str">
        <f>'Energy Balance'!A22</f>
        <v>AD-CHP-TD-LA</v>
      </c>
      <c r="D18" s="17">
        <f>IF('Energy Balance'!Q22="","",'Energy Balance'!Q22)</f>
        <v>1.3599999999999999</v>
      </c>
      <c r="E18" s="17">
        <f>IF(D18&gt;='ENV-Com'!$AA$6,0,((D18-'ENV-Com'!$AA$6)/(MIN(D$6:D$40)-'ENV-Com'!$AA$6))*3)</f>
        <v>1.3685474189675872</v>
      </c>
      <c r="F18" s="18">
        <f>IF('Energy Balance'!Y22="","",'Energy Balance'!Y22)</f>
        <v>-2680.0566356968429</v>
      </c>
      <c r="G18" s="17">
        <f t="shared" si="1"/>
        <v>0.13270945214598967</v>
      </c>
      <c r="H18" s="129">
        <f>IF(GWP!AC20="","",GWP!AC20)</f>
        <v>1.1224810870290411</v>
      </c>
      <c r="I18" s="17">
        <f>IF(H18&gt;='ENV-Com'!$AA$54,0,((H18-'ENV-Com'!$AA$54)/(MIN(H$6:H$40)-'ENV-Com'!$AA$54))*3)</f>
        <v>0.5554320689543718</v>
      </c>
      <c r="J18" s="33">
        <f t="shared" si="0"/>
        <v>2.0566889400679487</v>
      </c>
      <c r="K18" s="130">
        <f>'Commercial Viability'!D23</f>
        <v>639375</v>
      </c>
      <c r="L18" s="22">
        <f>IF(K18&gt;='ENV-Com'!$AA$78,0,('ENV-Com'!$AA$78-K18)/('ENV-Com'!$AA$78))*3</f>
        <v>1.0818749999999999</v>
      </c>
      <c r="M18" s="130">
        <f>'Commercial Viability'!H23</f>
        <v>-249.28912792498784</v>
      </c>
      <c r="N18" s="17">
        <f>IF(M18&lt;='ENV-Com'!$AA$101,0,((M18-'ENV-Com'!$AA$101))/(MAX(M$6:M$40)-'ENV-Com'!$AA$101))*3</f>
        <v>0.95053077144444686</v>
      </c>
      <c r="O18" s="18">
        <f>'Commercial Viability'!I23</f>
        <v>9</v>
      </c>
      <c r="P18" s="17">
        <f t="shared" si="2"/>
        <v>3</v>
      </c>
      <c r="Q18" s="33">
        <f t="shared" si="3"/>
        <v>5.0324057714444468</v>
      </c>
      <c r="R18" s="4" t="str">
        <f>'Energy Balance'!B22</f>
        <v>Hao et al. 2023</v>
      </c>
    </row>
    <row r="19" spans="1:18" ht="17" x14ac:dyDescent="0.2">
      <c r="A19" s="128" t="s">
        <v>944</v>
      </c>
      <c r="B19" s="2" t="str">
        <f>'Energy Balance'!A23</f>
        <v>AD-CHP-TD-INC-LF</v>
      </c>
      <c r="D19" s="17">
        <f>IF('Energy Balance'!Q23="","",'Energy Balance'!Q23)</f>
        <v>0.10526315789473684</v>
      </c>
      <c r="E19" s="17">
        <f>IF(D19&gt;='ENV-Com'!$AA$6,0,((D19-'ENV-Com'!$AA$6)/(MIN(D$6:D$40)-'ENV-Com'!$AA$6))*3)</f>
        <v>2.8748341441839891</v>
      </c>
      <c r="F19" s="18">
        <f>IF('Energy Balance'!Y23="","",'Energy Balance'!Y23)</f>
        <v>-721.11775567851259</v>
      </c>
      <c r="G19" s="17">
        <f t="shared" si="1"/>
        <v>0.86350184942917396</v>
      </c>
      <c r="H19" s="129">
        <f>IF(GWP!AC21="","",GWP!AC21)</f>
        <v>5.2749486593220869</v>
      </c>
      <c r="I19" s="17">
        <f>IF(H19&gt;='ENV-Com'!$AA$54,0,((H19-'ENV-Com'!$AA$54)/(MIN(H$6:H$40)-'ENV-Com'!$AA$54))*3)</f>
        <v>0</v>
      </c>
      <c r="J19" s="33">
        <f t="shared" si="0"/>
        <v>3.738335993613163</v>
      </c>
      <c r="K19" s="130">
        <f>'Commercial Viability'!D24</f>
        <v>879779.99999999988</v>
      </c>
      <c r="L19" s="22">
        <f>IF(K19&gt;='ENV-Com'!$AA$78,0,('ENV-Com'!$AA$78-K19)/('ENV-Com'!$AA$78))*3</f>
        <v>0.36066000000000037</v>
      </c>
      <c r="M19" s="130">
        <f>'Commercial Viability'!H24</f>
        <v>-288.5634008658659</v>
      </c>
      <c r="N19" s="17">
        <f>IF(M19&lt;='ENV-Com'!$AA$101,0,((M19-'ENV-Com'!$AA$101))/(MAX(M$6:M$40)-'ENV-Com'!$AA$101))*3</f>
        <v>0.70282863527850448</v>
      </c>
      <c r="O19" s="18">
        <f>'Commercial Viability'!I24</f>
        <v>9</v>
      </c>
      <c r="P19" s="17">
        <f t="shared" si="2"/>
        <v>3</v>
      </c>
      <c r="Q19" s="33">
        <f t="shared" si="3"/>
        <v>4.0634886352785049</v>
      </c>
      <c r="R19" s="4" t="str">
        <f>'Energy Balance'!B23</f>
        <v>Hao et al. 2024</v>
      </c>
    </row>
    <row r="20" spans="1:18" ht="17" x14ac:dyDescent="0.2">
      <c r="A20" s="128" t="s">
        <v>780</v>
      </c>
      <c r="B20" s="2" t="str">
        <f>'Energy Balance'!A24</f>
        <v>TH-AD-CHP-LF*</v>
      </c>
      <c r="D20" s="17">
        <f>IF('Energy Balance'!Q24="","",'Energy Balance'!Q24)</f>
        <v>3.4000000000000004</v>
      </c>
      <c r="E20" s="17">
        <f>IF(D20&gt;='ENV-Com'!$AA$6,0,((D20-'ENV-Com'!$AA$6)/(MIN(D$6:D$40)-'ENV-Com'!$AA$6))*3)</f>
        <v>0</v>
      </c>
      <c r="F20" s="18">
        <f>IF('Energy Balance'!Y24="","",'Energy Balance'!Y24)</f>
        <v>66.873892640231304</v>
      </c>
      <c r="G20" s="17">
        <f t="shared" si="1"/>
        <v>1.1574662561740101</v>
      </c>
      <c r="H20" s="129">
        <f>IF(GWP!AC22="","",GWP!AC22)</f>
        <v>2.0086194568954601</v>
      </c>
      <c r="I20" s="17">
        <f>IF(H20&gt;='ENV-Com'!$AA$54,0,((H20-'ENV-Com'!$AA$54)/(MIN(H$6:H$40)-'ENV-Com'!$AA$54))*3)</f>
        <v>9.7735147933481648E-2</v>
      </c>
      <c r="J20" s="33">
        <f t="shared" si="0"/>
        <v>1.2552014041074917</v>
      </c>
      <c r="K20" s="130">
        <f>'Commercial Viability'!D25</f>
        <v>644490</v>
      </c>
      <c r="L20" s="22">
        <f>IF(K20&gt;='ENV-Com'!$AA$78,0,('ENV-Com'!$AA$78-K20)/('ENV-Com'!$AA$78))*3</f>
        <v>1.06653</v>
      </c>
      <c r="M20" s="130">
        <f>'Commercial Viability'!H25</f>
        <v>-308.81711981246974</v>
      </c>
      <c r="N20" s="17">
        <f>IF(M20&lt;='ENV-Com'!$AA$101,0,((M20-'ENV-Com'!$AA$101))/(MAX(M$6:M$40)-'ENV-Com'!$AA$101))*3</f>
        <v>0.57508879255931222</v>
      </c>
      <c r="O20" s="18">
        <f>'Commercial Viability'!I25</f>
        <v>9</v>
      </c>
      <c r="P20" s="17">
        <f t="shared" si="2"/>
        <v>3</v>
      </c>
      <c r="Q20" s="33">
        <f t="shared" si="3"/>
        <v>4.6416187925593118</v>
      </c>
      <c r="R20" s="4" t="str">
        <f>'Energy Balance'!B24</f>
        <v>Hao et al. 2020</v>
      </c>
    </row>
    <row r="21" spans="1:18" ht="17" x14ac:dyDescent="0.2">
      <c r="A21" s="128" t="s">
        <v>785</v>
      </c>
      <c r="B21" s="2" t="str">
        <f>'Energy Balance'!A25</f>
        <v>TH-AD-CHP-LF_LFG*</v>
      </c>
      <c r="D21" s="17">
        <f>IF('Energy Balance'!Q25="","",'Energy Balance'!Q25)</f>
        <v>3.4000000000000004</v>
      </c>
      <c r="E21" s="17">
        <f>IF(D21&gt;='ENV-Com'!$AA$6,0,((D21-'ENV-Com'!$AA$6)/(MIN(D$6:D$40)-'ENV-Com'!$AA$6))*3)</f>
        <v>0</v>
      </c>
      <c r="F21" s="18">
        <f>IF('Energy Balance'!Y25="","",'Energy Balance'!Y25)</f>
        <v>597.11964920419473</v>
      </c>
      <c r="G21" s="17">
        <f t="shared" si="1"/>
        <v>1.3552772096147774</v>
      </c>
      <c r="H21" s="129">
        <f>IF(GWP!AC23="","",GWP!AC23)</f>
        <v>0.17002225294370782</v>
      </c>
      <c r="I21" s="17">
        <f>IF(H21&gt;='ENV-Com'!$AA$54,0,((H21-'ENV-Com'!$AA$54)/(MIN(H$6:H$40)-'ENV-Com'!$AA$54))*3)</f>
        <v>1.0473839926993276</v>
      </c>
      <c r="J21" s="33">
        <f t="shared" si="0"/>
        <v>2.4026612023141052</v>
      </c>
      <c r="K21" s="130">
        <f>'Commercial Viability'!D26</f>
        <v>644490</v>
      </c>
      <c r="L21" s="22">
        <f>IF(K21&gt;='ENV-Com'!$AA$78,0,('ENV-Com'!$AA$78-K21)/('ENV-Com'!$AA$78))*3</f>
        <v>1.06653</v>
      </c>
      <c r="M21" s="130">
        <f>'Commercial Viability'!H26</f>
        <v>-308.81711981246974</v>
      </c>
      <c r="N21" s="17">
        <f>IF(M21&lt;='ENV-Com'!$AA$101,0,((M21-'ENV-Com'!$AA$101))/(MAX(M$6:M$40)-'ENV-Com'!$AA$101))*3</f>
        <v>0.57508879255931222</v>
      </c>
      <c r="O21" s="18">
        <f>'Commercial Viability'!I26</f>
        <v>9</v>
      </c>
      <c r="P21" s="17">
        <f t="shared" si="2"/>
        <v>3</v>
      </c>
      <c r="Q21" s="33">
        <f t="shared" si="3"/>
        <v>4.6416187925593118</v>
      </c>
      <c r="R21" s="4" t="str">
        <f>'Energy Balance'!B25</f>
        <v>Hao et al. 2020; Zhao et al. 2019</v>
      </c>
    </row>
    <row r="22" spans="1:18" ht="17" x14ac:dyDescent="0.2">
      <c r="A22" s="128" t="s">
        <v>784</v>
      </c>
      <c r="B22" s="2" t="str">
        <f>'Energy Balance'!A26</f>
        <v>TH-AD-CHP-LA*</v>
      </c>
      <c r="D22" s="17">
        <f>IF('Energy Balance'!Q26="","",'Energy Balance'!Q26)</f>
        <v>3.4000000000000004</v>
      </c>
      <c r="E22" s="17">
        <f>IF(D22&gt;='ENV-Com'!$AA$6,0,((D22-'ENV-Com'!$AA$6)/(MIN(D$6:D$40)-'ENV-Com'!$AA$6))*3)</f>
        <v>0</v>
      </c>
      <c r="F22" s="18">
        <f>IF('Energy Balance'!Y26="","",'Energy Balance'!Y26)</f>
        <v>-419.14198971270991</v>
      </c>
      <c r="G22" s="17">
        <f t="shared" si="1"/>
        <v>0.97615548869407509</v>
      </c>
      <c r="H22" s="129">
        <f>IF(GWP!AC24="","",GWP!AC24)</f>
        <v>0.19068042403831753</v>
      </c>
      <c r="I22" s="17">
        <f>IF(H22&gt;='ENV-Com'!$AA$54,0,((H22-'ENV-Com'!$AA$54)/(MIN(H$6:H$40)-'ENV-Com'!$AA$54))*3)</f>
        <v>1.0367138968932395</v>
      </c>
      <c r="J22" s="33">
        <f t="shared" ref="J22" si="4">SUM(E22,G22,I22)</f>
        <v>2.0128693855873143</v>
      </c>
      <c r="K22" s="130">
        <f>'Commercial Viability'!D27</f>
        <v>644490</v>
      </c>
      <c r="L22" s="22">
        <f>IF(K22&gt;='ENV-Com'!$AA$78,0,('ENV-Com'!$AA$78-K22)/('ENV-Com'!$AA$78))*3</f>
        <v>1.06653</v>
      </c>
      <c r="M22" s="130">
        <f>'Commercial Viability'!H27</f>
        <v>-308.81711981246974</v>
      </c>
      <c r="N22" s="17">
        <f>IF(M22&lt;='ENV-Com'!$AA$101,0,((M22-'ENV-Com'!$AA$101))/(MAX(M$6:M$40)-'ENV-Com'!$AA$101))*3</f>
        <v>0.57508879255931222</v>
      </c>
      <c r="O22" s="18">
        <f>'Commercial Viability'!I27</f>
        <v>9</v>
      </c>
      <c r="P22" s="17">
        <f t="shared" ref="P22" si="5">(O22-1)/(9-1)*3</f>
        <v>3</v>
      </c>
      <c r="Q22" s="33">
        <f t="shared" ref="Q22" si="6">SUM(L22,N22,P22)</f>
        <v>4.6416187925593118</v>
      </c>
      <c r="R22" s="4" t="str">
        <f>'Energy Balance'!B26</f>
        <v>Hao et al. 2020; Zhao et al. 2019</v>
      </c>
    </row>
    <row r="23" spans="1:18" ht="17" x14ac:dyDescent="0.2">
      <c r="A23" s="128" t="s">
        <v>946</v>
      </c>
      <c r="B23" s="2" t="str">
        <f>'Energy Balance'!A27</f>
        <v>TH-AD-CHP-TD-INC-LF</v>
      </c>
      <c r="D23" s="17">
        <f>IF('Energy Balance'!Q27="","",'Energy Balance'!Q27)</f>
        <v>0.10526315789473684</v>
      </c>
      <c r="E23" s="17">
        <f>IF(D23&gt;='ENV-Com'!$AA$6,0,((D23-'ENV-Com'!$AA$6)/(MIN(D$6:D$40)-'ENV-Com'!$AA$6))*3)</f>
        <v>2.8748341441839891</v>
      </c>
      <c r="F23" s="18">
        <f>IF('Energy Balance'!Y27="","",'Energy Balance'!Y27)</f>
        <v>-952.03345780044128</v>
      </c>
      <c r="G23" s="17">
        <f t="shared" si="1"/>
        <v>0.77735753872845681</v>
      </c>
      <c r="H23" s="129">
        <f>IF(GWP!AC25="","",GWP!AC25)</f>
        <v>5.365234222320348</v>
      </c>
      <c r="I23" s="17">
        <f>IF(H23&gt;='ENV-Com'!$AA$54,0,((H23-'ENV-Com'!$AA$54)/(MIN(H$6:H$40)-'ENV-Com'!$AA$54))*3)</f>
        <v>0</v>
      </c>
      <c r="J23" s="33">
        <f t="shared" si="0"/>
        <v>3.6521916829124459</v>
      </c>
      <c r="K23" s="130">
        <f>'Commercial Viability'!D28</f>
        <v>920699.99999999988</v>
      </c>
      <c r="L23" s="22">
        <f>IF(K23&gt;='ENV-Com'!$AA$78,0,('ENV-Com'!$AA$78-K23)/('ENV-Com'!$AA$78))*3</f>
        <v>0.23790000000000036</v>
      </c>
      <c r="M23" s="130">
        <f>'Commercial Viability'!H28</f>
        <v>-347.31846296586593</v>
      </c>
      <c r="N23" s="17">
        <f>IF(M23&lt;='ENV-Com'!$AA$101,0,((M23-'ENV-Com'!$AA$101))/(MAX(M$6:M$40)-'ENV-Com'!$AA$101))*3</f>
        <v>0.3322615107224049</v>
      </c>
      <c r="O23" s="18">
        <f>'Commercial Viability'!I28</f>
        <v>9</v>
      </c>
      <c r="P23" s="17">
        <f t="shared" si="2"/>
        <v>3</v>
      </c>
      <c r="Q23" s="33">
        <f t="shared" si="3"/>
        <v>3.5701615107224054</v>
      </c>
      <c r="R23" s="4" t="str">
        <f>'Energy Balance'!B27</f>
        <v>Hao et al. 2020</v>
      </c>
    </row>
    <row r="24" spans="1:18" ht="17" x14ac:dyDescent="0.2">
      <c r="A24" s="66" t="s">
        <v>129</v>
      </c>
      <c r="B24" s="2" t="str">
        <f>'Energy Balance'!A28</f>
        <v>HTL-CAS_BC</v>
      </c>
      <c r="D24" s="17">
        <f>IF('Energy Balance'!Q28="","",'Energy Balance'!Q28)</f>
        <v>0.25499999999999995</v>
      </c>
      <c r="E24" s="17">
        <f>IF(D24&gt;='ENV-Com'!$AA$6,0,((D24-'ENV-Com'!$AA$6)/(MIN(D$6:D$40)-'ENV-Com'!$AA$6))*3)</f>
        <v>2.6950780312124851</v>
      </c>
      <c r="F24" s="18">
        <f>IF('Energy Balance'!Y28="","",'Energy Balance'!Y28)</f>
        <v>2541.5488337152001</v>
      </c>
      <c r="G24" s="17">
        <f t="shared" si="1"/>
        <v>2.080656689082196</v>
      </c>
      <c r="H24" s="129">
        <f>IF(GWP!AC26="","",GWP!AC26)</f>
        <v>-0.64984045146280833</v>
      </c>
      <c r="I24" s="17">
        <f>IF(H24&gt;='ENV-Com'!$AA$54,0,((H24-'ENV-Com'!$AA$54)/(MIN(H$6:H$40)-'ENV-Com'!$AA$54))*3)</f>
        <v>1.4708490498814124</v>
      </c>
      <c r="J24" s="33">
        <f t="shared" si="0"/>
        <v>6.2465837701760929</v>
      </c>
      <c r="K24" s="130">
        <f>'Commercial Viability'!D29</f>
        <v>196407.39117999998</v>
      </c>
      <c r="L24" s="22">
        <f>IF(K24&gt;='ENV-Com'!$AA$78,0,('ENV-Com'!$AA$78-K24)/('ENV-Com'!$AA$78))*3</f>
        <v>2.4107778264599999</v>
      </c>
      <c r="M24" s="130">
        <f>'Commercial Viability'!H29</f>
        <v>-43.136429381369169</v>
      </c>
      <c r="N24" s="17">
        <f>IF(M24&lt;='ENV-Com'!$AA$101,0,((M24-'ENV-Com'!$AA$101))/(MAX(M$6:M$40)-'ENV-Com'!$AA$101))*3</f>
        <v>2.2507321496468728</v>
      </c>
      <c r="O24" s="18">
        <f>'Commercial Viability'!I29</f>
        <v>7</v>
      </c>
      <c r="P24" s="17">
        <f t="shared" ref="P24:P29" si="7">(O24-1)/(9-1)*3</f>
        <v>2.25</v>
      </c>
      <c r="Q24" s="33">
        <f t="shared" ref="Q24:Q29" si="8">SUM(L24,N24,P24)</f>
        <v>6.9115099761068723</v>
      </c>
      <c r="R24" s="4" t="str">
        <f>'Energy Balance'!B28</f>
        <v>Snowden-Swan et al. 2017</v>
      </c>
    </row>
    <row r="25" spans="1:18" ht="17" x14ac:dyDescent="0.2">
      <c r="A25" s="66" t="s">
        <v>130</v>
      </c>
      <c r="B25" s="2" t="str">
        <f>'Energy Balance'!A29</f>
        <v>HTL-CAS_FP</v>
      </c>
      <c r="D25" s="17">
        <f>IF('Energy Balance'!Q29="","",'Energy Balance'!Q29)</f>
        <v>0.25499999999999995</v>
      </c>
      <c r="E25" s="17">
        <f>IF(D25&gt;='ENV-Com'!$AA$6,0,((D25-'ENV-Com'!$AA$6)/(MIN(D$6:D$40)-'ENV-Com'!$AA$6))*3)</f>
        <v>2.6950780312124851</v>
      </c>
      <c r="F25" s="18">
        <f>IF('Energy Balance'!Y29="","",'Energy Balance'!Y29)</f>
        <v>2477.5135236852966</v>
      </c>
      <c r="G25" s="17">
        <f t="shared" si="1"/>
        <v>2.0567679816779676</v>
      </c>
      <c r="H25" s="129">
        <f>IF(GWP!AC27="","",GWP!AC27)</f>
        <v>-0.94259951356506133</v>
      </c>
      <c r="I25" s="17">
        <f>IF(H25&gt;='ENV-Com'!$AA$54,0,((H25-'ENV-Com'!$AA$54)/(MIN(H$6:H$40)-'ENV-Com'!$AA$54))*3)</f>
        <v>1.6220612373701047</v>
      </c>
      <c r="J25" s="33">
        <f t="shared" si="0"/>
        <v>6.3739072502605572</v>
      </c>
      <c r="K25" s="130">
        <f>'Commercial Viability'!D30</f>
        <v>271195.30231252348</v>
      </c>
      <c r="L25" s="22">
        <f>IF(K25&gt;='ENV-Com'!$AA$78,0,('ENV-Com'!$AA$78-K25)/('ENV-Com'!$AA$78))*3</f>
        <v>2.1864140930624298</v>
      </c>
      <c r="M25" s="130">
        <f>'Commercial Viability'!H30</f>
        <v>75.663313390650302</v>
      </c>
      <c r="N25" s="17">
        <f>IF(M25&lt;='ENV-Com'!$AA$101,0,((M25-'ENV-Com'!$AA$101))/(MAX(M$6:M$40)-'ENV-Com'!$AA$101))*3</f>
        <v>3</v>
      </c>
      <c r="O25" s="18">
        <f>'Commercial Viability'!I30</f>
        <v>6</v>
      </c>
      <c r="P25" s="17">
        <f t="shared" si="7"/>
        <v>1.875</v>
      </c>
      <c r="Q25" s="33">
        <f t="shared" si="8"/>
        <v>7.0614140930624298</v>
      </c>
      <c r="R25" s="4" t="str">
        <f>'Energy Balance'!B29</f>
        <v>Snowden-Swan et al. 2017</v>
      </c>
    </row>
    <row r="26" spans="1:18" ht="17" x14ac:dyDescent="0.2">
      <c r="A26" s="66" t="s">
        <v>786</v>
      </c>
      <c r="B26" s="2" t="str">
        <f>'Energy Balance'!A30</f>
        <v>HTL-NH3-CAS_BC</v>
      </c>
      <c r="D26" s="17">
        <f>IF('Energy Balance'!Q30="","",'Energy Balance'!Q30)</f>
        <v>0.255</v>
      </c>
      <c r="E26" s="17">
        <f>IF(D26&gt;='ENV-Com'!$AA$6,0,((D26-'ENV-Com'!$AA$6)/(MIN(D$6:D$40)-'ENV-Com'!$AA$6))*3)</f>
        <v>2.6950780312124851</v>
      </c>
      <c r="F26" s="18">
        <f>IF('Energy Balance'!Y30="","",'Energy Balance'!Y30)</f>
        <v>2391.063738876871</v>
      </c>
      <c r="G26" s="17">
        <f t="shared" si="1"/>
        <v>2.0245174371973897</v>
      </c>
      <c r="H26" s="129">
        <f>IF(GWP!AC28="","",GWP!AC28)</f>
        <v>-0.58732929161037228</v>
      </c>
      <c r="I26" s="17">
        <f>IF(H26&gt;='ENV-Com'!$AA$54,0,((H26-'ENV-Com'!$AA$54)/(MIN(H$6:H$40)-'ENV-Com'!$AA$54))*3)</f>
        <v>1.4385615806025258</v>
      </c>
      <c r="J26" s="33">
        <f t="shared" ref="J26:J29" si="9">SUM(E26,G26,I26)</f>
        <v>6.1581570490124005</v>
      </c>
      <c r="K26" s="130">
        <f>'Commercial Viability'!D31</f>
        <v>242508.19999999995</v>
      </c>
      <c r="L26" s="22">
        <f>IF(K26&gt;='ENV-Com'!$AA$78,0,('ENV-Com'!$AA$78-K26)/('ENV-Com'!$AA$78))*3</f>
        <v>2.2724754000000003</v>
      </c>
      <c r="M26" s="130">
        <f>'Commercial Viability'!H31</f>
        <v>-43.051321379668764</v>
      </c>
      <c r="N26" s="17">
        <f>IF(M26&lt;='ENV-Com'!$AA$101,0,((M26-'ENV-Com'!$AA$101))/(MAX(M$6:M$40)-'ENV-Com'!$AA$101))*3</f>
        <v>2.2512689242895947</v>
      </c>
      <c r="O26" s="18">
        <f>'Commercial Viability'!I31</f>
        <v>6</v>
      </c>
      <c r="P26" s="17">
        <f t="shared" si="7"/>
        <v>1.875</v>
      </c>
      <c r="Q26" s="33">
        <f t="shared" si="8"/>
        <v>6.3987443242895949</v>
      </c>
      <c r="R26" s="4" t="str">
        <f>'Energy Balance'!B30</f>
        <v>Snowden-Swan et al. 2020</v>
      </c>
    </row>
    <row r="27" spans="1:18" ht="17" x14ac:dyDescent="0.2">
      <c r="A27" s="66" t="s">
        <v>787</v>
      </c>
      <c r="B27" s="2" t="str">
        <f>'Energy Balance'!A31</f>
        <v>HTL-NH3-CAS_FP</v>
      </c>
      <c r="D27" s="17">
        <f>IF('Energy Balance'!Q31="","",'Energy Balance'!Q31)</f>
        <v>0.255</v>
      </c>
      <c r="E27" s="17">
        <f>IF(D27&gt;='ENV-Com'!$AA$6,0,((D27-'ENV-Com'!$AA$6)/(MIN(D$6:D$40)-'ENV-Com'!$AA$6))*3)</f>
        <v>2.6950780312124851</v>
      </c>
      <c r="F27" s="18">
        <f>IF('Energy Balance'!Y31="","",'Energy Balance'!Y31)</f>
        <v>2141.6675262653916</v>
      </c>
      <c r="G27" s="17">
        <f t="shared" si="1"/>
        <v>1.9314788753786643</v>
      </c>
      <c r="H27" s="129">
        <f>IF(GWP!AC29="","",GWP!AC29)</f>
        <v>-0.81128410547843721</v>
      </c>
      <c r="I27" s="17">
        <f>IF(H27&gt;='ENV-Com'!$AA$54,0,((H27-'ENV-Com'!$AA$54)/(MIN(H$6:H$40)-'ENV-Com'!$AA$54))*3)</f>
        <v>1.5542358728359971</v>
      </c>
      <c r="J27" s="33">
        <f t="shared" si="9"/>
        <v>6.1807927794271471</v>
      </c>
      <c r="K27" s="130">
        <f>'Commercial Viability'!D32</f>
        <v>314991.14420061081</v>
      </c>
      <c r="L27" s="22">
        <f>IF(K27&gt;='ENV-Com'!$AA$78,0,('ENV-Com'!$AA$78-K27)/('ENV-Com'!$AA$78))*3</f>
        <v>2.0550265673981674</v>
      </c>
      <c r="M27" s="130">
        <f>'Commercial Viability'!H32</f>
        <v>-19.864753744669287</v>
      </c>
      <c r="N27" s="17">
        <f>IF(M27&lt;='ENV-Com'!$AA$101,0,((M27-'ENV-Com'!$AA$101))/(MAX(M$6:M$40)-'ENV-Com'!$AA$101))*3</f>
        <v>2.39750619116889</v>
      </c>
      <c r="O27" s="18">
        <f>'Commercial Viability'!I32</f>
        <v>6</v>
      </c>
      <c r="P27" s="17">
        <f t="shared" si="7"/>
        <v>1.875</v>
      </c>
      <c r="Q27" s="33">
        <f t="shared" si="8"/>
        <v>6.3275327585670578</v>
      </c>
      <c r="R27" s="4" t="str">
        <f>'Energy Balance'!B31</f>
        <v>Snowden-Swan et al. 2020</v>
      </c>
    </row>
    <row r="28" spans="1:18" ht="17" x14ac:dyDescent="0.2">
      <c r="A28" s="66" t="s">
        <v>155</v>
      </c>
      <c r="B28" s="2" t="str">
        <f>'Energy Balance'!A32</f>
        <v>SupCrit HTL-CAS_BHO</v>
      </c>
      <c r="D28" s="17">
        <f>IF('Energy Balance'!Q32="","",'Energy Balance'!Q32)</f>
        <v>0.35</v>
      </c>
      <c r="E28" s="17">
        <f>IF(D28&gt;='ENV-Com'!$AA$6,0,((D28-'ENV-Com'!$AA$6)/(MIN(D$6:D$40)-'ENV-Com'!$AA$6))*3)</f>
        <v>2.5810324129651856</v>
      </c>
      <c r="F28" s="18">
        <f>IF('Energy Balance'!Y32="","",'Energy Balance'!Y32)</f>
        <v>2180.5756252623123</v>
      </c>
      <c r="G28" s="17">
        <f t="shared" si="1"/>
        <v>1.9459937452552707</v>
      </c>
      <c r="H28" s="129">
        <f>IF(GWP!AC30="","",GWP!AC30)</f>
        <v>-0.46830442207276918</v>
      </c>
      <c r="I28" s="17">
        <f>IF(H28&gt;='ENV-Com'!$AA$54,0,((H28-'ENV-Com'!$AA$54)/(MIN(H$6:H$40)-'ENV-Com'!$AA$54))*3)</f>
        <v>1.3770843687304271</v>
      </c>
      <c r="J28" s="33">
        <f t="shared" si="9"/>
        <v>5.904110526950884</v>
      </c>
      <c r="K28" s="130">
        <f>'Commercial Viability'!D33</f>
        <v>448062.75000000006</v>
      </c>
      <c r="L28" s="22">
        <f>IF(K28&gt;='ENV-Com'!$AA$78,0,('ENV-Com'!$AA$78-K28)/('ENV-Com'!$AA$78))*3</f>
        <v>1.6558117500000002</v>
      </c>
      <c r="M28" s="130">
        <f>'Commercial Viability'!H33</f>
        <v>-195.72351012775425</v>
      </c>
      <c r="N28" s="17">
        <f>IF(M28&lt;='ENV-Com'!$AA$101,0,((M28-'ENV-Com'!$AA$101))/(MAX(M$6:M$40)-'ENV-Com'!$AA$101))*3</f>
        <v>1.2883681637087616</v>
      </c>
      <c r="O28" s="18">
        <f>'Commercial Viability'!I33</f>
        <v>4</v>
      </c>
      <c r="P28" s="17">
        <f t="shared" si="7"/>
        <v>1.125</v>
      </c>
      <c r="Q28" s="33">
        <f t="shared" si="8"/>
        <v>4.0691799137087621</v>
      </c>
      <c r="R28" s="4" t="str">
        <f>'Energy Balance'!B32</f>
        <v>Do et al. 2020</v>
      </c>
    </row>
    <row r="29" spans="1:18" ht="17" x14ac:dyDescent="0.2">
      <c r="A29" s="66" t="s">
        <v>156</v>
      </c>
      <c r="B29" s="2" t="str">
        <f>'Energy Balance'!A33</f>
        <v>SubCrit HTL-CAS_BHO</v>
      </c>
      <c r="D29" s="17">
        <f>IF('Energy Balance'!Q33="","",'Energy Balance'!Q33)</f>
        <v>0.35</v>
      </c>
      <c r="E29" s="17">
        <f>IF(D29&gt;='ENV-Com'!$AA$6,0,((D29-'ENV-Com'!$AA$6)/(MIN(D$6:D$40)-'ENV-Com'!$AA$6))*3)</f>
        <v>2.5810324129651856</v>
      </c>
      <c r="F29" s="18">
        <f>IF('Energy Balance'!Y33="","",'Energy Balance'!Y33)</f>
        <v>2379.4434302565546</v>
      </c>
      <c r="G29" s="17">
        <f t="shared" si="1"/>
        <v>2.0201824202755079</v>
      </c>
      <c r="H29" s="129">
        <f>IF(GWP!AC31="","",GWP!AC31)</f>
        <v>-0.5231873803281164</v>
      </c>
      <c r="I29" s="17">
        <f>IF(H29&gt;='ENV-Com'!$AA$54,0,((H29-'ENV-Com'!$AA$54)/(MIN(H$6:H$40)-'ENV-Com'!$AA$54))*3)</f>
        <v>1.405431816334775</v>
      </c>
      <c r="J29" s="33">
        <f t="shared" si="9"/>
        <v>6.006646649575468</v>
      </c>
      <c r="K29" s="130">
        <f>'Commercial Viability'!D34</f>
        <v>420812.15000000008</v>
      </c>
      <c r="L29" s="22">
        <f>IF(K29&gt;='ENV-Com'!$AA$78,0,('ENV-Com'!$AA$78-K29)/('ENV-Com'!$AA$78))*3</f>
        <v>1.7375635499999995</v>
      </c>
      <c r="M29" s="130">
        <f>'Commercial Viability'!H34</f>
        <v>-182.88428512775431</v>
      </c>
      <c r="N29" s="17">
        <f>IF(M29&lt;='ENV-Com'!$AA$101,0,((M29-'ENV-Com'!$AA$101))/(MAX(M$6:M$40)-'ENV-Com'!$AA$101))*3</f>
        <v>1.3693449258757571</v>
      </c>
      <c r="O29" s="18">
        <f>'Commercial Viability'!I34</f>
        <v>7</v>
      </c>
      <c r="P29" s="17">
        <f t="shared" si="7"/>
        <v>2.25</v>
      </c>
      <c r="Q29" s="33">
        <f t="shared" si="8"/>
        <v>5.3569084758757564</v>
      </c>
      <c r="R29" s="4" t="str">
        <f>'Energy Balance'!B33</f>
        <v>Do et al. 2020</v>
      </c>
    </row>
    <row r="30" spans="1:18" ht="17" x14ac:dyDescent="0.2">
      <c r="A30" s="67" t="s">
        <v>157</v>
      </c>
      <c r="B30" s="2" t="str">
        <f>'Energy Balance'!A34</f>
        <v>HTL-AD-CHP_BC</v>
      </c>
      <c r="D30" s="17">
        <f>IF('Energy Balance'!Q34="","",'Energy Balance'!Q34)</f>
        <v>0.12554999999999999</v>
      </c>
      <c r="E30" s="17">
        <f>IF(D30&gt;='ENV-Com'!$AA$6,0,((D30-'ENV-Com'!$AA$6)/(MIN(D$6:D$40)-'ENV-Com'!$AA$6))*3)</f>
        <v>2.8504801920768306</v>
      </c>
      <c r="F30" s="18">
        <f>IF('Energy Balance'!Y34="","",'Energy Balance'!Y34)</f>
        <v>4732.5367416930867</v>
      </c>
      <c r="G30" s="17">
        <f t="shared" si="1"/>
        <v>2.8980161901987627</v>
      </c>
      <c r="H30" s="129">
        <f>IF(GWP!AC32="","",GWP!AC32)</f>
        <v>-1.3978888887710346</v>
      </c>
      <c r="I30" s="17">
        <f>IF(H30&gt;='ENV-Com'!$AA$54,0,((H30-'ENV-Com'!$AA$54)/(MIN(H$6:H$40)-'ENV-Com'!$AA$54))*3)</f>
        <v>1.8572215151455851</v>
      </c>
      <c r="J30" s="33">
        <f t="shared" ref="J30" si="10">SUM(E30,G30,I30)</f>
        <v>7.6057178974211785</v>
      </c>
      <c r="K30" s="130">
        <f>'Commercial Viability'!D35</f>
        <v>886317.4458333333</v>
      </c>
      <c r="L30" s="22">
        <f>IF(K30&gt;='ENV-Com'!$AA$78,0,('ENV-Com'!$AA$78-K30)/('ENV-Com'!$AA$78))*3</f>
        <v>0.34104766250000007</v>
      </c>
      <c r="M30" s="130">
        <f>'Commercial Viability'!H35</f>
        <v>-104.98503405130378</v>
      </c>
      <c r="N30" s="17">
        <f>IF(M30&lt;='ENV-Com'!$AA$101,0,((M30-'ENV-Com'!$AA$101))/(MAX(M$6:M$40)-'ENV-Com'!$AA$101))*3</f>
        <v>1.8606541074972995</v>
      </c>
      <c r="O30" s="18">
        <f>'Commercial Viability'!I35</f>
        <v>7</v>
      </c>
      <c r="P30" s="17">
        <f t="shared" ref="P30:P31" si="11">(O30-1)/(9-1)*3</f>
        <v>2.25</v>
      </c>
      <c r="Q30" s="33">
        <f t="shared" ref="Q30:Q31" si="12">SUM(L30,N30,P30)</f>
        <v>4.4517017699972996</v>
      </c>
      <c r="R30" s="4" t="str">
        <f>'Energy Balance'!B34</f>
        <v>Van Doren et al. 2017</v>
      </c>
    </row>
    <row r="31" spans="1:18" ht="17" x14ac:dyDescent="0.2">
      <c r="A31" s="67" t="s">
        <v>158</v>
      </c>
      <c r="B31" s="2" t="str">
        <f>'Energy Balance'!A35</f>
        <v>HTL-AD-Boiler_BC</v>
      </c>
      <c r="D31" s="17">
        <f>IF('Energy Balance'!Q35="","",'Energy Balance'!Q35)</f>
        <v>0.12554999999999999</v>
      </c>
      <c r="E31" s="17">
        <f>IF(D31&gt;='ENV-Com'!$AA$6,0,((D31-'ENV-Com'!$AA$6)/(MIN(D$6:D$40)-'ENV-Com'!$AA$6))*3)</f>
        <v>2.8504801920768306</v>
      </c>
      <c r="F31" s="18">
        <f>IF('Energy Balance'!Y35="","",'Energy Balance'!Y35)</f>
        <v>4956.5350919423663</v>
      </c>
      <c r="G31" s="17">
        <f t="shared" si="1"/>
        <v>2.9815799465956023</v>
      </c>
      <c r="H31" s="129">
        <f>IF(GWP!AC33="","",GWP!AC33)</f>
        <v>-1.4923420111364036</v>
      </c>
      <c r="I31" s="17">
        <f>IF(H31&gt;='ENV-Com'!$AA$54,0,((H31-'ENV-Com'!$AA$54)/(MIN(H$6:H$40)-'ENV-Com'!$AA$54))*3)</f>
        <v>1.9060072406682886</v>
      </c>
      <c r="J31" s="33">
        <f t="shared" ref="J31:J33" si="13">SUM(E31,G31,I31)</f>
        <v>7.7380673793407215</v>
      </c>
      <c r="K31" s="130">
        <f>'Commercial Viability'!D36</f>
        <v>861392.68333333323</v>
      </c>
      <c r="L31" s="22">
        <f>IF(K31&gt;='ENV-Com'!$AA$78,0,('ENV-Com'!$AA$78-K31)/('ENV-Com'!$AA$78))*3</f>
        <v>0.41582195000000027</v>
      </c>
      <c r="M31" s="130">
        <f>'Commercial Viability'!H36</f>
        <v>-99.747531831618346</v>
      </c>
      <c r="N31" s="17">
        <f>IF(M31&lt;='ENV-Com'!$AA$101,0,((M31-'ENV-Com'!$AA$101))/(MAX(M$6:M$40)-'ENV-Com'!$AA$101))*3</f>
        <v>1.8936869402105345</v>
      </c>
      <c r="O31" s="18">
        <f>'Commercial Viability'!I36</f>
        <v>7</v>
      </c>
      <c r="P31" s="17">
        <f t="shared" si="11"/>
        <v>2.25</v>
      </c>
      <c r="Q31" s="33">
        <f t="shared" si="12"/>
        <v>4.5595088902105347</v>
      </c>
      <c r="R31" s="4" t="str">
        <f>'Energy Balance'!B35</f>
        <v>Van Doren et al. 2017</v>
      </c>
    </row>
    <row r="32" spans="1:18" ht="17" x14ac:dyDescent="0.2">
      <c r="A32" s="67" t="s">
        <v>159</v>
      </c>
      <c r="B32" s="2" t="str">
        <f>'Energy Balance'!A36</f>
        <v>HTL-CHG-CHP_BC</v>
      </c>
      <c r="D32" s="17">
        <f>IF('Energy Balance'!Q36="","",'Energy Balance'!Q36)</f>
        <v>0.12554999999999999</v>
      </c>
      <c r="E32" s="17">
        <f>IF(D32&gt;='ENV-Com'!$AA$6,0,((D32-'ENV-Com'!$AA$6)/(MIN(D$6:D$40)-'ENV-Com'!$AA$6))*3)</f>
        <v>2.8504801920768306</v>
      </c>
      <c r="F32" s="18">
        <f>IF('Energy Balance'!Y36="","",'Energy Balance'!Y36)</f>
        <v>4590.596688203861</v>
      </c>
      <c r="G32" s="17">
        <f t="shared" si="1"/>
        <v>2.8450647106922027</v>
      </c>
      <c r="H32" s="129">
        <f>IF(GWP!AC34="","",GWP!AC34)</f>
        <v>-1.3353465299992</v>
      </c>
      <c r="I32" s="17">
        <f>IF(H32&gt;='ENV-Com'!$AA$54,0,((H32-'ENV-Com'!$AA$54)/(MIN(H$6:H$40)-'ENV-Com'!$AA$54))*3)</f>
        <v>1.8249179313976343</v>
      </c>
      <c r="J32" s="33">
        <f t="shared" si="13"/>
        <v>7.5204628341666666</v>
      </c>
      <c r="K32" s="130">
        <f>'Commercial Viability'!D37</f>
        <v>1620709.3562499997</v>
      </c>
      <c r="L32" s="22">
        <f>IF(K32&gt;='ENV-Com'!$AA$78,0,('ENV-Com'!$AA$78-K32)/('ENV-Com'!$AA$78))*3</f>
        <v>0</v>
      </c>
      <c r="M32" s="130">
        <f>'Commercial Viability'!H37</f>
        <v>-429.54787334607806</v>
      </c>
      <c r="N32" s="17">
        <f>IF(M32&lt;='ENV-Com'!$AA$101,0,((M32-'ENV-Com'!$AA$101))/(MAX(M$6:M$40)-'ENV-Com'!$AA$101))*3</f>
        <v>0</v>
      </c>
      <c r="O32" s="18">
        <f>'Commercial Viability'!I37</f>
        <v>6</v>
      </c>
      <c r="P32" s="17">
        <f t="shared" ref="P32" si="14">(O32-1)/(9-1)*3</f>
        <v>1.875</v>
      </c>
      <c r="Q32" s="33">
        <f t="shared" ref="Q32" si="15">SUM(L32,N32,P32)</f>
        <v>1.875</v>
      </c>
      <c r="R32" s="4" t="str">
        <f>'Energy Balance'!B36</f>
        <v>Van Doren et al. 2017</v>
      </c>
    </row>
    <row r="33" spans="1:18" ht="17" x14ac:dyDescent="0.2">
      <c r="A33" s="67" t="s">
        <v>160</v>
      </c>
      <c r="B33" s="2" t="str">
        <f>'Energy Balance'!A37</f>
        <v>HTL-CHG-Boiler_BC</v>
      </c>
      <c r="D33" s="17">
        <f>IF('Energy Balance'!Q37="","",'Energy Balance'!Q37)</f>
        <v>0.12554999999999999</v>
      </c>
      <c r="E33" s="17">
        <f>IF(D33&gt;='ENV-Com'!$AA$6,0,((D33-'ENV-Com'!$AA$6)/(MIN(D$6:D$40)-'ENV-Com'!$AA$6))*3)</f>
        <v>2.8504801920768306</v>
      </c>
      <c r="F33" s="18">
        <f>IF('Energy Balance'!Y37="","",'Energy Balance'!Y37)</f>
        <v>5005.9113018208964</v>
      </c>
      <c r="G33" s="17">
        <f t="shared" si="1"/>
        <v>3</v>
      </c>
      <c r="H33" s="129">
        <f>IF(GWP!AC35="","",GWP!AC35)</f>
        <v>-1.5118591786547046</v>
      </c>
      <c r="I33" s="17">
        <f>IF(H33&gt;='ENV-Com'!$AA$54,0,((H33-'ENV-Com'!$AA$54)/(MIN(H$6:H$40)-'ENV-Com'!$AA$54))*3)</f>
        <v>1.9160879998182638</v>
      </c>
      <c r="J33" s="33">
        <f t="shared" si="13"/>
        <v>7.766568191895094</v>
      </c>
      <c r="K33" s="130">
        <f>'Commercial Viability'!D38</f>
        <v>1572014.989583333</v>
      </c>
      <c r="L33" s="22">
        <f>IF(K33&gt;='ENV-Com'!$AA$78,0,('ENV-Com'!$AA$78-K33)/('ENV-Com'!$AA$78))*3</f>
        <v>0</v>
      </c>
      <c r="M33" s="130">
        <f>'Commercial Viability'!H38</f>
        <v>-421.7034542694671</v>
      </c>
      <c r="N33" s="17">
        <f>IF(M33&lt;='ENV-Com'!$AA$101,0,((M33-'ENV-Com'!$AA$101))/(MAX(M$6:M$40)-'ENV-Com'!$AA$101))*3</f>
        <v>0</v>
      </c>
      <c r="O33" s="18">
        <f>'Commercial Viability'!I38</f>
        <v>6</v>
      </c>
      <c r="P33" s="17">
        <f t="shared" ref="P33" si="16">(O33-1)/(9-1)*3</f>
        <v>1.875</v>
      </c>
      <c r="Q33" s="33">
        <f t="shared" ref="Q33" si="17">SUM(L33,N33,P33)</f>
        <v>1.875</v>
      </c>
      <c r="R33" s="4" t="str">
        <f>'Energy Balance'!B37</f>
        <v>Van Doren et al. 2017</v>
      </c>
    </row>
    <row r="34" spans="1:18" ht="17" x14ac:dyDescent="0.2">
      <c r="A34" s="67" t="s">
        <v>139</v>
      </c>
      <c r="B34" s="2" t="str">
        <f>'Energy Balance'!A38</f>
        <v>TD-AirGs-CHP</v>
      </c>
      <c r="D34" s="17">
        <f>IF('Energy Balance'!Q38="","",'Energy Balance'!Q38)</f>
        <v>0.05</v>
      </c>
      <c r="E34" s="17">
        <f>IF(D34&gt;='ENV-Com'!$AA$6,0,((D34-'ENV-Com'!$AA$6)/(MIN(D$6:D$40)-'ENV-Com'!$AA$6))*3)</f>
        <v>2.9411764705882355</v>
      </c>
      <c r="F34" s="18">
        <f>IF('Energy Balance'!Y38="","",'Energy Balance'!Y38)</f>
        <v>630.27925417206779</v>
      </c>
      <c r="G34" s="17">
        <f t="shared" si="1"/>
        <v>1.367647573720884</v>
      </c>
      <c r="H34" s="129">
        <f>IF(GWP!AC36="","",GWP!AC36)</f>
        <v>-0.2456645401631668</v>
      </c>
      <c r="I34" s="17">
        <f>IF(H34&gt;='ENV-Com'!$AA$54,0,((H34-'ENV-Com'!$AA$54)/(MIN(H$6:H$40)-'ENV-Com'!$AA$54))*3)</f>
        <v>1.2620892484290223</v>
      </c>
      <c r="J34" s="33">
        <f t="shared" ref="J34:J35" si="18">SUM(E34,G34,I34)</f>
        <v>5.5709132927381422</v>
      </c>
      <c r="K34" s="130">
        <f>'Commercial Viability'!D39</f>
        <v>443691.30000000005</v>
      </c>
      <c r="L34" s="22">
        <f>IF(K34&gt;='ENV-Com'!$AA$78,0,('ENV-Com'!$AA$78-K34)/('ENV-Com'!$AA$78))*3</f>
        <v>1.6689261</v>
      </c>
      <c r="M34" s="130">
        <f>'Commercial Viability'!H39</f>
        <v>-134.75670169539868</v>
      </c>
      <c r="N34" s="17">
        <f>IF(M34&lt;='ENV-Com'!$AA$101,0,((M34-'ENV-Com'!$AA$101))/(MAX(M$6:M$40)-'ENV-Com'!$AA$101))*3</f>
        <v>1.6728847327779746</v>
      </c>
      <c r="O34" s="18">
        <f>'Commercial Viability'!I39</f>
        <v>7</v>
      </c>
      <c r="P34" s="17">
        <f t="shared" ref="P34:P35" si="19">(O34-1)/(9-1)*3</f>
        <v>2.25</v>
      </c>
      <c r="Q34" s="33">
        <f t="shared" ref="Q34:Q35" si="20">SUM(L34,N34,P34)</f>
        <v>5.5918108327779743</v>
      </c>
      <c r="R34" s="4" t="str">
        <f>'Energy Balance'!B38</f>
        <v>Lumely et al. 2014</v>
      </c>
    </row>
    <row r="35" spans="1:18" ht="17" x14ac:dyDescent="0.2">
      <c r="A35" s="67" t="s">
        <v>140</v>
      </c>
      <c r="B35" s="2" t="str">
        <f>'Energy Balance'!A39</f>
        <v>TD-StmGs-CHP</v>
      </c>
      <c r="D35" s="17">
        <f>IF('Energy Balance'!Q39="","",'Energy Balance'!Q39)</f>
        <v>0.08</v>
      </c>
      <c r="E35" s="17">
        <f>IF(D35&gt;='ENV-Com'!$AA$6,0,((D35-'ENV-Com'!$AA$6)/(MIN(D$6:D$40)-'ENV-Com'!$AA$6))*3)</f>
        <v>2.9051620648259302</v>
      </c>
      <c r="F35" s="18">
        <f>IF('Energy Balance'!Y39="","",'Energy Balance'!Y39)</f>
        <v>490.94171156331123</v>
      </c>
      <c r="G35" s="17">
        <f t="shared" si="1"/>
        <v>1.3156669745131906</v>
      </c>
      <c r="H35" s="129">
        <f>IF(GWP!AC37="","",GWP!AC37)</f>
        <v>-0.19143014535834679</v>
      </c>
      <c r="I35" s="17">
        <f>IF(H35&gt;='ENV-Com'!$AA$54,0,((H35-'ENV-Com'!$AA$54)/(MIN(H$6:H$40)-'ENV-Com'!$AA$54))*3)</f>
        <v>1.2340767885698025</v>
      </c>
      <c r="J35" s="33">
        <f t="shared" si="18"/>
        <v>5.4549058279089229</v>
      </c>
      <c r="K35" s="130">
        <f>'Commercial Viability'!D40</f>
        <v>443691.30000000005</v>
      </c>
      <c r="L35" s="22">
        <f>IF(K35&gt;='ENV-Com'!$AA$78,0,('ENV-Com'!$AA$78-K35)/('ENV-Com'!$AA$78))*3</f>
        <v>1.6689261</v>
      </c>
      <c r="M35" s="130">
        <f>'Commercial Viability'!H40</f>
        <v>-145.10510673492047</v>
      </c>
      <c r="N35" s="17">
        <f>IF(M35&lt;='ENV-Com'!$AA$101,0,((M35-'ENV-Com'!$AA$101))/(MAX(M$6:M$40)-'ENV-Com'!$AA$101))*3</f>
        <v>1.6076175274993774</v>
      </c>
      <c r="O35" s="18">
        <f>'Commercial Viability'!I40</f>
        <v>7</v>
      </c>
      <c r="P35" s="17">
        <f t="shared" si="19"/>
        <v>2.25</v>
      </c>
      <c r="Q35" s="33">
        <f t="shared" si="20"/>
        <v>5.5265436274993771</v>
      </c>
      <c r="R35" s="4" t="str">
        <f>'Energy Balance'!B39</f>
        <v>Lumely et al. 2014</v>
      </c>
    </row>
    <row r="36" spans="1:18" ht="17" x14ac:dyDescent="0.2">
      <c r="A36" s="45" t="s">
        <v>586</v>
      </c>
      <c r="B36" s="2" t="str">
        <f>'Energy Balance'!A40</f>
        <v>FD-Torr-Comb_BSF</v>
      </c>
      <c r="D36" s="17">
        <f>IF('Energy Balance'!Q40="","",'Energy Balance'!Q40)</f>
        <v>5.066666666666662E-3</v>
      </c>
      <c r="E36" s="17">
        <f>IF(D36&gt;='ENV-Com'!$AA$6,0,((D36-'ENV-Com'!$AA$6)/(MIN(D$6:D$40)-'ENV-Com'!$AA$6))*3)</f>
        <v>2.9951180472188876</v>
      </c>
      <c r="F36" s="18">
        <f>IF('Energy Balance'!Y40="","",'Energy Balance'!Y40)</f>
        <v>1423.9941869153611</v>
      </c>
      <c r="G36" s="17">
        <f t="shared" si="1"/>
        <v>1.6637470816613793</v>
      </c>
      <c r="H36" s="129">
        <f>IF(GWP!AC38="","",GWP!AC38)</f>
        <v>-1.6233260338584823</v>
      </c>
      <c r="I36" s="17">
        <f>IF(H36&gt;='ENV-Com'!$AA$54,0,((H36-'ENV-Com'!$AA$54)/(MIN(H$6:H$40)-'ENV-Com'!$AA$54))*3)</f>
        <v>1.9736614422484129</v>
      </c>
      <c r="J36" s="33">
        <f t="shared" ref="J36:J37" si="21">SUM(E36,G36,I36)</f>
        <v>6.6325265711286798</v>
      </c>
      <c r="K36" s="130">
        <f>'Commercial Viability'!D41</f>
        <v>286390.15513333335</v>
      </c>
      <c r="L36" s="22">
        <f>IF(K36&gt;='ENV-Com'!$AA$78,0,('ENV-Com'!$AA$78-K36)/('ENV-Com'!$AA$78))*3</f>
        <v>2.1408295345999999</v>
      </c>
      <c r="M36" s="130">
        <f>'Commercial Viability'!H41</f>
        <v>-336.25925439423031</v>
      </c>
      <c r="N36" s="17">
        <f>IF(M36&lt;='ENV-Com'!$AA$101,0,((M36-'ENV-Com'!$AA$101))/(MAX(M$6:M$40)-'ENV-Com'!$AA$101))*3</f>
        <v>0.40201174114990679</v>
      </c>
      <c r="O36" s="18">
        <f>'Commercial Viability'!I41</f>
        <v>7</v>
      </c>
      <c r="P36" s="17">
        <f t="shared" ref="P36:P37" si="22">(O36-1)/(9-1)*3</f>
        <v>2.25</v>
      </c>
      <c r="Q36" s="33">
        <f t="shared" ref="Q36:Q37" si="23">SUM(L36,N36,P36)</f>
        <v>4.7928412757499066</v>
      </c>
      <c r="R36" s="4" t="str">
        <f>'Energy Balance'!B40</f>
        <v>Do et al. 2018</v>
      </c>
    </row>
    <row r="37" spans="1:18" ht="15" customHeight="1" x14ac:dyDescent="0.2">
      <c r="A37" s="67" t="s">
        <v>142</v>
      </c>
      <c r="B37" s="2" t="str">
        <f>'Energy Balance'!A41</f>
        <v>FD-Torr_BSF</v>
      </c>
      <c r="D37" s="17">
        <f>IF('Energy Balance'!Q41="","",'Energy Balance'!Q41)</f>
        <v>5.066666666666662E-3</v>
      </c>
      <c r="E37" s="17">
        <f>IF(D37&gt;='ENV-Com'!$AA$6,0,((D37-'ENV-Com'!$AA$6)/(MIN(D$6:D$40)-'ENV-Com'!$AA$6))*3)</f>
        <v>2.9951180472188876</v>
      </c>
      <c r="F37" s="18">
        <f>IF('Energy Balance'!Y41="","",'Energy Balance'!Y41)</f>
        <v>1264.343836414836</v>
      </c>
      <c r="G37" s="17">
        <f t="shared" si="1"/>
        <v>1.6041886832042067</v>
      </c>
      <c r="H37" s="129">
        <f>IF(GWP!AC39="","",GWP!AC39)</f>
        <v>-3.6104007436215668</v>
      </c>
      <c r="I37" s="17">
        <f>IF(H37&gt;='ENV-Com'!$AA$54,0,((H37-'ENV-Com'!$AA$54)/(MIN(H$6:H$40)-'ENV-Com'!$AA$54))*3)</f>
        <v>3</v>
      </c>
      <c r="J37" s="33">
        <f t="shared" si="21"/>
        <v>7.5993067304230948</v>
      </c>
      <c r="K37" s="130">
        <f>'Commercial Viability'!D42</f>
        <v>271028.17068888887</v>
      </c>
      <c r="L37" s="22">
        <f>IF(K37&gt;='ENV-Com'!$AA$78,0,('ENV-Com'!$AA$78-K37)/('ENV-Com'!$AA$78))*3</f>
        <v>2.1869154879333337</v>
      </c>
      <c r="M37" s="130">
        <f>'Commercial Viability'!H42</f>
        <v>-460.9708543942304</v>
      </c>
      <c r="N37" s="17">
        <f>IF(M37&lt;='ENV-Com'!$AA$101,0,((M37-'ENV-Com'!$AA$101))/(MAX(M$6:M$40)-'ENV-Com'!$AA$101))*3</f>
        <v>0</v>
      </c>
      <c r="O37" s="18">
        <f>'Commercial Viability'!I42</f>
        <v>7</v>
      </c>
      <c r="P37" s="17">
        <f t="shared" si="22"/>
        <v>2.25</v>
      </c>
      <c r="Q37" s="33">
        <f t="shared" si="23"/>
        <v>4.4369154879333337</v>
      </c>
      <c r="R37" s="4" t="str">
        <f>'Energy Balance'!B41</f>
        <v>Do et al. 2018</v>
      </c>
    </row>
    <row r="38" spans="1:18" ht="17" x14ac:dyDescent="0.2">
      <c r="A38" s="67" t="s">
        <v>141</v>
      </c>
      <c r="B38" s="2" t="str">
        <f>'Energy Balance'!A42</f>
        <v>TE-PBR-TD-MWPy</v>
      </c>
      <c r="D38" s="17">
        <f>IF('Energy Balance'!Q42="","",'Energy Balance'!Q42)</f>
        <v>1.1642264150943395E-3</v>
      </c>
      <c r="E38" s="17">
        <f>IF(D38&gt;='ENV-Com'!$AA$6,0,((D38-'ENV-Com'!$AA$6)/(MIN(D$6:D$40)-'ENV-Com'!$AA$6))*3)</f>
        <v>2.9998028494416635</v>
      </c>
      <c r="F38" s="18">
        <f>IF('Energy Balance'!Y42="","",'Energy Balance'!Y42)</f>
        <v>2301.7802064793473</v>
      </c>
      <c r="G38" s="17">
        <f t="shared" si="1"/>
        <v>1.9912097483540876</v>
      </c>
      <c r="H38" s="129">
        <f>IF(GWP!AC40="","",GWP!AC40)</f>
        <v>-0.74668473022106729</v>
      </c>
      <c r="I38" s="17">
        <f>IF(H38&gt;='ENV-Com'!$AA$54,0,((H38-'ENV-Com'!$AA$54)/(MIN(H$6:H$40)-'ENV-Com'!$AA$54))*3)</f>
        <v>1.5208698250937824</v>
      </c>
      <c r="J38" s="33">
        <f>SUM(E38,G38,I38)</f>
        <v>6.5118824228895331</v>
      </c>
      <c r="K38" s="130">
        <f>'Commercial Viability'!D43</f>
        <v>144989.78067283021</v>
      </c>
      <c r="L38" s="22">
        <f>IF(K38&gt;='ENV-Com'!$AA$78,0,('ENV-Com'!$AA$78-K38)/('ENV-Com'!$AA$78))*3</f>
        <v>2.5650306579815094</v>
      </c>
      <c r="M38" s="130">
        <f>'Commercial Viability'!H43</f>
        <v>-6.1798271462752865</v>
      </c>
      <c r="N38" s="17">
        <f>IF(M38&lt;='ENV-Com'!$AA$101,0,((M38-'ENV-Com'!$AA$101))/(MAX(M$6:M$40)-'ENV-Com'!$AA$101))*3</f>
        <v>2.4838167781732423</v>
      </c>
      <c r="O38" s="18">
        <f>'Commercial Viability'!I43</f>
        <v>3</v>
      </c>
      <c r="P38" s="17">
        <f>(O38-1)/(9-1)*3</f>
        <v>0.75</v>
      </c>
      <c r="Q38" s="33">
        <f>SUM(L38,N38,P38)</f>
        <v>5.7988474361547517</v>
      </c>
      <c r="R38" s="4" t="str">
        <f>'Energy Balance'!B42</f>
        <v>Xin et al. 2018</v>
      </c>
    </row>
    <row r="39" spans="1:18" ht="17" x14ac:dyDescent="0.2">
      <c r="A39" s="66" t="s">
        <v>73</v>
      </c>
      <c r="B39" s="2" t="str">
        <f>'Energy Balance'!A43</f>
        <v>TD-Py</v>
      </c>
      <c r="D39" s="17">
        <f>IF('Energy Balance'!Q43="","",'Energy Balance'!Q43)</f>
        <v>1E-3</v>
      </c>
      <c r="E39" s="17">
        <f>IF(D39&gt;='ENV-Com'!$AA$6,0,((D39-'ENV-Com'!$AA$6)/(MIN(D$6:D$40)-'ENV-Com'!$AA$6))*3)</f>
        <v>3</v>
      </c>
      <c r="F39" s="18">
        <f>IF('Energy Balance'!Y43="","",'Energy Balance'!Y43)</f>
        <v>3601.8121907506902</v>
      </c>
      <c r="G39" s="17">
        <f t="shared" si="1"/>
        <v>2.4761934811398598</v>
      </c>
      <c r="H39" s="129">
        <f>IF(GWP!AC41="","",GWP!AC41)</f>
        <v>-1.9169907600165168</v>
      </c>
      <c r="I39" s="17">
        <f>IF(H39&gt;='ENV-Com'!$AA$54,0,((H39-'ENV-Com'!$AA$54)/(MIN(H$6:H$40)-'ENV-Com'!$AA$54))*3)</f>
        <v>2.1253414118170899</v>
      </c>
      <c r="J39" s="33">
        <f>SUM(E39,G39,I39)</f>
        <v>7.6015348929569502</v>
      </c>
      <c r="K39" s="130">
        <f>'Commercial Viability'!D44</f>
        <v>68694.184942499982</v>
      </c>
      <c r="L39" s="22">
        <f>IF(K39&gt;='ENV-Com'!$AA$78,0,('ENV-Com'!$AA$78-K39)/('ENV-Com'!$AA$78))*3</f>
        <v>2.7939174451725002</v>
      </c>
      <c r="M39" s="130">
        <f>'Commercial Viability'!H44</f>
        <v>-775.72234427415549</v>
      </c>
      <c r="N39" s="17">
        <f>IF(M39&lt;='ENV-Com'!$AA$101,0,((M39-'ENV-Com'!$AA$101))/(MAX(M$6:M$40)-'ENV-Com'!$AA$101))*3</f>
        <v>0</v>
      </c>
      <c r="O39" s="18">
        <f>'Commercial Viability'!I44</f>
        <v>7</v>
      </c>
      <c r="P39" s="17">
        <f>(O39-1)/(9-1)*3</f>
        <v>2.25</v>
      </c>
      <c r="Q39" s="33">
        <f>SUM(L39,N39,P39)</f>
        <v>5.0439174451725002</v>
      </c>
      <c r="R39" s="4" t="str">
        <f>'Energy Balance'!B43</f>
        <v>Shahbeig and Nosrati 2020</v>
      </c>
    </row>
    <row r="40" spans="1:18" ht="17" x14ac:dyDescent="0.2">
      <c r="A40" s="80" t="s">
        <v>161</v>
      </c>
      <c r="B40" s="2" t="str">
        <f>'Energy Balance'!A44</f>
        <v>HTC-AD-CHP-LA</v>
      </c>
      <c r="D40" s="17">
        <f>IF('Energy Balance'!Q44="","",'Energy Balance'!Q44)</f>
        <v>1.704</v>
      </c>
      <c r="E40" s="17">
        <f>IF(D40&gt;='ENV-Com'!$AA$6,0,((D40-'ENV-Com'!$AA$6)/(MIN(D$6:D$40)-'ENV-Com'!$AA$6))*3)</f>
        <v>0.95558223289315725</v>
      </c>
      <c r="F40" s="18">
        <f>IF('Energy Balance'!Y44="","",'Energy Balance'!Y44)</f>
        <v>978.42248208704291</v>
      </c>
      <c r="G40" s="17">
        <f t="shared" si="1"/>
        <v>1.4975242261887294</v>
      </c>
      <c r="H40" s="129">
        <f>IF(GWP!AC42="","",GWP!AC42)</f>
        <v>-1.0872649442528719</v>
      </c>
      <c r="I40" s="17">
        <f>IF(H40&gt;='ENV-Com'!$AA$54,0,((H40-'ENV-Com'!$AA$54)/(MIN(H$6:H$40)-'ENV-Com'!$AA$54))*3)</f>
        <v>1.6967819857944768</v>
      </c>
      <c r="J40" s="33">
        <f>SUM(E40,G40,I40)</f>
        <v>4.149888444876364</v>
      </c>
      <c r="K40" s="130">
        <f>'Commercial Viability'!D45</f>
        <v>1419674.612183125</v>
      </c>
      <c r="L40" s="22">
        <f>IF(K40&gt;='ENV-Com'!$AA$78,0,('ENV-Com'!$AA$78-K40)/('ENV-Com'!$AA$78))*3</f>
        <v>0</v>
      </c>
      <c r="M40" s="130">
        <f>'Commercial Viability'!H45</f>
        <v>-579.75728113948765</v>
      </c>
      <c r="N40" s="17">
        <f>IF(M40&lt;='ENV-Com'!$AA$101,0,((M40-'ENV-Com'!$AA$101))/(MAX(M$6:M$40)-'ENV-Com'!$AA$101))*3</f>
        <v>0</v>
      </c>
      <c r="O40" s="18">
        <f>'Commercial Viability'!I45</f>
        <v>4</v>
      </c>
      <c r="P40" s="17">
        <f>(O40-1)/(9-1)*3</f>
        <v>1.125</v>
      </c>
      <c r="Q40" s="33">
        <f>SUM(L40,N40,P40)</f>
        <v>1.125</v>
      </c>
      <c r="R40" s="4" t="str">
        <f>'Energy Balance'!B44</f>
        <v>Medina-Martos et al. 2020</v>
      </c>
    </row>
    <row r="41" spans="1:18" x14ac:dyDescent="0.2">
      <c r="O41" s="20"/>
      <c r="P41" s="20"/>
      <c r="Q41" s="37"/>
    </row>
    <row r="42" spans="1:18" x14ac:dyDescent="0.2">
      <c r="C42" s="3"/>
      <c r="O42" s="20"/>
      <c r="P42" s="20"/>
      <c r="Q42" s="37"/>
    </row>
    <row r="43" spans="1:18" x14ac:dyDescent="0.2">
      <c r="C43" s="3"/>
      <c r="O43" s="20"/>
      <c r="P43" s="20"/>
      <c r="Q43" s="37"/>
    </row>
    <row r="44" spans="1:18" x14ac:dyDescent="0.2">
      <c r="C44" s="3"/>
      <c r="O44" s="20"/>
      <c r="P44" s="20"/>
      <c r="Q44" s="37"/>
    </row>
    <row r="45" spans="1:18" x14ac:dyDescent="0.2">
      <c r="C45" s="3"/>
      <c r="O45" s="20"/>
      <c r="P45" s="20"/>
      <c r="Q45" s="37"/>
    </row>
    <row r="46" spans="1:18" x14ac:dyDescent="0.2">
      <c r="C46" s="3"/>
      <c r="O46" s="20"/>
      <c r="P46" s="20"/>
      <c r="Q46" s="37"/>
    </row>
    <row r="47" spans="1:18" x14ac:dyDescent="0.2">
      <c r="C47" s="3"/>
      <c r="O47" s="20"/>
      <c r="P47" s="20"/>
      <c r="Q47" s="37"/>
    </row>
    <row r="48" spans="1:18" x14ac:dyDescent="0.2">
      <c r="O48" s="20"/>
      <c r="P48" s="20"/>
      <c r="Q48" s="37"/>
    </row>
  </sheetData>
  <mergeCells count="13">
    <mergeCell ref="A3:A5"/>
    <mergeCell ref="C3:C5"/>
    <mergeCell ref="J4:J5"/>
    <mergeCell ref="Q4:Q5"/>
    <mergeCell ref="R3:R5"/>
    <mergeCell ref="D3:J3"/>
    <mergeCell ref="K3:Q3"/>
    <mergeCell ref="D4:E4"/>
    <mergeCell ref="F4:G4"/>
    <mergeCell ref="H4:I4"/>
    <mergeCell ref="K4:L4"/>
    <mergeCell ref="M4:N4"/>
    <mergeCell ref="O4:P4"/>
  </mergeCells>
  <phoneticPr fontId="7" type="noConversion"/>
  <conditionalFormatting sqref="B6:B40">
    <cfRule type="expression" dxfId="0" priority="12">
      <formula>$B6=$A6</formula>
    </cfRule>
  </conditionalFormatting>
  <conditionalFormatting sqref="E1:E3 E5:E1048576">
    <cfRule type="colorScale" priority="11">
      <colorScale>
        <cfvo type="min"/>
        <cfvo type="percentile" val="50"/>
        <cfvo type="max"/>
        <color rgb="FFF7C0C6"/>
        <color rgb="FFFFEB9C"/>
        <color rgb="FFC6F0CE"/>
      </colorScale>
    </cfRule>
  </conditionalFormatting>
  <conditionalFormatting sqref="G1:G3 G5:G1048576">
    <cfRule type="colorScale" priority="10">
      <colorScale>
        <cfvo type="min"/>
        <cfvo type="percentile" val="50"/>
        <cfvo type="max"/>
        <color rgb="FFF7C0C6"/>
        <color rgb="FFFFEB84"/>
        <color rgb="FFC6F0CE"/>
      </colorScale>
    </cfRule>
  </conditionalFormatting>
  <conditionalFormatting sqref="I1:I3 I5:I1048576">
    <cfRule type="colorScale" priority="9">
      <colorScale>
        <cfvo type="min"/>
        <cfvo type="percentile" val="50"/>
        <cfvo type="max"/>
        <color rgb="FFF7C0C6"/>
        <color rgb="FFFFEB84"/>
        <color rgb="FFC6F0CE"/>
      </colorScale>
    </cfRule>
  </conditionalFormatting>
  <conditionalFormatting sqref="J1:J4 J6:J1048576">
    <cfRule type="colorScale" priority="8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L1:L3 L5:L1048576">
    <cfRule type="colorScale" priority="7">
      <colorScale>
        <cfvo type="min"/>
        <cfvo type="percentile" val="50"/>
        <cfvo type="max"/>
        <color rgb="FFF7C0C6"/>
        <color rgb="FFFFEB84"/>
        <color rgb="FFC6F0CE"/>
      </colorScale>
    </cfRule>
  </conditionalFormatting>
  <conditionalFormatting sqref="N6:N40">
    <cfRule type="colorScale" priority="261">
      <colorScale>
        <cfvo type="min"/>
        <cfvo type="percentile" val="50"/>
        <cfvo type="max"/>
        <color rgb="FFF7C0C6"/>
        <color rgb="FFFFEB84"/>
        <color rgb="FFC6F0CE"/>
      </colorScale>
    </cfRule>
  </conditionalFormatting>
  <conditionalFormatting sqref="P1:P3 P6:P1048576">
    <cfRule type="colorScale" priority="5">
      <colorScale>
        <cfvo type="min"/>
        <cfvo type="percentile" val="50"/>
        <cfvo type="max"/>
        <color rgb="FFF7C0C6"/>
        <color rgb="FFFFEB84"/>
        <color rgb="FFC6F0CE"/>
      </colorScale>
    </cfRule>
  </conditionalFormatting>
  <conditionalFormatting sqref="Q1:Q4 Q6:Q1048576">
    <cfRule type="colorScale" priority="4">
      <colorScale>
        <cfvo type="min"/>
        <cfvo type="percentile" val="50"/>
        <cfvo type="max"/>
        <color rgb="FFFF0000"/>
        <color rgb="FFFFFF00"/>
        <color rgb="FF00B050"/>
      </colorScale>
    </cfRule>
  </conditionalFormatting>
  <pageMargins left="0.25" right="0.25" top="0.75" bottom="0.75" header="0.3" footer="0.3"/>
  <pageSetup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E622-8121-4F77-806D-00AF105547A6}">
  <sheetPr codeName="Sheet8">
    <tabColor theme="9" tint="0.39997558519241921"/>
  </sheetPr>
  <dimension ref="Z4:AA126"/>
  <sheetViews>
    <sheetView zoomScaleNormal="100" workbookViewId="0">
      <selection activeCell="J44" sqref="J44"/>
    </sheetView>
  </sheetViews>
  <sheetFormatPr baseColWidth="10" defaultColWidth="8.83203125" defaultRowHeight="16" x14ac:dyDescent="0.2"/>
  <cols>
    <col min="27" max="27" width="12" customWidth="1"/>
  </cols>
  <sheetData>
    <row r="4" spans="26:27" x14ac:dyDescent="0.2">
      <c r="Z4" s="343" t="s">
        <v>91</v>
      </c>
      <c r="AA4" s="343"/>
    </row>
    <row r="5" spans="26:27" x14ac:dyDescent="0.2">
      <c r="Z5" s="39" t="s">
        <v>92</v>
      </c>
      <c r="AA5" s="2" t="s">
        <v>95</v>
      </c>
    </row>
    <row r="6" spans="26:27" x14ac:dyDescent="0.2">
      <c r="Z6" s="39" t="s">
        <v>93</v>
      </c>
      <c r="AA6" s="2">
        <v>2.5</v>
      </c>
    </row>
    <row r="28" spans="26:27" x14ac:dyDescent="0.2">
      <c r="Z28" s="343" t="s">
        <v>91</v>
      </c>
      <c r="AA28" s="343"/>
    </row>
    <row r="29" spans="26:27" x14ac:dyDescent="0.2">
      <c r="Z29" s="39" t="s">
        <v>92</v>
      </c>
      <c r="AA29" s="2" t="s">
        <v>94</v>
      </c>
    </row>
    <row r="30" spans="26:27" x14ac:dyDescent="0.2">
      <c r="Z30" s="39" t="s">
        <v>93</v>
      </c>
      <c r="AA30" s="2" t="s">
        <v>94</v>
      </c>
    </row>
    <row r="52" spans="26:27" x14ac:dyDescent="0.2">
      <c r="Z52" s="343" t="s">
        <v>91</v>
      </c>
      <c r="AA52" s="343"/>
    </row>
    <row r="53" spans="26:27" x14ac:dyDescent="0.2">
      <c r="Z53" s="39" t="s">
        <v>92</v>
      </c>
      <c r="AA53" s="2" t="s">
        <v>94</v>
      </c>
    </row>
    <row r="54" spans="26:27" x14ac:dyDescent="0.2">
      <c r="Z54" s="39" t="s">
        <v>93</v>
      </c>
      <c r="AA54" s="2">
        <f>'ENV BENEFIT - VIABILITY'!H13</f>
        <v>2.1978426320814601</v>
      </c>
    </row>
    <row r="76" spans="26:27" x14ac:dyDescent="0.2">
      <c r="Z76" s="343" t="s">
        <v>91</v>
      </c>
      <c r="AA76" s="343"/>
    </row>
    <row r="77" spans="26:27" x14ac:dyDescent="0.2">
      <c r="Z77" s="39" t="s">
        <v>92</v>
      </c>
      <c r="AA77" s="18">
        <v>0</v>
      </c>
    </row>
    <row r="78" spans="26:27" x14ac:dyDescent="0.2">
      <c r="Z78" s="39" t="s">
        <v>93</v>
      </c>
      <c r="AA78" s="18">
        <v>1000000</v>
      </c>
    </row>
    <row r="100" spans="26:27" x14ac:dyDescent="0.2">
      <c r="Z100" s="343" t="s">
        <v>91</v>
      </c>
      <c r="AA100" s="343"/>
    </row>
    <row r="101" spans="26:27" x14ac:dyDescent="0.2">
      <c r="Z101" s="39" t="s">
        <v>92</v>
      </c>
      <c r="AA101" s="2">
        <v>-400</v>
      </c>
    </row>
    <row r="102" spans="26:27" x14ac:dyDescent="0.2">
      <c r="Z102" s="39" t="s">
        <v>93</v>
      </c>
      <c r="AA102" s="44">
        <v>0</v>
      </c>
    </row>
    <row r="124" spans="26:27" x14ac:dyDescent="0.2">
      <c r="Z124" s="343" t="s">
        <v>91</v>
      </c>
      <c r="AA124" s="343"/>
    </row>
    <row r="125" spans="26:27" x14ac:dyDescent="0.2">
      <c r="Z125" s="39" t="s">
        <v>92</v>
      </c>
      <c r="AA125" s="2" t="s">
        <v>94</v>
      </c>
    </row>
    <row r="126" spans="26:27" x14ac:dyDescent="0.2">
      <c r="Z126" s="39" t="s">
        <v>93</v>
      </c>
      <c r="AA126" s="44" t="s">
        <v>94</v>
      </c>
    </row>
  </sheetData>
  <mergeCells count="6">
    <mergeCell ref="Z124:AA124"/>
    <mergeCell ref="Z4:AA4"/>
    <mergeCell ref="Z28:AA28"/>
    <mergeCell ref="Z52:AA52"/>
    <mergeCell ref="Z76:AA76"/>
    <mergeCell ref="Z100:AA100"/>
  </mergeCells>
  <pageMargins left="0.7" right="0.7" top="0.75" bottom="0.75" header="0.3" footer="0.3"/>
  <pageSetup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3E91-CE0C-4B44-AC2C-A0251DD00555}">
  <sheetPr codeName="Sheet9">
    <tabColor theme="9" tint="0.39997558519241921"/>
  </sheetPr>
  <dimension ref="Z4:AA126"/>
  <sheetViews>
    <sheetView zoomScaleNormal="100" workbookViewId="0">
      <selection activeCell="N21" sqref="N21"/>
    </sheetView>
  </sheetViews>
  <sheetFormatPr baseColWidth="10" defaultColWidth="8.83203125" defaultRowHeight="16" x14ac:dyDescent="0.2"/>
  <cols>
    <col min="27" max="27" width="12" bestFit="1" customWidth="1"/>
  </cols>
  <sheetData>
    <row r="4" spans="26:27" x14ac:dyDescent="0.2">
      <c r="Z4" s="343" t="s">
        <v>91</v>
      </c>
      <c r="AA4" s="343"/>
    </row>
    <row r="5" spans="26:27" x14ac:dyDescent="0.2">
      <c r="Z5" s="39" t="s">
        <v>92</v>
      </c>
      <c r="AA5" s="2" t="s">
        <v>95</v>
      </c>
    </row>
    <row r="6" spans="26:27" x14ac:dyDescent="0.2">
      <c r="Z6" s="39" t="s">
        <v>93</v>
      </c>
      <c r="AA6" s="2">
        <v>2.5</v>
      </c>
    </row>
    <row r="28" spans="26:27" x14ac:dyDescent="0.2">
      <c r="Z28" s="343" t="s">
        <v>91</v>
      </c>
      <c r="AA28" s="343"/>
    </row>
    <row r="29" spans="26:27" x14ac:dyDescent="0.2">
      <c r="Z29" s="39" t="s">
        <v>92</v>
      </c>
      <c r="AA29" s="2" t="s">
        <v>94</v>
      </c>
    </row>
    <row r="30" spans="26:27" x14ac:dyDescent="0.2">
      <c r="Z30" s="39" t="s">
        <v>93</v>
      </c>
      <c r="AA30" s="2" t="s">
        <v>94</v>
      </c>
    </row>
    <row r="52" spans="26:27" x14ac:dyDescent="0.2">
      <c r="Z52" s="343" t="s">
        <v>91</v>
      </c>
      <c r="AA52" s="343"/>
    </row>
    <row r="53" spans="26:27" x14ac:dyDescent="0.2">
      <c r="Z53" s="39" t="s">
        <v>92</v>
      </c>
      <c r="AA53" s="2" t="s">
        <v>94</v>
      </c>
    </row>
    <row r="54" spans="26:27" x14ac:dyDescent="0.2">
      <c r="Z54" s="39" t="s">
        <v>93</v>
      </c>
      <c r="AA54" s="2" t="s">
        <v>94</v>
      </c>
    </row>
    <row r="76" spans="26:27" x14ac:dyDescent="0.2">
      <c r="Z76" s="343" t="s">
        <v>91</v>
      </c>
      <c r="AA76" s="343"/>
    </row>
    <row r="77" spans="26:27" x14ac:dyDescent="0.2">
      <c r="Z77" s="39" t="s">
        <v>92</v>
      </c>
      <c r="AA77" s="18">
        <v>-1000000</v>
      </c>
    </row>
    <row r="78" spans="26:27" x14ac:dyDescent="0.2">
      <c r="Z78" s="39" t="s">
        <v>93</v>
      </c>
      <c r="AA78" s="18" t="s">
        <v>94</v>
      </c>
    </row>
    <row r="100" spans="26:27" x14ac:dyDescent="0.2">
      <c r="Z100" s="343" t="s">
        <v>91</v>
      </c>
      <c r="AA100" s="343"/>
    </row>
    <row r="101" spans="26:27" x14ac:dyDescent="0.2">
      <c r="Z101" s="39" t="s">
        <v>92</v>
      </c>
      <c r="AA101" s="2">
        <v>-400</v>
      </c>
    </row>
    <row r="102" spans="26:27" x14ac:dyDescent="0.2">
      <c r="Z102" s="39" t="s">
        <v>93</v>
      </c>
      <c r="AA102" s="44">
        <v>0</v>
      </c>
    </row>
    <row r="124" spans="26:27" x14ac:dyDescent="0.2">
      <c r="Z124" s="343" t="s">
        <v>91</v>
      </c>
      <c r="AA124" s="343"/>
    </row>
    <row r="125" spans="26:27" x14ac:dyDescent="0.2">
      <c r="Z125" s="39" t="s">
        <v>92</v>
      </c>
      <c r="AA125" s="2" t="s">
        <v>94</v>
      </c>
    </row>
    <row r="126" spans="26:27" x14ac:dyDescent="0.2">
      <c r="Z126" s="39" t="s">
        <v>93</v>
      </c>
      <c r="AA126" s="44" t="s">
        <v>94</v>
      </c>
    </row>
  </sheetData>
  <mergeCells count="6">
    <mergeCell ref="Z124:AA124"/>
    <mergeCell ref="Z4:AA4"/>
    <mergeCell ref="Z28:AA28"/>
    <mergeCell ref="Z52:AA52"/>
    <mergeCell ref="Z76:AA76"/>
    <mergeCell ref="Z100:AA100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B21B-E582-9945-86E2-1A28CF319315}">
  <sheetPr>
    <tabColor theme="9" tint="0.39997558519241921"/>
  </sheetPr>
  <dimension ref="A1:AH126"/>
  <sheetViews>
    <sheetView tabSelected="1" topLeftCell="A20" zoomScaleNormal="100" workbookViewId="0">
      <selection activeCell="AC52" sqref="AC52"/>
    </sheetView>
  </sheetViews>
  <sheetFormatPr baseColWidth="10" defaultColWidth="8.83203125" defaultRowHeight="16" x14ac:dyDescent="0.2"/>
  <cols>
    <col min="1" max="1" width="19.33203125" bestFit="1" customWidth="1"/>
    <col min="2" max="6" width="19.33203125" customWidth="1"/>
    <col min="7" max="8" width="19" style="82" hidden="1" customWidth="1"/>
    <col min="9" max="9" width="17.5" style="81" hidden="1" customWidth="1"/>
    <col min="10" max="10" width="17.5" style="83" hidden="1" customWidth="1"/>
    <col min="11" max="11" width="15.6640625" style="81" customWidth="1"/>
    <col min="12" max="14" width="19.33203125" style="2" hidden="1" customWidth="1"/>
    <col min="15" max="15" width="19.33203125" style="2" customWidth="1"/>
    <col min="16" max="18" width="19.33203125" style="2" hidden="1" customWidth="1"/>
    <col min="19" max="19" width="19.33203125" style="2" customWidth="1"/>
    <col min="20" max="22" width="19.33203125" style="2" hidden="1" customWidth="1"/>
    <col min="23" max="23" width="19.33203125" style="2" customWidth="1"/>
    <col min="24" max="26" width="19.33203125" style="2" hidden="1" customWidth="1"/>
    <col min="27" max="27" width="19.33203125" style="2" customWidth="1"/>
    <col min="30" max="30" width="9" bestFit="1" customWidth="1"/>
    <col min="31" max="31" width="10.83203125" bestFit="1" customWidth="1"/>
    <col min="32" max="32" width="9" bestFit="1" customWidth="1"/>
    <col min="34" max="34" width="9" bestFit="1" customWidth="1"/>
  </cols>
  <sheetData>
    <row r="1" spans="1:31" x14ac:dyDescent="0.2">
      <c r="A1" t="s">
        <v>131</v>
      </c>
      <c r="O1" s="2" t="s">
        <v>925</v>
      </c>
      <c r="S1" s="2" t="s">
        <v>925</v>
      </c>
      <c r="W1" s="2" t="s">
        <v>925</v>
      </c>
      <c r="AA1" s="2" t="s">
        <v>925</v>
      </c>
    </row>
    <row r="2" spans="1:31" x14ac:dyDescent="0.2">
      <c r="O2">
        <v>50</v>
      </c>
      <c r="P2"/>
      <c r="Q2"/>
      <c r="R2"/>
      <c r="S2">
        <v>100</v>
      </c>
      <c r="T2"/>
      <c r="U2"/>
      <c r="V2"/>
      <c r="W2">
        <v>150</v>
      </c>
      <c r="X2"/>
      <c r="Y2"/>
      <c r="Z2"/>
      <c r="AA2">
        <v>200</v>
      </c>
    </row>
    <row r="3" spans="1:31" x14ac:dyDescent="0.2">
      <c r="G3" s="50"/>
      <c r="L3" s="96" t="s">
        <v>164</v>
      </c>
      <c r="M3" s="96" t="s">
        <v>164</v>
      </c>
      <c r="N3"/>
      <c r="O3"/>
      <c r="P3" s="96" t="s">
        <v>164</v>
      </c>
      <c r="Q3" s="96" t="s">
        <v>164</v>
      </c>
      <c r="R3"/>
      <c r="S3"/>
      <c r="T3" s="96" t="s">
        <v>164</v>
      </c>
      <c r="U3" s="96" t="s">
        <v>164</v>
      </c>
      <c r="V3"/>
      <c r="W3"/>
      <c r="X3" s="96" t="s">
        <v>164</v>
      </c>
      <c r="Y3" s="96" t="s">
        <v>164</v>
      </c>
      <c r="Z3"/>
      <c r="AA3"/>
    </row>
    <row r="4" spans="1:31" ht="68" x14ac:dyDescent="0.2">
      <c r="A4" s="1" t="s">
        <v>4</v>
      </c>
      <c r="B4" s="210" t="s">
        <v>148</v>
      </c>
      <c r="C4" s="210" t="s">
        <v>148</v>
      </c>
      <c r="D4" s="210" t="s">
        <v>148</v>
      </c>
      <c r="E4" s="210" t="s">
        <v>148</v>
      </c>
      <c r="F4" s="210" t="s">
        <v>148</v>
      </c>
      <c r="G4" s="132" t="s">
        <v>790</v>
      </c>
      <c r="H4" s="132" t="s">
        <v>137</v>
      </c>
      <c r="I4" s="132" t="s">
        <v>789</v>
      </c>
      <c r="J4" s="133" t="s">
        <v>138</v>
      </c>
      <c r="K4" s="215" t="s">
        <v>788</v>
      </c>
      <c r="L4" s="212" t="s">
        <v>27</v>
      </c>
      <c r="M4" s="209" t="s">
        <v>149</v>
      </c>
      <c r="N4" s="209" t="s">
        <v>926</v>
      </c>
      <c r="O4" s="213" t="s">
        <v>927</v>
      </c>
      <c r="P4" s="212" t="s">
        <v>27</v>
      </c>
      <c r="Q4" s="209" t="s">
        <v>149</v>
      </c>
      <c r="R4" s="209" t="s">
        <v>926</v>
      </c>
      <c r="S4" s="213" t="s">
        <v>927</v>
      </c>
      <c r="T4" s="212" t="s">
        <v>27</v>
      </c>
      <c r="U4" s="209" t="s">
        <v>149</v>
      </c>
      <c r="V4" s="209" t="s">
        <v>926</v>
      </c>
      <c r="W4" s="213" t="s">
        <v>927</v>
      </c>
      <c r="X4" s="212" t="s">
        <v>27</v>
      </c>
      <c r="Y4" s="209" t="s">
        <v>149</v>
      </c>
      <c r="Z4" s="209" t="s">
        <v>926</v>
      </c>
      <c r="AA4" s="213" t="s">
        <v>927</v>
      </c>
    </row>
    <row r="5" spans="1:31" x14ac:dyDescent="0.2">
      <c r="A5" s="128" t="s">
        <v>777</v>
      </c>
      <c r="B5" s="211">
        <f>GWP!$AC8</f>
        <v>5.3322262738433244</v>
      </c>
      <c r="C5" s="211">
        <f>GWP!$AC8</f>
        <v>5.3322262738433244</v>
      </c>
      <c r="D5" s="211">
        <f>GWP!$AC8</f>
        <v>5.3322262738433244</v>
      </c>
      <c r="E5" s="211">
        <f>GWP!$AC8</f>
        <v>5.3322262738433244</v>
      </c>
      <c r="F5" s="211">
        <f>GWP!$AC8</f>
        <v>5.3322262738433244</v>
      </c>
      <c r="G5" s="126">
        <f>'Commercial Viability'!D11</f>
        <v>35805</v>
      </c>
      <c r="H5" s="126">
        <f>G5*$AH$21</f>
        <v>3580500</v>
      </c>
      <c r="I5" s="126">
        <f>'Commercial Viability'!H11</f>
        <v>-310.60257325363199</v>
      </c>
      <c r="J5" s="131">
        <f t="shared" ref="J5:J39" si="0">I5*$AH$23</f>
        <v>-10249884.917369856</v>
      </c>
      <c r="K5" s="216">
        <f t="shared" ref="K5:K39" si="1">(-PV($AH$24,$AH$25,J5)-$H5)/1000000</f>
        <v>-90.84354836422051</v>
      </c>
      <c r="L5" s="18">
        <f>-$F5*O$2</f>
        <v>-266.61131369216622</v>
      </c>
      <c r="M5" s="18">
        <f>$I5+L5</f>
        <v>-577.21388694579821</v>
      </c>
      <c r="N5" s="126">
        <f t="shared" ref="N5:N39" si="2">M5*$AH$23</f>
        <v>-19048058.269211341</v>
      </c>
      <c r="O5" s="214">
        <f>(-PV($AH$24,$AH$25,N5)-$H5)/1000000</f>
        <v>-165.7473578126048</v>
      </c>
      <c r="P5" s="18">
        <f>-$F5*S$2</f>
        <v>-533.22262738433244</v>
      </c>
      <c r="Q5" s="18">
        <f>$I5+P5</f>
        <v>-843.82520063796437</v>
      </c>
      <c r="R5" s="126">
        <f t="shared" ref="R5:R39" si="3">Q5*$AH$23</f>
        <v>-27846231.621052824</v>
      </c>
      <c r="S5" s="214">
        <f>(-PV($AH$24,$AH$25,R5)-$H5)/1000000</f>
        <v>-240.65116726098904</v>
      </c>
      <c r="T5" s="18">
        <f>-$F5*W$2</f>
        <v>-799.8339410764986</v>
      </c>
      <c r="U5" s="18">
        <f>$I5+T5</f>
        <v>-1110.4365143301306</v>
      </c>
      <c r="V5" s="126">
        <f t="shared" ref="V5:V39" si="4">U5*$AH$23</f>
        <v>-36644404.972894311</v>
      </c>
      <c r="W5" s="214">
        <f>(-PV($AH$24,$AH$25,V5)-$H5)/1000000</f>
        <v>-315.55497670937336</v>
      </c>
      <c r="X5" s="18">
        <f>-$F5*AA$2</f>
        <v>-1066.4452547686649</v>
      </c>
      <c r="Y5" s="18">
        <f>$I5+X5</f>
        <v>-1377.0478280222969</v>
      </c>
      <c r="Z5" s="126">
        <f t="shared" ref="Z5:Z39" si="5">Y5*$AH$23</f>
        <v>-45442578.324735798</v>
      </c>
      <c r="AA5" s="214">
        <f>(-PV($AH$24,$AH$25,Z5)-$H5)/1000000</f>
        <v>-390.45878615775763</v>
      </c>
      <c r="AD5">
        <v>-10</v>
      </c>
      <c r="AE5">
        <v>-1000</v>
      </c>
    </row>
    <row r="6" spans="1:31" x14ac:dyDescent="0.2">
      <c r="A6" s="128" t="s">
        <v>781</v>
      </c>
      <c r="B6" s="211">
        <f>GWP!$AC9</f>
        <v>0.82586057788314626</v>
      </c>
      <c r="C6" s="211">
        <f>GWP!$AC9</f>
        <v>0.82586057788314626</v>
      </c>
      <c r="D6" s="211">
        <f>GWP!$AC9</f>
        <v>0.82586057788314626</v>
      </c>
      <c r="E6" s="211">
        <f>GWP!$AC9</f>
        <v>0.82586057788314626</v>
      </c>
      <c r="F6" s="211">
        <f>GWP!$AC9</f>
        <v>0.82586057788314626</v>
      </c>
      <c r="G6" s="126">
        <f>'Commercial Viability'!D12</f>
        <v>35805</v>
      </c>
      <c r="H6" s="126">
        <f>G6*$AH$21</f>
        <v>3580500</v>
      </c>
      <c r="I6" s="126">
        <f>'Commercial Viability'!H12</f>
        <v>-310.60257325363199</v>
      </c>
      <c r="J6" s="131">
        <f t="shared" si="0"/>
        <v>-10249884.917369856</v>
      </c>
      <c r="K6" s="216">
        <f t="shared" si="1"/>
        <v>-90.84354836422051</v>
      </c>
      <c r="L6" s="18">
        <f t="shared" ref="L6:L39" si="6">-$F6*O$2</f>
        <v>-41.293028894157317</v>
      </c>
      <c r="M6" s="18">
        <f t="shared" ref="M6:M39" si="7">$I6+L6</f>
        <v>-351.8956021477893</v>
      </c>
      <c r="N6" s="126">
        <f t="shared" si="2"/>
        <v>-11612554.870877046</v>
      </c>
      <c r="O6" s="214">
        <f t="shared" ref="O6:O39" si="8">(-PV($AH$24,$AH$25,N6)-$H6)/1000000</f>
        <v>-102.44472584240442</v>
      </c>
      <c r="P6" s="18">
        <f t="shared" ref="P6:P39" si="9">-$F6*S$2</f>
        <v>-82.586057788314633</v>
      </c>
      <c r="Q6" s="18">
        <f t="shared" ref="Q6:Q39" si="10">$I6+P6</f>
        <v>-393.18863104194662</v>
      </c>
      <c r="R6" s="126">
        <f t="shared" si="3"/>
        <v>-12975224.824384239</v>
      </c>
      <c r="S6" s="214">
        <f t="shared" ref="S6:S39" si="11">(-PV($AH$24,$AH$25,R6)-$H6)/1000000</f>
        <v>-114.04590332058835</v>
      </c>
      <c r="T6" s="18">
        <f t="shared" ref="T6:T39" si="12">-$F6*W$2</f>
        <v>-123.87908668247194</v>
      </c>
      <c r="U6" s="18">
        <f t="shared" ref="U6:U39" si="13">$I6+T6</f>
        <v>-434.48165993610394</v>
      </c>
      <c r="V6" s="126">
        <f t="shared" si="4"/>
        <v>-14337894.777891429</v>
      </c>
      <c r="W6" s="214">
        <f t="shared" ref="W6:W39" si="14">(-PV($AH$24,$AH$25,V6)-$H6)/1000000</f>
        <v>-125.64708079877227</v>
      </c>
      <c r="X6" s="18">
        <f t="shared" ref="X6:X39" si="15">-$F6*AA$2</f>
        <v>-165.17211557662927</v>
      </c>
      <c r="Y6" s="18">
        <f t="shared" ref="Y6:Y39" si="16">$I6+X6</f>
        <v>-475.77468883026125</v>
      </c>
      <c r="Z6" s="126">
        <f t="shared" si="5"/>
        <v>-15700564.731398622</v>
      </c>
      <c r="AA6" s="214">
        <f t="shared" ref="AA6:AA39" si="17">(-PV($AH$24,$AH$25,Z6)-$H6)/1000000</f>
        <v>-137.24825827695619</v>
      </c>
      <c r="AD6">
        <v>-11</v>
      </c>
      <c r="AE6">
        <v>-1100</v>
      </c>
    </row>
    <row r="7" spans="1:31" x14ac:dyDescent="0.2">
      <c r="A7" s="65" t="s">
        <v>126</v>
      </c>
      <c r="B7" s="211">
        <f>GWP!$AC10</f>
        <v>6.2327909764973297</v>
      </c>
      <c r="C7" s="211">
        <f>GWP!$AC10</f>
        <v>6.2327909764973297</v>
      </c>
      <c r="D7" s="211">
        <f>GWP!$AC10</f>
        <v>6.2327909764973297</v>
      </c>
      <c r="E7" s="211">
        <f>GWP!$AC10</f>
        <v>6.2327909764973297</v>
      </c>
      <c r="F7" s="211">
        <f>GWP!$AC10</f>
        <v>6.2327909764973297</v>
      </c>
      <c r="G7" s="126">
        <f>'Commercial Viability'!D13</f>
        <v>260864.99999999997</v>
      </c>
      <c r="H7" s="126">
        <f t="shared" ref="H7:H39" si="18">G7*$AH$21</f>
        <v>26086499.999999996</v>
      </c>
      <c r="I7" s="126">
        <f>'Commercial Viability'!H13</f>
        <v>-288.12562930145276</v>
      </c>
      <c r="J7" s="131">
        <f t="shared" si="0"/>
        <v>-9508145.7669479419</v>
      </c>
      <c r="K7" s="216">
        <f t="shared" si="1"/>
        <v>-107.03470484366397</v>
      </c>
      <c r="L7" s="18">
        <f t="shared" si="6"/>
        <v>-311.63954882486649</v>
      </c>
      <c r="M7" s="18">
        <f t="shared" si="7"/>
        <v>-599.76517812631926</v>
      </c>
      <c r="N7" s="126">
        <f t="shared" si="2"/>
        <v>-19792250.878168534</v>
      </c>
      <c r="O7" s="214">
        <f t="shared" si="8"/>
        <v>-194.58908900873521</v>
      </c>
      <c r="P7" s="18">
        <f t="shared" si="9"/>
        <v>-623.27909764973299</v>
      </c>
      <c r="Q7" s="18">
        <f t="shared" si="10"/>
        <v>-911.40472695118569</v>
      </c>
      <c r="R7" s="126">
        <f t="shared" si="3"/>
        <v>-30076355.989389129</v>
      </c>
      <c r="S7" s="214">
        <f t="shared" si="11"/>
        <v>-282.14347317380651</v>
      </c>
      <c r="T7" s="18">
        <f t="shared" si="12"/>
        <v>-934.91864647459943</v>
      </c>
      <c r="U7" s="18">
        <f t="shared" si="13"/>
        <v>-1223.0442757760522</v>
      </c>
      <c r="V7" s="126">
        <f t="shared" si="4"/>
        <v>-40360461.100609727</v>
      </c>
      <c r="W7" s="214">
        <f t="shared" si="14"/>
        <v>-369.69785733887778</v>
      </c>
      <c r="X7" s="18">
        <f t="shared" si="15"/>
        <v>-1246.558195299466</v>
      </c>
      <c r="Y7" s="18">
        <f t="shared" si="16"/>
        <v>-1534.6838246009188</v>
      </c>
      <c r="Z7" s="126">
        <f t="shared" si="5"/>
        <v>-50644566.211830318</v>
      </c>
      <c r="AA7" s="214">
        <f t="shared" si="17"/>
        <v>-457.25224150394905</v>
      </c>
    </row>
    <row r="8" spans="1:31" x14ac:dyDescent="0.2">
      <c r="A8" s="65" t="s">
        <v>143</v>
      </c>
      <c r="B8" s="211">
        <f>GWP!$AC11</f>
        <v>1.7264252805371516</v>
      </c>
      <c r="C8" s="211">
        <f>GWP!$AC11</f>
        <v>1.7264252805371516</v>
      </c>
      <c r="D8" s="211">
        <f>GWP!$AC11</f>
        <v>1.7264252805371516</v>
      </c>
      <c r="E8" s="211">
        <f>GWP!$AC11</f>
        <v>1.7264252805371516</v>
      </c>
      <c r="F8" s="211">
        <f>GWP!$AC11</f>
        <v>1.7264252805371516</v>
      </c>
      <c r="G8" s="126">
        <f>'Commercial Viability'!D14</f>
        <v>260864.99999999997</v>
      </c>
      <c r="H8" s="126">
        <f t="shared" si="18"/>
        <v>26086499.999999996</v>
      </c>
      <c r="I8" s="126">
        <f>'Commercial Viability'!H14</f>
        <v>-288.12562930145276</v>
      </c>
      <c r="J8" s="131">
        <f t="shared" si="0"/>
        <v>-9508145.7669479419</v>
      </c>
      <c r="K8" s="216">
        <f t="shared" si="1"/>
        <v>-107.03470484366397</v>
      </c>
      <c r="L8" s="18">
        <f t="shared" si="6"/>
        <v>-86.321264026857577</v>
      </c>
      <c r="M8" s="18">
        <f t="shared" si="7"/>
        <v>-374.44689332831035</v>
      </c>
      <c r="N8" s="126">
        <f t="shared" si="2"/>
        <v>-12356747.479834242</v>
      </c>
      <c r="O8" s="214">
        <f t="shared" si="8"/>
        <v>-131.28645703853488</v>
      </c>
      <c r="P8" s="18">
        <f t="shared" si="9"/>
        <v>-172.64252805371515</v>
      </c>
      <c r="Q8" s="18">
        <f t="shared" si="10"/>
        <v>-460.76815735516789</v>
      </c>
      <c r="R8" s="126">
        <f t="shared" si="3"/>
        <v>-15205349.19272054</v>
      </c>
      <c r="S8" s="214">
        <f t="shared" si="11"/>
        <v>-155.53820923340578</v>
      </c>
      <c r="T8" s="18">
        <f t="shared" si="12"/>
        <v>-258.96379208057272</v>
      </c>
      <c r="U8" s="18">
        <f t="shared" si="13"/>
        <v>-547.08942138202542</v>
      </c>
      <c r="V8" s="126">
        <f t="shared" si="4"/>
        <v>-18053950.90560684</v>
      </c>
      <c r="W8" s="214">
        <f t="shared" si="14"/>
        <v>-179.78996142827668</v>
      </c>
      <c r="X8" s="18">
        <f t="shared" si="15"/>
        <v>-345.28505610743031</v>
      </c>
      <c r="Y8" s="18">
        <f t="shared" si="16"/>
        <v>-633.41068540888307</v>
      </c>
      <c r="Z8" s="126">
        <f t="shared" si="5"/>
        <v>-20902552.61849314</v>
      </c>
      <c r="AA8" s="214">
        <f t="shared" si="17"/>
        <v>-204.04171362314759</v>
      </c>
    </row>
    <row r="9" spans="1:31" x14ac:dyDescent="0.2">
      <c r="A9" s="128" t="s">
        <v>778</v>
      </c>
      <c r="B9" s="211">
        <f>GWP!$AC12</f>
        <v>0.42700341670046715</v>
      </c>
      <c r="C9" s="211">
        <f>GWP!$AC12</f>
        <v>0.42700341670046715</v>
      </c>
      <c r="D9" s="211">
        <f>GWP!$AC12</f>
        <v>0.42700341670046715</v>
      </c>
      <c r="E9" s="211">
        <f>GWP!$AC12</f>
        <v>0.42700341670046715</v>
      </c>
      <c r="F9" s="211">
        <f>GWP!$AC12</f>
        <v>0.42700341670046715</v>
      </c>
      <c r="G9" s="126">
        <f>'Commercial Viability'!D15</f>
        <v>35805</v>
      </c>
      <c r="H9" s="126">
        <f t="shared" si="18"/>
        <v>3580500</v>
      </c>
      <c r="I9" s="126">
        <f>'Commercial Viability'!H15</f>
        <v>-310.60257325363199</v>
      </c>
      <c r="J9" s="131">
        <f t="shared" si="0"/>
        <v>-10249884.917369856</v>
      </c>
      <c r="K9" s="216">
        <f t="shared" si="1"/>
        <v>-90.84354836422051</v>
      </c>
      <c r="L9" s="18">
        <f t="shared" si="6"/>
        <v>-21.350170835023359</v>
      </c>
      <c r="M9" s="18">
        <f t="shared" si="7"/>
        <v>-331.95274408865532</v>
      </c>
      <c r="N9" s="126">
        <f t="shared" si="2"/>
        <v>-10954440.554925626</v>
      </c>
      <c r="O9" s="214">
        <f t="shared" si="8"/>
        <v>-96.841827678666675</v>
      </c>
      <c r="P9" s="18">
        <f t="shared" si="9"/>
        <v>-42.700341670046718</v>
      </c>
      <c r="Q9" s="18">
        <f t="shared" si="10"/>
        <v>-353.30291492367871</v>
      </c>
      <c r="R9" s="126">
        <f t="shared" si="3"/>
        <v>-11658996.192481397</v>
      </c>
      <c r="S9" s="214">
        <f t="shared" si="11"/>
        <v>-102.84010699311287</v>
      </c>
      <c r="T9" s="18">
        <f t="shared" si="12"/>
        <v>-64.050512505070074</v>
      </c>
      <c r="U9" s="18">
        <f t="shared" si="13"/>
        <v>-374.65308575870205</v>
      </c>
      <c r="V9" s="126">
        <f t="shared" si="4"/>
        <v>-12363551.830037167</v>
      </c>
      <c r="W9" s="214">
        <f t="shared" si="14"/>
        <v>-108.83838630755905</v>
      </c>
      <c r="X9" s="18">
        <f t="shared" si="15"/>
        <v>-85.400683340093437</v>
      </c>
      <c r="Y9" s="18">
        <f t="shared" si="16"/>
        <v>-396.00325659372544</v>
      </c>
      <c r="Z9" s="126">
        <f t="shared" si="5"/>
        <v>-13068107.46759294</v>
      </c>
      <c r="AA9" s="214">
        <f t="shared" si="17"/>
        <v>-114.83666562200523</v>
      </c>
      <c r="AD9">
        <v>-12</v>
      </c>
      <c r="AE9">
        <v>-1200</v>
      </c>
    </row>
    <row r="10" spans="1:31" x14ac:dyDescent="0.2">
      <c r="A10" s="65" t="s">
        <v>127</v>
      </c>
      <c r="B10" s="211">
        <f>GWP!$AC13</f>
        <v>1.3275681193544724</v>
      </c>
      <c r="C10" s="211">
        <f>GWP!$AC13</f>
        <v>1.3275681193544724</v>
      </c>
      <c r="D10" s="211">
        <f>GWP!$AC13</f>
        <v>1.3275681193544724</v>
      </c>
      <c r="E10" s="211">
        <f>GWP!$AC13</f>
        <v>1.3275681193544724</v>
      </c>
      <c r="F10" s="211">
        <f>GWP!$AC13</f>
        <v>1.3275681193544724</v>
      </c>
      <c r="G10" s="126">
        <f>'Commercial Viability'!D16</f>
        <v>260864.99999999997</v>
      </c>
      <c r="H10" s="126">
        <f t="shared" si="18"/>
        <v>26086499.999999996</v>
      </c>
      <c r="I10" s="126">
        <f>'Commercial Viability'!H16</f>
        <v>-288.12562930145276</v>
      </c>
      <c r="J10" s="131">
        <f t="shared" si="0"/>
        <v>-9508145.7669479419</v>
      </c>
      <c r="K10" s="216">
        <f t="shared" si="1"/>
        <v>-107.03470484366397</v>
      </c>
      <c r="L10" s="18">
        <f t="shared" si="6"/>
        <v>-66.378405967723623</v>
      </c>
      <c r="M10" s="18">
        <f t="shared" si="7"/>
        <v>-354.50403526917637</v>
      </c>
      <c r="N10" s="126">
        <f t="shared" si="2"/>
        <v>-11698633.16388282</v>
      </c>
      <c r="O10" s="214">
        <f t="shared" si="8"/>
        <v>-125.68355887479711</v>
      </c>
      <c r="P10" s="18">
        <f t="shared" si="9"/>
        <v>-132.75681193544725</v>
      </c>
      <c r="Q10" s="18">
        <f t="shared" si="10"/>
        <v>-420.88244123690004</v>
      </c>
      <c r="R10" s="126">
        <f t="shared" si="3"/>
        <v>-13889120.560817702</v>
      </c>
      <c r="S10" s="214">
        <f t="shared" si="11"/>
        <v>-144.33241290593031</v>
      </c>
      <c r="T10" s="18">
        <f t="shared" si="12"/>
        <v>-199.13521790317085</v>
      </c>
      <c r="U10" s="18">
        <f t="shared" si="13"/>
        <v>-487.26084720462359</v>
      </c>
      <c r="V10" s="126">
        <f t="shared" si="4"/>
        <v>-16079607.957752578</v>
      </c>
      <c r="W10" s="214">
        <f t="shared" si="14"/>
        <v>-162.98126693706345</v>
      </c>
      <c r="X10" s="18">
        <f t="shared" si="15"/>
        <v>-265.51362387089449</v>
      </c>
      <c r="Y10" s="18">
        <f t="shared" si="16"/>
        <v>-553.63925317234725</v>
      </c>
      <c r="Z10" s="126">
        <f t="shared" si="5"/>
        <v>-18270095.35468746</v>
      </c>
      <c r="AA10" s="214">
        <f t="shared" si="17"/>
        <v>-181.63012096819662</v>
      </c>
    </row>
    <row r="11" spans="1:31" x14ac:dyDescent="0.2">
      <c r="A11" s="66" t="s">
        <v>128</v>
      </c>
      <c r="B11" s="211">
        <f>GWP!$AC14</f>
        <v>7.3620091573362485</v>
      </c>
      <c r="C11" s="211">
        <f>GWP!$AC14</f>
        <v>7.3620091573362485</v>
      </c>
      <c r="D11" s="211">
        <f>GWP!$AC14</f>
        <v>7.3620091573362485</v>
      </c>
      <c r="E11" s="211">
        <f>GWP!$AC14</f>
        <v>7.3620091573362485</v>
      </c>
      <c r="F11" s="211">
        <f>GWP!$AC14</f>
        <v>7.3620091573362485</v>
      </c>
      <c r="G11" s="126">
        <f>'Commercial Viability'!D17</f>
        <v>562650</v>
      </c>
      <c r="H11" s="126">
        <f>G11*$AH$21</f>
        <v>56265000</v>
      </c>
      <c r="I11" s="126">
        <f>'Commercial Viability'!H17</f>
        <v>-265.97799101586588</v>
      </c>
      <c r="J11" s="131">
        <f t="shared" si="0"/>
        <v>-8777273.7035235744</v>
      </c>
      <c r="K11" s="216">
        <f t="shared" si="1"/>
        <v>-130.99087896070921</v>
      </c>
      <c r="L11" s="18">
        <f t="shared" si="6"/>
        <v>-368.10045786681241</v>
      </c>
      <c r="M11" s="18">
        <f t="shared" si="7"/>
        <v>-634.07844888267823</v>
      </c>
      <c r="N11" s="126">
        <f t="shared" si="2"/>
        <v>-20924588.813128382</v>
      </c>
      <c r="O11" s="214">
        <f t="shared" si="8"/>
        <v>-234.40782017031574</v>
      </c>
      <c r="P11" s="18">
        <f t="shared" si="9"/>
        <v>-736.20091573362481</v>
      </c>
      <c r="Q11" s="18">
        <f t="shared" si="10"/>
        <v>-1002.1789067494907</v>
      </c>
      <c r="R11" s="126">
        <f t="shared" si="3"/>
        <v>-33071903.922733191</v>
      </c>
      <c r="S11" s="214">
        <f t="shared" si="11"/>
        <v>-337.82476137992228</v>
      </c>
      <c r="T11" s="18">
        <f t="shared" si="12"/>
        <v>-1104.3013736004373</v>
      </c>
      <c r="U11" s="18">
        <f t="shared" si="13"/>
        <v>-1370.2793646163032</v>
      </c>
      <c r="V11" s="126">
        <f t="shared" si="4"/>
        <v>-45219219.032338001</v>
      </c>
      <c r="W11" s="214">
        <f t="shared" si="14"/>
        <v>-441.24170258952881</v>
      </c>
      <c r="X11" s="18">
        <f t="shared" si="15"/>
        <v>-1472.4018314672496</v>
      </c>
      <c r="Y11" s="18">
        <f t="shared" si="16"/>
        <v>-1738.3798224831155</v>
      </c>
      <c r="Z11" s="126">
        <f t="shared" si="5"/>
        <v>-57366534.141942814</v>
      </c>
      <c r="AA11" s="214">
        <f t="shared" si="17"/>
        <v>-544.65864379913535</v>
      </c>
    </row>
    <row r="12" spans="1:31" x14ac:dyDescent="0.2">
      <c r="A12" s="128" t="s">
        <v>779</v>
      </c>
      <c r="B12" s="211">
        <f>GWP!$AC15</f>
        <v>2.1978426320814601</v>
      </c>
      <c r="C12" s="211">
        <f>GWP!$AC15</f>
        <v>2.1978426320814601</v>
      </c>
      <c r="D12" s="211">
        <f>GWP!$AC15</f>
        <v>2.1978426320814601</v>
      </c>
      <c r="E12" s="211">
        <f>GWP!$AC15</f>
        <v>2.1978426320814601</v>
      </c>
      <c r="F12" s="211">
        <f>GWP!$AC15</f>
        <v>2.1978426320814601</v>
      </c>
      <c r="G12" s="126">
        <f>'Commercial Viability'!D18</f>
        <v>465464.99999999994</v>
      </c>
      <c r="H12" s="126">
        <f t="shared" si="18"/>
        <v>46546499.999999993</v>
      </c>
      <c r="I12" s="126">
        <f>'Commercial Viability'!H18</f>
        <v>-231.79652981246971</v>
      </c>
      <c r="J12" s="131">
        <f t="shared" si="0"/>
        <v>-7649285.4838115005</v>
      </c>
      <c r="K12" s="216">
        <f t="shared" si="1"/>
        <v>-111.66917937705342</v>
      </c>
      <c r="L12" s="18">
        <f t="shared" si="6"/>
        <v>-109.892131604073</v>
      </c>
      <c r="M12" s="18">
        <f t="shared" si="7"/>
        <v>-341.68866141654269</v>
      </c>
      <c r="N12" s="126">
        <f t="shared" si="2"/>
        <v>-11275725.826745909</v>
      </c>
      <c r="O12" s="214">
        <f t="shared" si="8"/>
        <v>-142.5431103125286</v>
      </c>
      <c r="P12" s="18">
        <f t="shared" si="9"/>
        <v>-219.784263208146</v>
      </c>
      <c r="Q12" s="18">
        <f t="shared" si="10"/>
        <v>-451.58079302061572</v>
      </c>
      <c r="R12" s="126">
        <f t="shared" si="3"/>
        <v>-14902166.169680318</v>
      </c>
      <c r="S12" s="214">
        <f t="shared" si="11"/>
        <v>-173.41704124800381</v>
      </c>
      <c r="T12" s="18">
        <f t="shared" si="12"/>
        <v>-329.67639481221903</v>
      </c>
      <c r="U12" s="18">
        <f t="shared" si="13"/>
        <v>-561.47292462468874</v>
      </c>
      <c r="V12" s="126">
        <f t="shared" si="4"/>
        <v>-18528606.512614727</v>
      </c>
      <c r="W12" s="214">
        <f t="shared" si="14"/>
        <v>-204.290972183479</v>
      </c>
      <c r="X12" s="18">
        <f t="shared" si="15"/>
        <v>-439.568526416292</v>
      </c>
      <c r="Y12" s="18">
        <f t="shared" si="16"/>
        <v>-671.36505622876166</v>
      </c>
      <c r="Z12" s="126">
        <f t="shared" si="5"/>
        <v>-22155046.855549134</v>
      </c>
      <c r="AA12" s="214">
        <f t="shared" si="17"/>
        <v>-235.16490311895419</v>
      </c>
      <c r="AD12">
        <v>-13</v>
      </c>
      <c r="AE12">
        <v>-1300</v>
      </c>
    </row>
    <row r="13" spans="1:31" x14ac:dyDescent="0.2">
      <c r="A13" s="128" t="s">
        <v>782</v>
      </c>
      <c r="B13" s="211">
        <f>GWP!$AC16</f>
        <v>0.35924542812970783</v>
      </c>
      <c r="C13" s="211">
        <f>GWP!$AC16</f>
        <v>0.35924542812970783</v>
      </c>
      <c r="D13" s="211">
        <f>GWP!$AC16</f>
        <v>0.35924542812970783</v>
      </c>
      <c r="E13" s="211">
        <f>GWP!$AC16</f>
        <v>0.35924542812970783</v>
      </c>
      <c r="F13" s="211">
        <f>GWP!$AC16</f>
        <v>0.35924542812970783</v>
      </c>
      <c r="G13" s="126">
        <f>'Commercial Viability'!D19</f>
        <v>465464.99999999994</v>
      </c>
      <c r="H13" s="126">
        <f t="shared" si="18"/>
        <v>46546499.999999993</v>
      </c>
      <c r="I13" s="126">
        <f>'Commercial Viability'!H19</f>
        <v>-231.79652981246971</v>
      </c>
      <c r="J13" s="131">
        <f t="shared" si="0"/>
        <v>-7649285.4838115005</v>
      </c>
      <c r="K13" s="216">
        <f t="shared" si="1"/>
        <v>-111.66917937705342</v>
      </c>
      <c r="L13" s="18">
        <f t="shared" si="6"/>
        <v>-17.962271406485392</v>
      </c>
      <c r="M13" s="18">
        <f t="shared" si="7"/>
        <v>-249.75880121895511</v>
      </c>
      <c r="N13" s="126">
        <f t="shared" si="2"/>
        <v>-8242040.4402255183</v>
      </c>
      <c r="O13" s="214">
        <f t="shared" si="8"/>
        <v>-116.71563646868688</v>
      </c>
      <c r="P13" s="18">
        <f t="shared" si="9"/>
        <v>-35.924542812970785</v>
      </c>
      <c r="Q13" s="18">
        <f t="shared" si="10"/>
        <v>-267.72107262544051</v>
      </c>
      <c r="R13" s="126">
        <f t="shared" si="3"/>
        <v>-8834795.3966395371</v>
      </c>
      <c r="S13" s="214">
        <f t="shared" si="11"/>
        <v>-121.76209356032032</v>
      </c>
      <c r="T13" s="18">
        <f t="shared" si="12"/>
        <v>-53.886814219456177</v>
      </c>
      <c r="U13" s="18">
        <f t="shared" si="13"/>
        <v>-285.68334403192591</v>
      </c>
      <c r="V13" s="126">
        <f t="shared" si="4"/>
        <v>-9427550.3530535549</v>
      </c>
      <c r="W13" s="214">
        <f t="shared" si="14"/>
        <v>-126.80855065195378</v>
      </c>
      <c r="X13" s="18">
        <f t="shared" si="15"/>
        <v>-71.849085625941569</v>
      </c>
      <c r="Y13" s="18">
        <f t="shared" si="16"/>
        <v>-303.64561543841126</v>
      </c>
      <c r="Z13" s="126">
        <f t="shared" si="5"/>
        <v>-10020305.309467571</v>
      </c>
      <c r="AA13" s="214">
        <f t="shared" si="17"/>
        <v>-131.85500774358724</v>
      </c>
      <c r="AD13">
        <v>-14</v>
      </c>
      <c r="AE13">
        <v>-1400</v>
      </c>
    </row>
    <row r="14" spans="1:31" x14ac:dyDescent="0.2">
      <c r="A14" s="128" t="s">
        <v>783</v>
      </c>
      <c r="B14" s="211">
        <f>GWP!$AC17</f>
        <v>0.18069108922431759</v>
      </c>
      <c r="C14" s="211">
        <f>GWP!$AC17</f>
        <v>0.18069108922431759</v>
      </c>
      <c r="D14" s="211">
        <f>GWP!$AC17</f>
        <v>0.18069108922431759</v>
      </c>
      <c r="E14" s="211">
        <f>GWP!$AC17</f>
        <v>0.18069108922431759</v>
      </c>
      <c r="F14" s="211">
        <f>GWP!$AC17</f>
        <v>0.18069108922431759</v>
      </c>
      <c r="G14" s="126">
        <f>'Commercial Viability'!D20</f>
        <v>465464.99999999994</v>
      </c>
      <c r="H14" s="126">
        <f>G14*$AH$21</f>
        <v>46546499.999999993</v>
      </c>
      <c r="I14" s="126">
        <f>'Commercial Viability'!H20</f>
        <v>-231.79652981246971</v>
      </c>
      <c r="J14" s="131">
        <f t="shared" si="0"/>
        <v>-7649285.4838115005</v>
      </c>
      <c r="K14" s="216">
        <f t="shared" si="1"/>
        <v>-111.66917937705342</v>
      </c>
      <c r="L14" s="18">
        <f t="shared" si="6"/>
        <v>-9.0345544612158797</v>
      </c>
      <c r="M14" s="18">
        <f t="shared" si="7"/>
        <v>-240.8310842736856</v>
      </c>
      <c r="N14" s="126">
        <f t="shared" si="2"/>
        <v>-7947425.7810316253</v>
      </c>
      <c r="O14" s="214">
        <f t="shared" si="8"/>
        <v>-114.20741579486472</v>
      </c>
      <c r="P14" s="18">
        <f t="shared" si="9"/>
        <v>-18.069108922431759</v>
      </c>
      <c r="Q14" s="18">
        <f t="shared" si="10"/>
        <v>-249.86563873490147</v>
      </c>
      <c r="R14" s="126">
        <f t="shared" si="3"/>
        <v>-8245566.0782517483</v>
      </c>
      <c r="S14" s="214">
        <f t="shared" si="11"/>
        <v>-116.74565221267599</v>
      </c>
      <c r="T14" s="18">
        <f t="shared" si="12"/>
        <v>-27.103663383647639</v>
      </c>
      <c r="U14" s="18">
        <f t="shared" si="13"/>
        <v>-258.90019319611736</v>
      </c>
      <c r="V14" s="126">
        <f t="shared" si="4"/>
        <v>-8543706.3754718732</v>
      </c>
      <c r="W14" s="214">
        <f t="shared" si="14"/>
        <v>-119.2838886304873</v>
      </c>
      <c r="X14" s="18">
        <f t="shared" si="15"/>
        <v>-36.138217844863519</v>
      </c>
      <c r="Y14" s="18">
        <f t="shared" si="16"/>
        <v>-267.93474765733322</v>
      </c>
      <c r="Z14" s="126">
        <f t="shared" si="5"/>
        <v>-8841846.6726919971</v>
      </c>
      <c r="AA14" s="214">
        <f t="shared" si="17"/>
        <v>-121.82212504829857</v>
      </c>
    </row>
    <row r="15" spans="1:31" x14ac:dyDescent="0.2">
      <c r="A15" s="66" t="s">
        <v>150</v>
      </c>
      <c r="B15" s="211">
        <f>GWP!$AC18</f>
        <v>3.1396326298861834</v>
      </c>
      <c r="C15" s="211">
        <f>GWP!$AC18</f>
        <v>3.1396326298861834</v>
      </c>
      <c r="D15" s="211">
        <f>GWP!$AC18</f>
        <v>3.1396326298861834</v>
      </c>
      <c r="E15" s="211">
        <f>GWP!$AC18</f>
        <v>3.1396326298861834</v>
      </c>
      <c r="F15" s="211">
        <f>GWP!$AC18</f>
        <v>3.1396326298861834</v>
      </c>
      <c r="G15" s="126">
        <f>'Commercial Viability'!D21</f>
        <v>639375</v>
      </c>
      <c r="H15" s="126">
        <f t="shared" si="18"/>
        <v>63937500</v>
      </c>
      <c r="I15" s="126">
        <f>'Commercial Viability'!H21</f>
        <v>-249.28912792498784</v>
      </c>
      <c r="J15" s="131">
        <f t="shared" si="0"/>
        <v>-8226541.221524599</v>
      </c>
      <c r="K15" s="216">
        <f t="shared" si="1"/>
        <v>-133.97468288267012</v>
      </c>
      <c r="L15" s="18">
        <f t="shared" si="6"/>
        <v>-156.98163149430917</v>
      </c>
      <c r="M15" s="18">
        <f t="shared" si="7"/>
        <v>-406.27075941929701</v>
      </c>
      <c r="N15" s="126">
        <f t="shared" si="2"/>
        <v>-13406935.060836801</v>
      </c>
      <c r="O15" s="214">
        <f t="shared" si="8"/>
        <v>-178.07829592709928</v>
      </c>
      <c r="P15" s="18">
        <f t="shared" si="9"/>
        <v>-313.96326298861834</v>
      </c>
      <c r="Q15" s="18">
        <f t="shared" si="10"/>
        <v>-563.25239091360618</v>
      </c>
      <c r="R15" s="126">
        <f t="shared" si="3"/>
        <v>-18587328.900149003</v>
      </c>
      <c r="S15" s="214">
        <f t="shared" si="11"/>
        <v>-222.1819089715284</v>
      </c>
      <c r="T15" s="18">
        <f t="shared" si="12"/>
        <v>-470.94489448292751</v>
      </c>
      <c r="U15" s="18">
        <f t="shared" si="13"/>
        <v>-720.23402240791529</v>
      </c>
      <c r="V15" s="126">
        <f t="shared" si="4"/>
        <v>-23767722.739461206</v>
      </c>
      <c r="W15" s="214">
        <f t="shared" si="14"/>
        <v>-266.28552201595761</v>
      </c>
      <c r="X15" s="18">
        <f t="shared" si="15"/>
        <v>-627.92652597723668</v>
      </c>
      <c r="Y15" s="18">
        <f t="shared" si="16"/>
        <v>-877.21565390222452</v>
      </c>
      <c r="Z15" s="126">
        <f t="shared" si="5"/>
        <v>-28948116.578773409</v>
      </c>
      <c r="AA15" s="214">
        <f t="shared" si="17"/>
        <v>-310.38913506038676</v>
      </c>
    </row>
    <row r="16" spans="1:31" x14ac:dyDescent="0.2">
      <c r="A16" s="66" t="s">
        <v>151</v>
      </c>
      <c r="B16" s="211">
        <f>GWP!$AC19</f>
        <v>1.3010354259344312</v>
      </c>
      <c r="C16" s="211">
        <f>GWP!$AC19</f>
        <v>1.3010354259344312</v>
      </c>
      <c r="D16" s="211">
        <f>GWP!$AC19</f>
        <v>1.3010354259344312</v>
      </c>
      <c r="E16" s="211">
        <f>GWP!$AC19</f>
        <v>1.3010354259344312</v>
      </c>
      <c r="F16" s="211">
        <f>GWP!$AC19</f>
        <v>1.3010354259344312</v>
      </c>
      <c r="G16" s="126">
        <f>'Commercial Viability'!D22</f>
        <v>639375</v>
      </c>
      <c r="H16" s="126">
        <f t="shared" si="18"/>
        <v>63937500</v>
      </c>
      <c r="I16" s="126">
        <f>'Commercial Viability'!H22</f>
        <v>-249.28912792498784</v>
      </c>
      <c r="J16" s="131">
        <f t="shared" si="0"/>
        <v>-8226541.221524599</v>
      </c>
      <c r="K16" s="216">
        <f t="shared" si="1"/>
        <v>-133.97468288267012</v>
      </c>
      <c r="L16" s="18">
        <f t="shared" si="6"/>
        <v>-65.051771296721554</v>
      </c>
      <c r="M16" s="18">
        <f t="shared" si="7"/>
        <v>-314.34089922170938</v>
      </c>
      <c r="N16" s="126">
        <f t="shared" si="2"/>
        <v>-10373249.67431641</v>
      </c>
      <c r="O16" s="214">
        <f t="shared" si="8"/>
        <v>-152.25082208325756</v>
      </c>
      <c r="P16" s="18">
        <f t="shared" si="9"/>
        <v>-130.10354259344311</v>
      </c>
      <c r="Q16" s="18">
        <f t="shared" si="10"/>
        <v>-379.39267051843092</v>
      </c>
      <c r="R16" s="126">
        <f t="shared" si="3"/>
        <v>-12519958.12710822</v>
      </c>
      <c r="S16" s="214">
        <f t="shared" si="11"/>
        <v>-170.52696128384494</v>
      </c>
      <c r="T16" s="18">
        <f t="shared" si="12"/>
        <v>-195.15531389016468</v>
      </c>
      <c r="U16" s="18">
        <f t="shared" si="13"/>
        <v>-444.44444181515252</v>
      </c>
      <c r="V16" s="126">
        <f t="shared" si="4"/>
        <v>-14666666.579900034</v>
      </c>
      <c r="W16" s="214">
        <f t="shared" si="14"/>
        <v>-188.80310048443238</v>
      </c>
      <c r="X16" s="18">
        <f t="shared" si="15"/>
        <v>-260.20708518688622</v>
      </c>
      <c r="Y16" s="18">
        <f t="shared" si="16"/>
        <v>-509.49621311187406</v>
      </c>
      <c r="Z16" s="126">
        <f t="shared" si="5"/>
        <v>-16813375.032691844</v>
      </c>
      <c r="AA16" s="214">
        <f t="shared" si="17"/>
        <v>-207.07923968501976</v>
      </c>
    </row>
    <row r="17" spans="1:34" x14ac:dyDescent="0.2">
      <c r="A17" s="66" t="s">
        <v>152</v>
      </c>
      <c r="B17" s="211">
        <f>GWP!$AC20</f>
        <v>1.1224810870290411</v>
      </c>
      <c r="C17" s="211">
        <f>GWP!$AC20</f>
        <v>1.1224810870290411</v>
      </c>
      <c r="D17" s="211">
        <f>GWP!$AC20</f>
        <v>1.1224810870290411</v>
      </c>
      <c r="E17" s="211">
        <f>GWP!$AC20</f>
        <v>1.1224810870290411</v>
      </c>
      <c r="F17" s="211">
        <f>GWP!$AC20</f>
        <v>1.1224810870290411</v>
      </c>
      <c r="G17" s="126">
        <f>'Commercial Viability'!D23</f>
        <v>639375</v>
      </c>
      <c r="H17" s="126">
        <f t="shared" si="18"/>
        <v>63937500</v>
      </c>
      <c r="I17" s="126">
        <f>'Commercial Viability'!H23</f>
        <v>-249.28912792498784</v>
      </c>
      <c r="J17" s="131">
        <f t="shared" si="0"/>
        <v>-8226541.221524599</v>
      </c>
      <c r="K17" s="216">
        <f t="shared" si="1"/>
        <v>-133.97468288267012</v>
      </c>
      <c r="L17" s="18">
        <f t="shared" si="6"/>
        <v>-56.12405435145206</v>
      </c>
      <c r="M17" s="18">
        <f t="shared" si="7"/>
        <v>-305.4131822764399</v>
      </c>
      <c r="N17" s="126">
        <f t="shared" si="2"/>
        <v>-10078635.015122516</v>
      </c>
      <c r="O17" s="214">
        <f t="shared" si="8"/>
        <v>-149.74260140943539</v>
      </c>
      <c r="P17" s="18">
        <f t="shared" si="9"/>
        <v>-112.24810870290412</v>
      </c>
      <c r="Q17" s="18">
        <f t="shared" si="10"/>
        <v>-361.53723662789196</v>
      </c>
      <c r="R17" s="126">
        <f t="shared" si="3"/>
        <v>-11930728.808720434</v>
      </c>
      <c r="S17" s="214">
        <f t="shared" si="11"/>
        <v>-165.51051993620061</v>
      </c>
      <c r="T17" s="18">
        <f t="shared" si="12"/>
        <v>-168.37216305435618</v>
      </c>
      <c r="U17" s="18">
        <f t="shared" si="13"/>
        <v>-417.66129097934402</v>
      </c>
      <c r="V17" s="126">
        <f t="shared" si="4"/>
        <v>-13782822.602318352</v>
      </c>
      <c r="W17" s="214">
        <f t="shared" si="14"/>
        <v>-181.27843846296585</v>
      </c>
      <c r="X17" s="18">
        <f t="shared" si="15"/>
        <v>-224.49621740580824</v>
      </c>
      <c r="Y17" s="18">
        <f t="shared" si="16"/>
        <v>-473.78534533079608</v>
      </c>
      <c r="Z17" s="126">
        <f t="shared" si="5"/>
        <v>-15634916.39591627</v>
      </c>
      <c r="AA17" s="214">
        <f t="shared" si="17"/>
        <v>-197.04635698973109</v>
      </c>
    </row>
    <row r="18" spans="1:34" x14ac:dyDescent="0.2">
      <c r="A18" s="128" t="s">
        <v>944</v>
      </c>
      <c r="B18" s="211">
        <f>GWP!$AC21</f>
        <v>5.2749486593220869</v>
      </c>
      <c r="C18" s="211">
        <f>GWP!$AC21</f>
        <v>5.2749486593220869</v>
      </c>
      <c r="D18" s="211">
        <f>GWP!$AC21</f>
        <v>5.2749486593220869</v>
      </c>
      <c r="E18" s="211">
        <f>GWP!$AC21</f>
        <v>5.2749486593220869</v>
      </c>
      <c r="F18" s="211">
        <f>GWP!$AC21</f>
        <v>5.2749486593220869</v>
      </c>
      <c r="G18" s="126">
        <f>'Commercial Viability'!D24</f>
        <v>879779.99999999988</v>
      </c>
      <c r="H18" s="126">
        <f t="shared" si="18"/>
        <v>87977999.999999985</v>
      </c>
      <c r="I18" s="126">
        <f>'Commercial Viability'!H24</f>
        <v>-288.5634008658659</v>
      </c>
      <c r="J18" s="131">
        <f t="shared" si="0"/>
        <v>-9522592.2285735756</v>
      </c>
      <c r="K18" s="216">
        <f t="shared" si="1"/>
        <v>-169.0491957152388</v>
      </c>
      <c r="L18" s="18">
        <f t="shared" si="6"/>
        <v>-263.74743296610433</v>
      </c>
      <c r="M18" s="18">
        <f t="shared" si="7"/>
        <v>-552.31083383197029</v>
      </c>
      <c r="N18" s="126">
        <f t="shared" si="2"/>
        <v>-18226257.516455021</v>
      </c>
      <c r="O18" s="214">
        <f t="shared" si="8"/>
        <v>-243.14840473906827</v>
      </c>
      <c r="P18" s="18">
        <f t="shared" si="9"/>
        <v>-527.49486593220865</v>
      </c>
      <c r="Q18" s="18">
        <f t="shared" si="10"/>
        <v>-816.05826679807456</v>
      </c>
      <c r="R18" s="126">
        <f t="shared" si="3"/>
        <v>-26929922.804336462</v>
      </c>
      <c r="S18" s="214">
        <f t="shared" si="11"/>
        <v>-317.24761376289774</v>
      </c>
      <c r="T18" s="18">
        <f t="shared" si="12"/>
        <v>-791.24229889831304</v>
      </c>
      <c r="U18" s="18">
        <f t="shared" si="13"/>
        <v>-1079.8056997641788</v>
      </c>
      <c r="V18" s="126">
        <f t="shared" si="4"/>
        <v>-35633588.0922179</v>
      </c>
      <c r="W18" s="214">
        <f t="shared" si="14"/>
        <v>-391.3468227867271</v>
      </c>
      <c r="X18" s="18">
        <f t="shared" si="15"/>
        <v>-1054.9897318644173</v>
      </c>
      <c r="Y18" s="18">
        <f t="shared" si="16"/>
        <v>-1343.5531327302833</v>
      </c>
      <c r="Z18" s="126">
        <f t="shared" si="5"/>
        <v>-44337253.380099349</v>
      </c>
      <c r="AA18" s="214">
        <f t="shared" si="17"/>
        <v>-465.44603181055663</v>
      </c>
    </row>
    <row r="19" spans="1:34" x14ac:dyDescent="0.2">
      <c r="A19" s="128" t="s">
        <v>780</v>
      </c>
      <c r="B19" s="211">
        <f>GWP!$AC22</f>
        <v>2.0086194568954601</v>
      </c>
      <c r="C19" s="211">
        <f>GWP!$AC22</f>
        <v>2.0086194568954601</v>
      </c>
      <c r="D19" s="211">
        <f>GWP!$AC22</f>
        <v>2.0086194568954601</v>
      </c>
      <c r="E19" s="211">
        <f>GWP!$AC22</f>
        <v>2.0086194568954601</v>
      </c>
      <c r="F19" s="211">
        <f>GWP!$AC22</f>
        <v>2.0086194568954601</v>
      </c>
      <c r="G19" s="126">
        <f>'Commercial Viability'!D25</f>
        <v>644490</v>
      </c>
      <c r="H19" s="126">
        <f t="shared" si="18"/>
        <v>64449000</v>
      </c>
      <c r="I19" s="126">
        <f>'Commercial Viability'!H25</f>
        <v>-308.81711981246974</v>
      </c>
      <c r="J19" s="131">
        <f t="shared" si="0"/>
        <v>-10190964.953811502</v>
      </c>
      <c r="K19" s="216">
        <f t="shared" si="1"/>
        <v>-151.21042950010062</v>
      </c>
      <c r="L19" s="18">
        <f t="shared" si="6"/>
        <v>-100.43097284477301</v>
      </c>
      <c r="M19" s="18">
        <f t="shared" si="7"/>
        <v>-409.24809265724275</v>
      </c>
      <c r="N19" s="126">
        <f t="shared" si="2"/>
        <v>-13505187.057689011</v>
      </c>
      <c r="O19" s="214">
        <f t="shared" si="8"/>
        <v>-179.4262705628941</v>
      </c>
      <c r="P19" s="18">
        <f t="shared" si="9"/>
        <v>-200.86194568954602</v>
      </c>
      <c r="Q19" s="18">
        <f t="shared" si="10"/>
        <v>-509.67906550201576</v>
      </c>
      <c r="R19" s="126">
        <f t="shared" si="3"/>
        <v>-16819409.161566518</v>
      </c>
      <c r="S19" s="214">
        <f t="shared" si="11"/>
        <v>-207.64211162568753</v>
      </c>
      <c r="T19" s="18">
        <f t="shared" si="12"/>
        <v>-301.29291853431903</v>
      </c>
      <c r="U19" s="18">
        <f t="shared" si="13"/>
        <v>-610.11003834678877</v>
      </c>
      <c r="V19" s="126">
        <f t="shared" si="4"/>
        <v>-20133631.265444029</v>
      </c>
      <c r="W19" s="214">
        <f t="shared" si="14"/>
        <v>-235.85795268848099</v>
      </c>
      <c r="X19" s="18">
        <f t="shared" si="15"/>
        <v>-401.72389137909204</v>
      </c>
      <c r="Y19" s="18">
        <f t="shared" si="16"/>
        <v>-710.54101119156178</v>
      </c>
      <c r="Z19" s="126">
        <f t="shared" si="5"/>
        <v>-23447853.36932154</v>
      </c>
      <c r="AA19" s="214">
        <f t="shared" si="17"/>
        <v>-264.07379375127448</v>
      </c>
    </row>
    <row r="20" spans="1:34" x14ac:dyDescent="0.2">
      <c r="A20" s="128" t="s">
        <v>785</v>
      </c>
      <c r="B20" s="211">
        <f>GWP!$AC23</f>
        <v>0.17002225294370782</v>
      </c>
      <c r="C20" s="211">
        <f>GWP!$AC23</f>
        <v>0.17002225294370782</v>
      </c>
      <c r="D20" s="211">
        <f>GWP!$AC23</f>
        <v>0.17002225294370782</v>
      </c>
      <c r="E20" s="211">
        <f>GWP!$AC23</f>
        <v>0.17002225294370782</v>
      </c>
      <c r="F20" s="211">
        <f>GWP!$AC23</f>
        <v>0.17002225294370782</v>
      </c>
      <c r="G20" s="126">
        <f>'Commercial Viability'!D26</f>
        <v>644490</v>
      </c>
      <c r="H20" s="126">
        <f t="shared" si="18"/>
        <v>64449000</v>
      </c>
      <c r="I20" s="126">
        <f>'Commercial Viability'!H26</f>
        <v>-308.81711981246974</v>
      </c>
      <c r="J20" s="131">
        <f t="shared" si="0"/>
        <v>-10190964.953811502</v>
      </c>
      <c r="K20" s="216">
        <f t="shared" si="1"/>
        <v>-151.21042950010062</v>
      </c>
      <c r="L20" s="18">
        <f t="shared" si="6"/>
        <v>-8.5011126471853906</v>
      </c>
      <c r="M20" s="18">
        <f t="shared" si="7"/>
        <v>-317.31823245965512</v>
      </c>
      <c r="N20" s="126">
        <f t="shared" si="2"/>
        <v>-10471501.67116862</v>
      </c>
      <c r="O20" s="214">
        <f t="shared" si="8"/>
        <v>-153.59879671905233</v>
      </c>
      <c r="P20" s="18">
        <f t="shared" si="9"/>
        <v>-17.002225294370781</v>
      </c>
      <c r="Q20" s="18">
        <f t="shared" si="10"/>
        <v>-325.8193451068405</v>
      </c>
      <c r="R20" s="126">
        <f t="shared" si="3"/>
        <v>-10752038.388525737</v>
      </c>
      <c r="S20" s="214">
        <f t="shared" si="11"/>
        <v>-155.98716393800407</v>
      </c>
      <c r="T20" s="18">
        <f t="shared" si="12"/>
        <v>-25.503337941556172</v>
      </c>
      <c r="U20" s="18">
        <f t="shared" si="13"/>
        <v>-334.32045775402594</v>
      </c>
      <c r="V20" s="126">
        <f t="shared" si="4"/>
        <v>-11032575.105882855</v>
      </c>
      <c r="W20" s="214">
        <f t="shared" si="14"/>
        <v>-158.37553115695579</v>
      </c>
      <c r="X20" s="18">
        <f t="shared" si="15"/>
        <v>-34.004450588741562</v>
      </c>
      <c r="Y20" s="18">
        <f t="shared" si="16"/>
        <v>-342.82157040121132</v>
      </c>
      <c r="Z20" s="126">
        <f t="shared" si="5"/>
        <v>-11313111.823239973</v>
      </c>
      <c r="AA20" s="214">
        <f t="shared" si="17"/>
        <v>-160.7638983759075</v>
      </c>
    </row>
    <row r="21" spans="1:34" x14ac:dyDescent="0.2">
      <c r="A21" s="128" t="s">
        <v>784</v>
      </c>
      <c r="B21" s="211">
        <f>GWP!$AC24</f>
        <v>0.19068042403831753</v>
      </c>
      <c r="C21" s="211">
        <f>GWP!$AC24</f>
        <v>0.19068042403831753</v>
      </c>
      <c r="D21" s="211">
        <f>GWP!$AC24</f>
        <v>0.19068042403831753</v>
      </c>
      <c r="E21" s="211">
        <f>GWP!$AC24</f>
        <v>0.19068042403831753</v>
      </c>
      <c r="F21" s="211">
        <f>GWP!$AC24</f>
        <v>0.19068042403831753</v>
      </c>
      <c r="G21" s="126">
        <f>'Commercial Viability'!D27</f>
        <v>644490</v>
      </c>
      <c r="H21" s="126">
        <f t="shared" si="18"/>
        <v>64449000</v>
      </c>
      <c r="I21" s="126">
        <f>'Commercial Viability'!H27</f>
        <v>-308.81711981246974</v>
      </c>
      <c r="J21" s="131">
        <f t="shared" si="0"/>
        <v>-10190964.953811502</v>
      </c>
      <c r="K21" s="216">
        <f t="shared" si="1"/>
        <v>-151.21042950010062</v>
      </c>
      <c r="L21" s="18">
        <f t="shared" si="6"/>
        <v>-9.534021201915877</v>
      </c>
      <c r="M21" s="18">
        <f t="shared" si="7"/>
        <v>-318.35114101438563</v>
      </c>
      <c r="N21" s="126">
        <f t="shared" si="2"/>
        <v>-10505587.653474726</v>
      </c>
      <c r="O21" s="214">
        <f t="shared" si="8"/>
        <v>-153.88898990136593</v>
      </c>
      <c r="P21" s="18">
        <f t="shared" si="9"/>
        <v>-19.068042403831754</v>
      </c>
      <c r="Q21" s="18">
        <f t="shared" si="10"/>
        <v>-327.88516221630152</v>
      </c>
      <c r="R21" s="126">
        <f t="shared" si="3"/>
        <v>-10820210.353137949</v>
      </c>
      <c r="S21" s="214">
        <f t="shared" si="11"/>
        <v>-156.56755030263125</v>
      </c>
      <c r="T21" s="18">
        <f t="shared" si="12"/>
        <v>-28.602063605747631</v>
      </c>
      <c r="U21" s="18">
        <f t="shared" si="13"/>
        <v>-337.41918341821736</v>
      </c>
      <c r="V21" s="126">
        <f t="shared" si="4"/>
        <v>-11134833.052801173</v>
      </c>
      <c r="W21" s="214">
        <f t="shared" si="14"/>
        <v>-159.24611070389659</v>
      </c>
      <c r="X21" s="18">
        <f t="shared" si="15"/>
        <v>-38.136084807663508</v>
      </c>
      <c r="Y21" s="18">
        <f t="shared" si="16"/>
        <v>-346.95320462013325</v>
      </c>
      <c r="Z21" s="126">
        <f t="shared" si="5"/>
        <v>-11449455.752464397</v>
      </c>
      <c r="AA21" s="214">
        <f t="shared" si="17"/>
        <v>-161.92467110516191</v>
      </c>
      <c r="AG21" s="39" t="s">
        <v>134</v>
      </c>
      <c r="AH21">
        <v>100</v>
      </c>
    </row>
    <row r="22" spans="1:34" x14ac:dyDescent="0.2">
      <c r="A22" s="66" t="s">
        <v>154</v>
      </c>
      <c r="B22" s="211">
        <f>GWP!$AC25</f>
        <v>5.365234222320348</v>
      </c>
      <c r="C22" s="211">
        <f>GWP!$AC25</f>
        <v>5.365234222320348</v>
      </c>
      <c r="D22" s="211">
        <f>GWP!$AC25</f>
        <v>5.365234222320348</v>
      </c>
      <c r="E22" s="211">
        <f>GWP!$AC25</f>
        <v>5.365234222320348</v>
      </c>
      <c r="F22" s="211">
        <f>GWP!$AC25</f>
        <v>5.365234222320348</v>
      </c>
      <c r="G22" s="126">
        <f>'Commercial Viability'!D28</f>
        <v>920699.99999999988</v>
      </c>
      <c r="H22" s="126">
        <f t="shared" si="18"/>
        <v>92069999.999999985</v>
      </c>
      <c r="I22" s="126">
        <f>'Commercial Viability'!H28</f>
        <v>-347.31846296586593</v>
      </c>
      <c r="J22" s="131">
        <f t="shared" si="0"/>
        <v>-11461509.277873576</v>
      </c>
      <c r="K22" s="216">
        <f t="shared" si="1"/>
        <v>-189.64828956178064</v>
      </c>
      <c r="L22" s="18">
        <f t="shared" si="6"/>
        <v>-268.26171111601741</v>
      </c>
      <c r="M22" s="18">
        <f t="shared" si="7"/>
        <v>-615.58017408188334</v>
      </c>
      <c r="N22" s="126">
        <f t="shared" si="2"/>
        <v>-20314145.744702149</v>
      </c>
      <c r="O22" s="214">
        <f t="shared" si="8"/>
        <v>-265.01577420998404</v>
      </c>
      <c r="P22" s="18">
        <f t="shared" si="9"/>
        <v>-536.52342223203482</v>
      </c>
      <c r="Q22" s="18">
        <f t="shared" si="10"/>
        <v>-883.84188519790075</v>
      </c>
      <c r="R22" s="126">
        <f t="shared" si="3"/>
        <v>-29166782.211530726</v>
      </c>
      <c r="S22" s="214">
        <f t="shared" si="11"/>
        <v>-340.38325885818745</v>
      </c>
      <c r="T22" s="18">
        <f t="shared" si="12"/>
        <v>-804.78513334805223</v>
      </c>
      <c r="U22" s="18">
        <f t="shared" si="13"/>
        <v>-1152.1035963139182</v>
      </c>
      <c r="V22" s="126">
        <f t="shared" si="4"/>
        <v>-38019418.6783593</v>
      </c>
      <c r="W22" s="214">
        <f t="shared" si="14"/>
        <v>-415.75074350639085</v>
      </c>
      <c r="X22" s="18">
        <f t="shared" si="15"/>
        <v>-1073.0468444640696</v>
      </c>
      <c r="Y22" s="18">
        <f t="shared" si="16"/>
        <v>-1420.3653074299355</v>
      </c>
      <c r="Z22" s="126">
        <f t="shared" si="5"/>
        <v>-46872055.14518787</v>
      </c>
      <c r="AA22" s="214">
        <f t="shared" si="17"/>
        <v>-491.11822815459419</v>
      </c>
      <c r="AG22" s="39" t="s">
        <v>135</v>
      </c>
      <c r="AH22">
        <v>330</v>
      </c>
    </row>
    <row r="23" spans="1:34" x14ac:dyDescent="0.2">
      <c r="A23" s="66" t="s">
        <v>129</v>
      </c>
      <c r="B23" s="211">
        <f>GWP!$AC26</f>
        <v>-0.64984045146280833</v>
      </c>
      <c r="C23" s="211">
        <f>GWP!$AC26</f>
        <v>-0.64984045146280833</v>
      </c>
      <c r="D23" s="211">
        <f>GWP!$AC26</f>
        <v>-0.64984045146280833</v>
      </c>
      <c r="E23" s="211">
        <f>GWP!$AC26</f>
        <v>-0.64984045146280833</v>
      </c>
      <c r="F23" s="211">
        <f>GWP!$AC26</f>
        <v>-0.64984045146280833</v>
      </c>
      <c r="G23" s="126">
        <f>'Commercial Viability'!D29</f>
        <v>196407.39117999998</v>
      </c>
      <c r="H23" s="126">
        <f t="shared" si="18"/>
        <v>19640739.117999997</v>
      </c>
      <c r="I23" s="126">
        <f>'Commercial Viability'!H29</f>
        <v>-43.136429381369169</v>
      </c>
      <c r="J23" s="131">
        <f t="shared" si="0"/>
        <v>-1423502.1695851826</v>
      </c>
      <c r="K23" s="216">
        <f t="shared" si="1"/>
        <v>-31.759815543978014</v>
      </c>
      <c r="L23" s="18">
        <f t="shared" si="6"/>
        <v>32.492022573140417</v>
      </c>
      <c r="M23" s="18">
        <f t="shared" si="7"/>
        <v>-10.644406808228752</v>
      </c>
      <c r="N23" s="126">
        <f t="shared" si="2"/>
        <v>-351265.42467154883</v>
      </c>
      <c r="O23" s="214">
        <f t="shared" si="8"/>
        <v>-22.63125969348928</v>
      </c>
      <c r="P23" s="18">
        <f t="shared" si="9"/>
        <v>64.984045146280835</v>
      </c>
      <c r="Q23" s="18">
        <f t="shared" si="10"/>
        <v>21.847615764911666</v>
      </c>
      <c r="R23" s="126">
        <f t="shared" si="3"/>
        <v>720971.32024208503</v>
      </c>
      <c r="S23" s="214">
        <f t="shared" si="11"/>
        <v>-13.502703843000548</v>
      </c>
      <c r="T23" s="18">
        <f t="shared" si="12"/>
        <v>97.476067719421252</v>
      </c>
      <c r="U23" s="18">
        <f t="shared" si="13"/>
        <v>54.339638338052083</v>
      </c>
      <c r="V23" s="126">
        <f t="shared" si="4"/>
        <v>1793208.0651557187</v>
      </c>
      <c r="W23" s="214">
        <f t="shared" si="14"/>
        <v>-4.3741479925118183</v>
      </c>
      <c r="X23" s="18">
        <f t="shared" si="15"/>
        <v>129.96809029256167</v>
      </c>
      <c r="Y23" s="18">
        <f t="shared" si="16"/>
        <v>86.8316609111925</v>
      </c>
      <c r="Z23" s="126">
        <f t="shared" si="5"/>
        <v>2865444.8100693524</v>
      </c>
      <c r="AA23" s="214">
        <f t="shared" si="17"/>
        <v>4.7544078579769131</v>
      </c>
      <c r="AG23" s="39" t="s">
        <v>132</v>
      </c>
      <c r="AH23">
        <f>AH21*AH22</f>
        <v>33000</v>
      </c>
    </row>
    <row r="24" spans="1:34" x14ac:dyDescent="0.2">
      <c r="A24" s="66" t="s">
        <v>130</v>
      </c>
      <c r="B24" s="211">
        <f>GWP!$AC27</f>
        <v>-0.94259951356506133</v>
      </c>
      <c r="C24" s="211">
        <f>GWP!$AC27</f>
        <v>-0.94259951356506133</v>
      </c>
      <c r="D24" s="211">
        <f>GWP!$AC27</f>
        <v>-0.94259951356506133</v>
      </c>
      <c r="E24" s="211">
        <f>GWP!$AC27</f>
        <v>-0.94259951356506133</v>
      </c>
      <c r="F24" s="211">
        <f>GWP!$AC27</f>
        <v>-0.94259951356506133</v>
      </c>
      <c r="G24" s="126">
        <f>'Commercial Viability'!D30</f>
        <v>271195.30231252348</v>
      </c>
      <c r="H24" s="126">
        <f t="shared" si="18"/>
        <v>27119530.231252346</v>
      </c>
      <c r="I24" s="126">
        <f>'Commercial Viability'!H30</f>
        <v>75.663313390650302</v>
      </c>
      <c r="J24" s="131">
        <f t="shared" si="0"/>
        <v>2496889.3418914601</v>
      </c>
      <c r="K24" s="216">
        <f t="shared" si="1"/>
        <v>-5.8621037178733681</v>
      </c>
      <c r="L24" s="18">
        <f t="shared" si="6"/>
        <v>47.129975678253068</v>
      </c>
      <c r="M24" s="18">
        <f t="shared" si="7"/>
        <v>122.79328906890336</v>
      </c>
      <c r="N24" s="126">
        <f t="shared" si="2"/>
        <v>4052178.539273811</v>
      </c>
      <c r="O24" s="214">
        <f t="shared" si="8"/>
        <v>7.3789499666934271</v>
      </c>
      <c r="P24" s="18">
        <f t="shared" si="9"/>
        <v>94.259951356506136</v>
      </c>
      <c r="Q24" s="18">
        <f t="shared" si="10"/>
        <v>169.92326474715645</v>
      </c>
      <c r="R24" s="126">
        <f t="shared" si="3"/>
        <v>5607467.7366561629</v>
      </c>
      <c r="S24" s="214">
        <f t="shared" si="11"/>
        <v>20.62000365126023</v>
      </c>
      <c r="T24" s="18">
        <f t="shared" si="12"/>
        <v>141.38992703475921</v>
      </c>
      <c r="U24" s="18">
        <f t="shared" si="13"/>
        <v>217.05324042540951</v>
      </c>
      <c r="V24" s="126">
        <f t="shared" si="4"/>
        <v>7162756.9340385143</v>
      </c>
      <c r="W24" s="214">
        <f t="shared" si="14"/>
        <v>33.861057335827034</v>
      </c>
      <c r="X24" s="18">
        <f t="shared" si="15"/>
        <v>188.51990271301227</v>
      </c>
      <c r="Y24" s="18">
        <f t="shared" si="16"/>
        <v>264.18321610366257</v>
      </c>
      <c r="Z24" s="126">
        <f t="shared" si="5"/>
        <v>8718046.1314208657</v>
      </c>
      <c r="AA24" s="214">
        <f t="shared" si="17"/>
        <v>47.102111020393849</v>
      </c>
      <c r="AG24" s="39" t="s">
        <v>136</v>
      </c>
      <c r="AH24" s="59">
        <v>0.1</v>
      </c>
    </row>
    <row r="25" spans="1:34" x14ac:dyDescent="0.2">
      <c r="A25" s="66" t="s">
        <v>786</v>
      </c>
      <c r="B25" s="211">
        <f>GWP!$AC28</f>
        <v>-0.58732929161037228</v>
      </c>
      <c r="C25" s="211">
        <f>GWP!$AC28</f>
        <v>-0.58732929161037228</v>
      </c>
      <c r="D25" s="211">
        <f>GWP!$AC28</f>
        <v>-0.58732929161037228</v>
      </c>
      <c r="E25" s="211">
        <f>GWP!$AC28</f>
        <v>-0.58732929161037228</v>
      </c>
      <c r="F25" s="211">
        <f>GWP!$AC28</f>
        <v>-0.58732929161037228</v>
      </c>
      <c r="G25" s="126">
        <f>'Commercial Viability'!D31</f>
        <v>242508.19999999995</v>
      </c>
      <c r="H25" s="126">
        <f t="shared" si="18"/>
        <v>24250819.999999996</v>
      </c>
      <c r="I25" s="126">
        <f>'Commercial Viability'!H31</f>
        <v>-43.051321379668764</v>
      </c>
      <c r="J25" s="131">
        <f t="shared" si="0"/>
        <v>-1420693.6055290692</v>
      </c>
      <c r="K25" s="216">
        <f t="shared" si="1"/>
        <v>-36.345985536925262</v>
      </c>
      <c r="L25" s="18">
        <f t="shared" si="6"/>
        <v>29.366464580518613</v>
      </c>
      <c r="M25" s="18">
        <f t="shared" si="7"/>
        <v>-13.68485679915015</v>
      </c>
      <c r="N25" s="126">
        <f t="shared" si="2"/>
        <v>-451600.27437195496</v>
      </c>
      <c r="O25" s="214">
        <f t="shared" si="8"/>
        <v>-28.095547711726084</v>
      </c>
      <c r="P25" s="18">
        <f t="shared" si="9"/>
        <v>58.732929161037227</v>
      </c>
      <c r="Q25" s="18">
        <f t="shared" si="10"/>
        <v>15.681607781368463</v>
      </c>
      <c r="R25" s="126">
        <f t="shared" si="3"/>
        <v>517493.05678515928</v>
      </c>
      <c r="S25" s="214">
        <f t="shared" si="11"/>
        <v>-19.845109886526906</v>
      </c>
      <c r="T25" s="18">
        <f t="shared" si="12"/>
        <v>88.099393741555843</v>
      </c>
      <c r="U25" s="18">
        <f t="shared" si="13"/>
        <v>45.04807236188708</v>
      </c>
      <c r="V25" s="126">
        <f t="shared" si="4"/>
        <v>1486586.3879422736</v>
      </c>
      <c r="W25" s="214">
        <f t="shared" si="14"/>
        <v>-11.594672061327724</v>
      </c>
      <c r="X25" s="18">
        <f t="shared" si="15"/>
        <v>117.46585832207445</v>
      </c>
      <c r="Y25" s="18">
        <f t="shared" si="16"/>
        <v>74.41453694240569</v>
      </c>
      <c r="Z25" s="126">
        <f t="shared" si="5"/>
        <v>2455679.7190993875</v>
      </c>
      <c r="AA25" s="214">
        <f t="shared" si="17"/>
        <v>-3.3442342361285462</v>
      </c>
      <c r="AG25" s="39" t="s">
        <v>133</v>
      </c>
      <c r="AH25">
        <v>20</v>
      </c>
    </row>
    <row r="26" spans="1:34" x14ac:dyDescent="0.2">
      <c r="A26" s="66" t="s">
        <v>787</v>
      </c>
      <c r="B26" s="211">
        <f>GWP!$AC29</f>
        <v>-0.81128410547843721</v>
      </c>
      <c r="C26" s="211">
        <f>GWP!$AC29</f>
        <v>-0.81128410547843721</v>
      </c>
      <c r="D26" s="211">
        <f>GWP!$AC29</f>
        <v>-0.81128410547843721</v>
      </c>
      <c r="E26" s="211">
        <f>GWP!$AC29</f>
        <v>-0.81128410547843721</v>
      </c>
      <c r="F26" s="211">
        <f>GWP!$AC29</f>
        <v>-0.81128410547843721</v>
      </c>
      <c r="G26" s="126">
        <f>'Commercial Viability'!D32</f>
        <v>314991.14420061081</v>
      </c>
      <c r="H26" s="126">
        <f t="shared" si="18"/>
        <v>31499114.420061082</v>
      </c>
      <c r="I26" s="126">
        <f>'Commercial Viability'!H32</f>
        <v>-19.864753744669287</v>
      </c>
      <c r="J26" s="131">
        <f t="shared" si="0"/>
        <v>-655536.87357408646</v>
      </c>
      <c r="K26" s="216">
        <f t="shared" si="1"/>
        <v>-37.080069363885379</v>
      </c>
      <c r="L26" s="18">
        <f t="shared" si="6"/>
        <v>40.564205273921857</v>
      </c>
      <c r="M26" s="18">
        <f t="shared" si="7"/>
        <v>20.69945152925257</v>
      </c>
      <c r="N26" s="126">
        <f t="shared" si="2"/>
        <v>683081.90046533488</v>
      </c>
      <c r="O26" s="214">
        <f t="shared" si="8"/>
        <v>-25.683653134635676</v>
      </c>
      <c r="P26" s="18">
        <f t="shared" si="9"/>
        <v>81.128410547843714</v>
      </c>
      <c r="Q26" s="18">
        <f t="shared" si="10"/>
        <v>61.263656803174428</v>
      </c>
      <c r="R26" s="126">
        <f t="shared" si="3"/>
        <v>2021700.674504756</v>
      </c>
      <c r="S26" s="214">
        <f t="shared" si="11"/>
        <v>-14.287236905385971</v>
      </c>
      <c r="T26" s="18">
        <f t="shared" si="12"/>
        <v>121.69261582176559</v>
      </c>
      <c r="U26" s="18">
        <f t="shared" si="13"/>
        <v>101.8278620770963</v>
      </c>
      <c r="V26" s="126">
        <f t="shared" si="4"/>
        <v>3360319.4485441777</v>
      </c>
      <c r="W26" s="214">
        <f t="shared" si="14"/>
        <v>-2.8908206761362627</v>
      </c>
      <c r="X26" s="18">
        <f t="shared" si="15"/>
        <v>162.25682109568743</v>
      </c>
      <c r="Y26" s="18">
        <f t="shared" si="16"/>
        <v>142.39206735101814</v>
      </c>
      <c r="Z26" s="126">
        <f t="shared" si="5"/>
        <v>4698938.2225835985</v>
      </c>
      <c r="AA26" s="214">
        <f t="shared" si="17"/>
        <v>8.5055955531134391</v>
      </c>
    </row>
    <row r="27" spans="1:34" x14ac:dyDescent="0.2">
      <c r="A27" s="66" t="s">
        <v>155</v>
      </c>
      <c r="B27" s="211">
        <f>GWP!$AC30</f>
        <v>-0.46830442207276918</v>
      </c>
      <c r="C27" s="211">
        <f>GWP!$AC30</f>
        <v>-0.46830442207276918</v>
      </c>
      <c r="D27" s="211">
        <f>GWP!$AC30</f>
        <v>-0.46830442207276918</v>
      </c>
      <c r="E27" s="211">
        <f>GWP!$AC30</f>
        <v>-0.46830442207276918</v>
      </c>
      <c r="F27" s="211">
        <f>GWP!$AC30</f>
        <v>-0.46830442207276918</v>
      </c>
      <c r="G27" s="126">
        <f>'Commercial Viability'!D33</f>
        <v>448062.75000000006</v>
      </c>
      <c r="H27" s="126">
        <f t="shared" si="18"/>
        <v>44806275.000000007</v>
      </c>
      <c r="I27" s="126">
        <f>'Commercial Viability'!H33</f>
        <v>-195.72351012775425</v>
      </c>
      <c r="J27" s="131">
        <f t="shared" si="0"/>
        <v>-6458875.8342158906</v>
      </c>
      <c r="K27" s="216">
        <f t="shared" si="1"/>
        <v>-99.794325972605733</v>
      </c>
      <c r="L27" s="18">
        <f t="shared" si="6"/>
        <v>23.415221103638459</v>
      </c>
      <c r="M27" s="18">
        <f t="shared" si="7"/>
        <v>-172.30828902411579</v>
      </c>
      <c r="N27" s="126">
        <f t="shared" si="2"/>
        <v>-5686173.5377958212</v>
      </c>
      <c r="O27" s="214">
        <f t="shared" si="8"/>
        <v>-93.215875735629709</v>
      </c>
      <c r="P27" s="18">
        <f t="shared" si="9"/>
        <v>46.830442207276917</v>
      </c>
      <c r="Q27" s="18">
        <f t="shared" si="10"/>
        <v>-148.89306792047734</v>
      </c>
      <c r="R27" s="126">
        <f t="shared" si="3"/>
        <v>-4913471.2413757518</v>
      </c>
      <c r="S27" s="214">
        <f t="shared" si="11"/>
        <v>-86.637425498653684</v>
      </c>
      <c r="T27" s="18">
        <f t="shared" si="12"/>
        <v>70.245663310915376</v>
      </c>
      <c r="U27" s="18">
        <f t="shared" si="13"/>
        <v>-125.47784681683888</v>
      </c>
      <c r="V27" s="126">
        <f t="shared" si="4"/>
        <v>-4140768.9449556828</v>
      </c>
      <c r="W27" s="214">
        <f t="shared" si="14"/>
        <v>-80.058975261677659</v>
      </c>
      <c r="X27" s="18">
        <f t="shared" si="15"/>
        <v>93.660884414553834</v>
      </c>
      <c r="Y27" s="18">
        <f t="shared" si="16"/>
        <v>-102.06262571320042</v>
      </c>
      <c r="Z27" s="126">
        <f t="shared" si="5"/>
        <v>-3368066.6485356139</v>
      </c>
      <c r="AA27" s="214">
        <f t="shared" si="17"/>
        <v>-73.48052502470162</v>
      </c>
    </row>
    <row r="28" spans="1:34" x14ac:dyDescent="0.2">
      <c r="A28" s="66" t="s">
        <v>156</v>
      </c>
      <c r="B28" s="211">
        <f>GWP!$AC31</f>
        <v>-0.5231873803281164</v>
      </c>
      <c r="C28" s="211">
        <f>GWP!$AC31</f>
        <v>-0.5231873803281164</v>
      </c>
      <c r="D28" s="211">
        <f>GWP!$AC31</f>
        <v>-0.5231873803281164</v>
      </c>
      <c r="E28" s="211">
        <f>GWP!$AC31</f>
        <v>-0.5231873803281164</v>
      </c>
      <c r="F28" s="211">
        <f>GWP!$AC31</f>
        <v>-0.5231873803281164</v>
      </c>
      <c r="G28" s="126">
        <f>'Commercial Viability'!D34</f>
        <v>420812.15000000008</v>
      </c>
      <c r="H28" s="126">
        <f t="shared" si="18"/>
        <v>42081215.000000007</v>
      </c>
      <c r="I28" s="126">
        <f>'Commercial Viability'!H34</f>
        <v>-182.88428512775431</v>
      </c>
      <c r="J28" s="131">
        <f t="shared" si="0"/>
        <v>-6035181.4092158927</v>
      </c>
      <c r="K28" s="216">
        <f t="shared" si="1"/>
        <v>-93.462116487661802</v>
      </c>
      <c r="L28" s="18">
        <f t="shared" si="6"/>
        <v>26.159369016405819</v>
      </c>
      <c r="M28" s="18">
        <f t="shared" si="7"/>
        <v>-156.72491611134848</v>
      </c>
      <c r="N28" s="126">
        <f t="shared" si="2"/>
        <v>-5171922.2316744998</v>
      </c>
      <c r="O28" s="214">
        <f t="shared" si="8"/>
        <v>-86.112704472996768</v>
      </c>
      <c r="P28" s="18">
        <f t="shared" si="9"/>
        <v>52.318738032811638</v>
      </c>
      <c r="Q28" s="18">
        <f t="shared" si="10"/>
        <v>-130.56554709494267</v>
      </c>
      <c r="R28" s="126">
        <f t="shared" si="3"/>
        <v>-4308663.0541331079</v>
      </c>
      <c r="S28" s="214">
        <f t="shared" si="11"/>
        <v>-78.763292458331762</v>
      </c>
      <c r="T28" s="18">
        <f t="shared" si="12"/>
        <v>78.478107049217456</v>
      </c>
      <c r="U28" s="18">
        <f t="shared" si="13"/>
        <v>-104.40617807853685</v>
      </c>
      <c r="V28" s="126">
        <f t="shared" si="4"/>
        <v>-3445403.876591716</v>
      </c>
      <c r="W28" s="214">
        <f t="shared" si="14"/>
        <v>-71.413880443666756</v>
      </c>
      <c r="X28" s="18">
        <f t="shared" si="15"/>
        <v>104.63747606562328</v>
      </c>
      <c r="Y28" s="18">
        <f t="shared" si="16"/>
        <v>-78.246809062131035</v>
      </c>
      <c r="Z28" s="126">
        <f t="shared" si="5"/>
        <v>-2582144.699050324</v>
      </c>
      <c r="AA28" s="214">
        <f t="shared" si="17"/>
        <v>-64.064468429001735</v>
      </c>
      <c r="AC28" t="s">
        <v>144</v>
      </c>
      <c r="AD28" t="s">
        <v>145</v>
      </c>
      <c r="AE28">
        <v>-400000000</v>
      </c>
      <c r="AF28">
        <v>0</v>
      </c>
    </row>
    <row r="29" spans="1:34" x14ac:dyDescent="0.2">
      <c r="A29" s="67" t="s">
        <v>157</v>
      </c>
      <c r="B29" s="211">
        <f>GWP!$AC32</f>
        <v>-1.3978888887710346</v>
      </c>
      <c r="C29" s="211">
        <f>GWP!$AC32</f>
        <v>-1.3978888887710346</v>
      </c>
      <c r="D29" s="211">
        <f>GWP!$AC32</f>
        <v>-1.3978888887710346</v>
      </c>
      <c r="E29" s="211">
        <f>GWP!$AC32</f>
        <v>-1.3978888887710346</v>
      </c>
      <c r="F29" s="211">
        <f>GWP!$AC32</f>
        <v>-1.3978888887710346</v>
      </c>
      <c r="G29" s="126">
        <f>'Commercial Viability'!D35</f>
        <v>886317.4458333333</v>
      </c>
      <c r="H29" s="126">
        <f t="shared" si="18"/>
        <v>88631744.583333328</v>
      </c>
      <c r="I29" s="126">
        <f>'Commercial Viability'!H35</f>
        <v>-104.98503405130378</v>
      </c>
      <c r="J29" s="131">
        <f t="shared" si="0"/>
        <v>-3464506.1236930247</v>
      </c>
      <c r="K29" s="216">
        <f t="shared" si="1"/>
        <v>-118.12703822488764</v>
      </c>
      <c r="L29" s="18">
        <f t="shared" si="6"/>
        <v>69.89444443855173</v>
      </c>
      <c r="M29" s="18">
        <f t="shared" si="7"/>
        <v>-35.090589612752055</v>
      </c>
      <c r="N29" s="126">
        <f t="shared" si="2"/>
        <v>-1157989.4572208179</v>
      </c>
      <c r="O29" s="214">
        <f t="shared" si="8"/>
        <v>-98.4903616141914</v>
      </c>
      <c r="P29" s="18">
        <f t="shared" si="9"/>
        <v>139.78888887710346</v>
      </c>
      <c r="Q29" s="18">
        <f t="shared" si="10"/>
        <v>34.803854825799675</v>
      </c>
      <c r="R29" s="126">
        <f t="shared" si="3"/>
        <v>1148527.2092513894</v>
      </c>
      <c r="S29" s="214">
        <f t="shared" si="11"/>
        <v>-78.853685003495144</v>
      </c>
      <c r="T29" s="18">
        <f t="shared" si="12"/>
        <v>209.68333331565518</v>
      </c>
      <c r="U29" s="18">
        <f t="shared" si="13"/>
        <v>104.69829926435139</v>
      </c>
      <c r="V29" s="126">
        <f t="shared" si="4"/>
        <v>3455043.8757235957</v>
      </c>
      <c r="W29" s="214">
        <f t="shared" si="14"/>
        <v>-59.217008392798903</v>
      </c>
      <c r="X29" s="18">
        <f t="shared" si="15"/>
        <v>279.57777775420692</v>
      </c>
      <c r="Y29" s="18">
        <f t="shared" si="16"/>
        <v>174.59274370290314</v>
      </c>
      <c r="Z29" s="126">
        <f t="shared" si="5"/>
        <v>5761560.5421958035</v>
      </c>
      <c r="AA29" s="214">
        <f t="shared" si="17"/>
        <v>-39.580331782102647</v>
      </c>
      <c r="AD29" t="s">
        <v>146</v>
      </c>
      <c r="AE29">
        <v>0</v>
      </c>
      <c r="AF29">
        <v>0</v>
      </c>
    </row>
    <row r="30" spans="1:34" x14ac:dyDescent="0.2">
      <c r="A30" s="67" t="s">
        <v>158</v>
      </c>
      <c r="B30" s="211">
        <f>GWP!$AC33</f>
        <v>-1.4923420111364036</v>
      </c>
      <c r="C30" s="211">
        <f>GWP!$AC33</f>
        <v>-1.4923420111364036</v>
      </c>
      <c r="D30" s="211">
        <f>GWP!$AC33</f>
        <v>-1.4923420111364036</v>
      </c>
      <c r="E30" s="211">
        <f>GWP!$AC33</f>
        <v>-1.4923420111364036</v>
      </c>
      <c r="F30" s="211">
        <f>GWP!$AC33</f>
        <v>-1.4923420111364036</v>
      </c>
      <c r="G30" s="126">
        <f>'Commercial Viability'!D36</f>
        <v>861392.68333333323</v>
      </c>
      <c r="H30" s="126">
        <f t="shared" si="18"/>
        <v>86139268.333333328</v>
      </c>
      <c r="I30" s="126">
        <f>'Commercial Viability'!H36</f>
        <v>-99.747531831618346</v>
      </c>
      <c r="J30" s="131">
        <f t="shared" si="0"/>
        <v>-3291668.5504434053</v>
      </c>
      <c r="K30" s="216">
        <f t="shared" si="1"/>
        <v>-114.16309828185857</v>
      </c>
      <c r="L30" s="18">
        <f t="shared" si="6"/>
        <v>74.617100556820176</v>
      </c>
      <c r="M30" s="18">
        <f t="shared" si="7"/>
        <v>-25.13043127479817</v>
      </c>
      <c r="N30" s="126">
        <f t="shared" si="2"/>
        <v>-829304.2320683396</v>
      </c>
      <c r="O30" s="214">
        <f t="shared" si="8"/>
        <v>-93.199602756112569</v>
      </c>
      <c r="P30" s="18">
        <f t="shared" si="9"/>
        <v>149.23420111364035</v>
      </c>
      <c r="Q30" s="18">
        <f t="shared" si="10"/>
        <v>49.486669282022007</v>
      </c>
      <c r="R30" s="126">
        <f t="shared" si="3"/>
        <v>1633060.0863067263</v>
      </c>
      <c r="S30" s="214">
        <f t="shared" si="11"/>
        <v>-72.236107230366585</v>
      </c>
      <c r="T30" s="18">
        <f t="shared" si="12"/>
        <v>223.85130167046054</v>
      </c>
      <c r="U30" s="18">
        <f t="shared" si="13"/>
        <v>124.1037698388422</v>
      </c>
      <c r="V30" s="126">
        <f t="shared" si="4"/>
        <v>4095424.4046817925</v>
      </c>
      <c r="W30" s="214">
        <f t="shared" si="14"/>
        <v>-51.272611704620601</v>
      </c>
      <c r="X30" s="18">
        <f t="shared" si="15"/>
        <v>298.46840222728071</v>
      </c>
      <c r="Y30" s="18">
        <f t="shared" si="16"/>
        <v>198.72087039566236</v>
      </c>
      <c r="Z30" s="126">
        <f t="shared" si="5"/>
        <v>6557788.7230568575</v>
      </c>
      <c r="AA30" s="214">
        <f t="shared" si="17"/>
        <v>-30.309116178874618</v>
      </c>
    </row>
    <row r="31" spans="1:34" x14ac:dyDescent="0.2">
      <c r="A31" s="67" t="s">
        <v>159</v>
      </c>
      <c r="B31" s="211">
        <f>GWP!$AC34</f>
        <v>-1.3353465299992</v>
      </c>
      <c r="C31" s="211">
        <f>GWP!$AC34</f>
        <v>-1.3353465299992</v>
      </c>
      <c r="D31" s="211">
        <f>GWP!$AC34</f>
        <v>-1.3353465299992</v>
      </c>
      <c r="E31" s="211">
        <f>GWP!$AC34</f>
        <v>-1.3353465299992</v>
      </c>
      <c r="F31" s="211">
        <f>GWP!$AC34</f>
        <v>-1.3353465299992</v>
      </c>
      <c r="G31" s="126">
        <f>'Commercial Viability'!D37</f>
        <v>1620709.3562499997</v>
      </c>
      <c r="H31" s="126">
        <f t="shared" si="18"/>
        <v>162070935.62499997</v>
      </c>
      <c r="I31" s="126">
        <f>'Commercial Viability'!H37</f>
        <v>-429.54787334607806</v>
      </c>
      <c r="J31" s="131">
        <f t="shared" si="0"/>
        <v>-14175079.820420576</v>
      </c>
      <c r="K31" s="216">
        <f t="shared" si="1"/>
        <v>-282.75138090881433</v>
      </c>
      <c r="L31" s="18">
        <f t="shared" si="6"/>
        <v>66.767326499960006</v>
      </c>
      <c r="M31" s="18">
        <f t="shared" si="7"/>
        <v>-362.78054684611806</v>
      </c>
      <c r="N31" s="126">
        <f t="shared" si="2"/>
        <v>-11971758.045921896</v>
      </c>
      <c r="O31" s="214">
        <f t="shared" si="8"/>
        <v>-263.9932605864883</v>
      </c>
      <c r="P31" s="18">
        <f t="shared" si="9"/>
        <v>133.53465299992001</v>
      </c>
      <c r="Q31" s="18">
        <f t="shared" si="10"/>
        <v>-296.01322034615805</v>
      </c>
      <c r="R31" s="126">
        <f t="shared" si="3"/>
        <v>-9768436.271423215</v>
      </c>
      <c r="S31" s="214">
        <f t="shared" si="11"/>
        <v>-245.23514026416228</v>
      </c>
      <c r="T31" s="18">
        <f t="shared" si="12"/>
        <v>200.30197949987999</v>
      </c>
      <c r="U31" s="18">
        <f t="shared" si="13"/>
        <v>-229.24589384619807</v>
      </c>
      <c r="V31" s="126">
        <f t="shared" si="4"/>
        <v>-7565114.4969245363</v>
      </c>
      <c r="W31" s="214">
        <f t="shared" si="14"/>
        <v>-226.47701994183626</v>
      </c>
      <c r="X31" s="18">
        <f t="shared" si="15"/>
        <v>267.06930599984003</v>
      </c>
      <c r="Y31" s="18">
        <f t="shared" si="16"/>
        <v>-162.47856734623804</v>
      </c>
      <c r="Z31" s="126">
        <f t="shared" si="5"/>
        <v>-5361792.7224258557</v>
      </c>
      <c r="AA31" s="214">
        <f t="shared" si="17"/>
        <v>-207.71889961951024</v>
      </c>
    </row>
    <row r="32" spans="1:34" x14ac:dyDescent="0.2">
      <c r="A32" s="67" t="s">
        <v>160</v>
      </c>
      <c r="B32" s="211">
        <f>GWP!$AC35</f>
        <v>-1.5118591786547046</v>
      </c>
      <c r="C32" s="211">
        <f>GWP!$AC35</f>
        <v>-1.5118591786547046</v>
      </c>
      <c r="D32" s="211">
        <f>GWP!$AC35</f>
        <v>-1.5118591786547046</v>
      </c>
      <c r="E32" s="211">
        <f>GWP!$AC35</f>
        <v>-1.5118591786547046</v>
      </c>
      <c r="F32" s="211">
        <f>GWP!$AC35</f>
        <v>-1.5118591786547046</v>
      </c>
      <c r="G32" s="126">
        <f>'Commercial Viability'!D38</f>
        <v>1572014.989583333</v>
      </c>
      <c r="H32" s="126">
        <f t="shared" si="18"/>
        <v>157201498.95833331</v>
      </c>
      <c r="I32" s="126">
        <f>'Commercial Viability'!H38</f>
        <v>-421.7034542694671</v>
      </c>
      <c r="J32" s="131">
        <f t="shared" si="0"/>
        <v>-13916213.990892414</v>
      </c>
      <c r="K32" s="216">
        <f t="shared" si="1"/>
        <v>-275.67807350759148</v>
      </c>
      <c r="L32" s="18">
        <f t="shared" si="6"/>
        <v>75.592958932735229</v>
      </c>
      <c r="M32" s="18">
        <f t="shared" si="7"/>
        <v>-346.1104953367319</v>
      </c>
      <c r="N32" s="126">
        <f t="shared" si="2"/>
        <v>-11421646.346112153</v>
      </c>
      <c r="O32" s="214">
        <f t="shared" si="8"/>
        <v>-254.44041291050672</v>
      </c>
      <c r="P32" s="18">
        <f t="shared" si="9"/>
        <v>151.18591786547046</v>
      </c>
      <c r="Q32" s="18">
        <f t="shared" si="10"/>
        <v>-270.51753640399664</v>
      </c>
      <c r="R32" s="126">
        <f t="shared" si="3"/>
        <v>-8927078.7013318893</v>
      </c>
      <c r="S32" s="214">
        <f t="shared" si="11"/>
        <v>-233.20275231342191</v>
      </c>
      <c r="T32" s="18">
        <f t="shared" si="12"/>
        <v>226.77887679820569</v>
      </c>
      <c r="U32" s="18">
        <f t="shared" si="13"/>
        <v>-194.92457747126141</v>
      </c>
      <c r="V32" s="126">
        <f t="shared" si="4"/>
        <v>-6432511.0565516269</v>
      </c>
      <c r="W32" s="214">
        <f t="shared" si="14"/>
        <v>-211.96509171633707</v>
      </c>
      <c r="X32" s="18">
        <f t="shared" si="15"/>
        <v>302.37183573094092</v>
      </c>
      <c r="Y32" s="18">
        <f t="shared" si="16"/>
        <v>-119.33161853852619</v>
      </c>
      <c r="Z32" s="126">
        <f t="shared" si="5"/>
        <v>-3937943.411771364</v>
      </c>
      <c r="AA32" s="214">
        <f t="shared" si="17"/>
        <v>-190.72743111925226</v>
      </c>
    </row>
    <row r="33" spans="1:29" x14ac:dyDescent="0.2">
      <c r="A33" s="67" t="s">
        <v>139</v>
      </c>
      <c r="B33" s="211">
        <f>GWP!$AC36</f>
        <v>-0.2456645401631668</v>
      </c>
      <c r="C33" s="211">
        <f>GWP!$AC36</f>
        <v>-0.2456645401631668</v>
      </c>
      <c r="D33" s="211">
        <f>GWP!$AC36</f>
        <v>-0.2456645401631668</v>
      </c>
      <c r="E33" s="211">
        <f>GWP!$AC36</f>
        <v>-0.2456645401631668</v>
      </c>
      <c r="F33" s="211">
        <f>GWP!$AC36</f>
        <v>-0.2456645401631668</v>
      </c>
      <c r="G33" s="126">
        <f>'Commercial Viability'!D39</f>
        <v>443691.30000000005</v>
      </c>
      <c r="H33" s="126">
        <f t="shared" si="18"/>
        <v>44369130.000000007</v>
      </c>
      <c r="I33" s="126">
        <f>'Commercial Viability'!H39</f>
        <v>-134.75670169539868</v>
      </c>
      <c r="J33" s="131">
        <f t="shared" si="0"/>
        <v>-4446971.1559481565</v>
      </c>
      <c r="K33" s="216">
        <f t="shared" si="1"/>
        <v>-82.228702296093047</v>
      </c>
      <c r="L33" s="18">
        <f t="shared" si="6"/>
        <v>12.28322700815834</v>
      </c>
      <c r="M33" s="18">
        <f t="shared" si="7"/>
        <v>-122.47347468724034</v>
      </c>
      <c r="N33" s="126">
        <f t="shared" si="2"/>
        <v>-4041624.6646789312</v>
      </c>
      <c r="O33" s="214">
        <f t="shared" si="8"/>
        <v>-78.777759114091936</v>
      </c>
      <c r="P33" s="18">
        <f t="shared" si="9"/>
        <v>24.56645401631668</v>
      </c>
      <c r="Q33" s="18">
        <f t="shared" si="10"/>
        <v>-110.19024767908199</v>
      </c>
      <c r="R33" s="126">
        <f t="shared" si="3"/>
        <v>-3636278.1734097055</v>
      </c>
      <c r="S33" s="214">
        <f t="shared" si="11"/>
        <v>-75.326815932090824</v>
      </c>
      <c r="T33" s="18">
        <f t="shared" si="12"/>
        <v>36.849681024475018</v>
      </c>
      <c r="U33" s="18">
        <f t="shared" si="13"/>
        <v>-97.907020670923657</v>
      </c>
      <c r="V33" s="126">
        <f t="shared" si="4"/>
        <v>-3230931.6821404807</v>
      </c>
      <c r="W33" s="214">
        <f t="shared" si="14"/>
        <v>-71.875872750089727</v>
      </c>
      <c r="X33" s="18">
        <f t="shared" si="15"/>
        <v>49.13290803263336</v>
      </c>
      <c r="Y33" s="18">
        <f t="shared" si="16"/>
        <v>-85.623793662765308</v>
      </c>
      <c r="Z33" s="126">
        <f t="shared" si="5"/>
        <v>-2825585.190871255</v>
      </c>
      <c r="AA33" s="214">
        <f t="shared" si="17"/>
        <v>-68.424929568088601</v>
      </c>
      <c r="AB33" s="217"/>
      <c r="AC33" s="217"/>
    </row>
    <row r="34" spans="1:29" x14ac:dyDescent="0.2">
      <c r="A34" s="67" t="s">
        <v>140</v>
      </c>
      <c r="B34" s="211">
        <f>GWP!$AC37</f>
        <v>-0.19143014535834679</v>
      </c>
      <c r="C34" s="211">
        <f>GWP!$AC37</f>
        <v>-0.19143014535834679</v>
      </c>
      <c r="D34" s="211">
        <f>GWP!$AC37</f>
        <v>-0.19143014535834679</v>
      </c>
      <c r="E34" s="211">
        <f>GWP!$AC37</f>
        <v>-0.19143014535834679</v>
      </c>
      <c r="F34" s="211">
        <f>GWP!$AC37</f>
        <v>-0.19143014535834679</v>
      </c>
      <c r="G34" s="126">
        <f>'Commercial Viability'!D40</f>
        <v>443691.30000000005</v>
      </c>
      <c r="H34" s="126">
        <f t="shared" si="18"/>
        <v>44369130.000000007</v>
      </c>
      <c r="I34" s="126">
        <f>'Commercial Viability'!H40</f>
        <v>-145.10510673492047</v>
      </c>
      <c r="J34" s="131">
        <f t="shared" si="0"/>
        <v>-4788468.5222523753</v>
      </c>
      <c r="K34" s="216">
        <f t="shared" si="1"/>
        <v>-85.136061884253735</v>
      </c>
      <c r="L34" s="18">
        <f t="shared" si="6"/>
        <v>9.5715072679173403</v>
      </c>
      <c r="M34" s="18">
        <f t="shared" si="7"/>
        <v>-135.53359946700311</v>
      </c>
      <c r="N34" s="126">
        <f t="shared" si="2"/>
        <v>-4472608.7824111031</v>
      </c>
      <c r="O34" s="214">
        <f t="shared" si="8"/>
        <v>-82.446969862608697</v>
      </c>
      <c r="P34" s="18">
        <f t="shared" si="9"/>
        <v>19.143014535834681</v>
      </c>
      <c r="Q34" s="18">
        <f t="shared" si="10"/>
        <v>-125.96209219908579</v>
      </c>
      <c r="R34" s="126">
        <f t="shared" si="3"/>
        <v>-4156749.042569831</v>
      </c>
      <c r="S34" s="214">
        <f t="shared" si="11"/>
        <v>-79.757877840963658</v>
      </c>
      <c r="T34" s="18">
        <f t="shared" si="12"/>
        <v>28.714521803752017</v>
      </c>
      <c r="U34" s="18">
        <f t="shared" si="13"/>
        <v>-116.39058493116845</v>
      </c>
      <c r="V34" s="126">
        <f t="shared" si="4"/>
        <v>-3840889.3027285589</v>
      </c>
      <c r="W34" s="214">
        <f t="shared" si="14"/>
        <v>-77.068785819318634</v>
      </c>
      <c r="X34" s="18">
        <f t="shared" si="15"/>
        <v>38.286029071669361</v>
      </c>
      <c r="Y34" s="18">
        <f t="shared" si="16"/>
        <v>-106.81907766325111</v>
      </c>
      <c r="Z34" s="126">
        <f t="shared" si="5"/>
        <v>-3525029.5628872868</v>
      </c>
      <c r="AA34" s="214">
        <f t="shared" si="17"/>
        <v>-74.37969379767361</v>
      </c>
      <c r="AB34" s="217"/>
      <c r="AC34" s="217"/>
    </row>
    <row r="35" spans="1:29" x14ac:dyDescent="0.2">
      <c r="A35" s="45" t="s">
        <v>586</v>
      </c>
      <c r="B35" s="211">
        <f>GWP!$AC38</f>
        <v>-1.6233260338584823</v>
      </c>
      <c r="C35" s="211">
        <f>GWP!$AC38</f>
        <v>-1.6233260338584823</v>
      </c>
      <c r="D35" s="211">
        <f>GWP!$AC38</f>
        <v>-1.6233260338584823</v>
      </c>
      <c r="E35" s="211">
        <f>GWP!$AC38</f>
        <v>-1.6233260338584823</v>
      </c>
      <c r="F35" s="211">
        <f>GWP!$AC38</f>
        <v>-1.6233260338584823</v>
      </c>
      <c r="G35" s="126">
        <f>'Commercial Viability'!D41</f>
        <v>286390.15513333335</v>
      </c>
      <c r="H35" s="126">
        <f t="shared" si="18"/>
        <v>28639015.513333336</v>
      </c>
      <c r="I35" s="126">
        <f>'Commercial Viability'!H41</f>
        <v>-336.25925439423031</v>
      </c>
      <c r="J35" s="131">
        <f t="shared" si="0"/>
        <v>-11096555.3950096</v>
      </c>
      <c r="K35" s="216">
        <f t="shared" si="1"/>
        <v>-123.11024693857823</v>
      </c>
      <c r="L35" s="18">
        <f t="shared" si="6"/>
        <v>81.166301692924108</v>
      </c>
      <c r="M35" s="18">
        <f t="shared" si="7"/>
        <v>-255.09295270130622</v>
      </c>
      <c r="N35" s="126">
        <f t="shared" si="2"/>
        <v>-8418067.4391431045</v>
      </c>
      <c r="O35" s="214">
        <f t="shared" si="8"/>
        <v>-100.30676905370295</v>
      </c>
      <c r="P35" s="18">
        <f t="shared" si="9"/>
        <v>162.33260338584822</v>
      </c>
      <c r="Q35" s="18">
        <f t="shared" si="10"/>
        <v>-173.92665100838209</v>
      </c>
      <c r="R35" s="126">
        <f t="shared" si="3"/>
        <v>-5739579.4832766093</v>
      </c>
      <c r="S35" s="214">
        <f t="shared" si="11"/>
        <v>-77.503291168827687</v>
      </c>
      <c r="T35" s="18">
        <f t="shared" si="12"/>
        <v>243.49890507877234</v>
      </c>
      <c r="U35" s="18">
        <f t="shared" si="13"/>
        <v>-92.760349315457972</v>
      </c>
      <c r="V35" s="126">
        <f t="shared" si="4"/>
        <v>-3061091.5274101133</v>
      </c>
      <c r="W35" s="214">
        <f t="shared" si="14"/>
        <v>-54.699813283952402</v>
      </c>
      <c r="X35" s="18">
        <f t="shared" si="15"/>
        <v>324.66520677169643</v>
      </c>
      <c r="Y35" s="18">
        <f t="shared" si="16"/>
        <v>-11.594047622533878</v>
      </c>
      <c r="Z35" s="126">
        <f t="shared" si="5"/>
        <v>-382603.57154361799</v>
      </c>
      <c r="AA35" s="214">
        <f t="shared" si="17"/>
        <v>-31.896335399077131</v>
      </c>
    </row>
    <row r="36" spans="1:29" x14ac:dyDescent="0.2">
      <c r="A36" s="67" t="s">
        <v>142</v>
      </c>
      <c r="B36" s="211">
        <f>GWP!$AC39</f>
        <v>-3.6104007436215668</v>
      </c>
      <c r="C36" s="211">
        <f>GWP!$AC39</f>
        <v>-3.6104007436215668</v>
      </c>
      <c r="D36" s="211">
        <f>GWP!$AC39</f>
        <v>-3.6104007436215668</v>
      </c>
      <c r="E36" s="211">
        <f>GWP!$AC39</f>
        <v>-3.6104007436215668</v>
      </c>
      <c r="F36" s="211">
        <f>GWP!$AC39</f>
        <v>-3.6104007436215668</v>
      </c>
      <c r="G36" s="126">
        <f>'Commercial Viability'!D42</f>
        <v>271028.17068888887</v>
      </c>
      <c r="H36" s="126">
        <f t="shared" si="18"/>
        <v>27102817.068888888</v>
      </c>
      <c r="I36" s="126">
        <f>'Commercial Viability'!H42</f>
        <v>-460.9708543942304</v>
      </c>
      <c r="J36" s="131">
        <f t="shared" si="0"/>
        <v>-15212038.195009604</v>
      </c>
      <c r="K36" s="216">
        <f t="shared" si="1"/>
        <v>-156.61147354950421</v>
      </c>
      <c r="L36" s="18">
        <f t="shared" si="6"/>
        <v>180.52003718107835</v>
      </c>
      <c r="M36" s="18">
        <f t="shared" si="7"/>
        <v>-280.45081721315205</v>
      </c>
      <c r="N36" s="126">
        <f t="shared" si="2"/>
        <v>-9254876.9680340178</v>
      </c>
      <c r="O36" s="214">
        <f t="shared" si="8"/>
        <v>-105.89480185477245</v>
      </c>
      <c r="P36" s="18">
        <f t="shared" si="9"/>
        <v>361.0400743621567</v>
      </c>
      <c r="Q36" s="18">
        <f t="shared" si="10"/>
        <v>-99.930780032073699</v>
      </c>
      <c r="R36" s="126">
        <f t="shared" si="3"/>
        <v>-3297715.741058432</v>
      </c>
      <c r="S36" s="214">
        <f t="shared" si="11"/>
        <v>-55.178130160040681</v>
      </c>
      <c r="T36" s="18">
        <f t="shared" si="12"/>
        <v>541.56011154323505</v>
      </c>
      <c r="U36" s="18">
        <f t="shared" si="13"/>
        <v>80.589257149004652</v>
      </c>
      <c r="V36" s="126">
        <f t="shared" si="4"/>
        <v>2659445.4859171533</v>
      </c>
      <c r="W36" s="214">
        <f t="shared" si="14"/>
        <v>-4.4614584653089233</v>
      </c>
      <c r="X36" s="18">
        <f t="shared" si="15"/>
        <v>722.0801487243134</v>
      </c>
      <c r="Y36" s="18">
        <f t="shared" si="16"/>
        <v>261.109294330083</v>
      </c>
      <c r="Z36" s="126">
        <f t="shared" si="5"/>
        <v>8616606.7128927391</v>
      </c>
      <c r="AA36" s="214">
        <f t="shared" si="17"/>
        <v>46.255213229422836</v>
      </c>
    </row>
    <row r="37" spans="1:29" x14ac:dyDescent="0.2">
      <c r="A37" s="67" t="s">
        <v>141</v>
      </c>
      <c r="B37" s="211">
        <f>GWP!$AC40</f>
        <v>-0.74668473022106729</v>
      </c>
      <c r="C37" s="211">
        <f>GWP!$AC40</f>
        <v>-0.74668473022106729</v>
      </c>
      <c r="D37" s="211">
        <f>GWP!$AC40</f>
        <v>-0.74668473022106729</v>
      </c>
      <c r="E37" s="211">
        <f>GWP!$AC40</f>
        <v>-0.74668473022106729</v>
      </c>
      <c r="F37" s="211">
        <f>GWP!$AC40</f>
        <v>-0.74668473022106729</v>
      </c>
      <c r="G37" s="126">
        <f>'Commercial Viability'!D43</f>
        <v>144989.78067283021</v>
      </c>
      <c r="H37" s="126">
        <f t="shared" si="18"/>
        <v>14498978.067283021</v>
      </c>
      <c r="I37" s="126">
        <f>'Commercial Viability'!H43</f>
        <v>-6.1798271462752865</v>
      </c>
      <c r="J37" s="131">
        <f t="shared" si="0"/>
        <v>-203934.29582708445</v>
      </c>
      <c r="K37" s="216">
        <f t="shared" si="1"/>
        <v>-16.235185689450997</v>
      </c>
      <c r="L37" s="18">
        <f t="shared" si="6"/>
        <v>37.334236511053362</v>
      </c>
      <c r="M37" s="18">
        <f t="shared" si="7"/>
        <v>31.154409364778076</v>
      </c>
      <c r="N37" s="126">
        <f t="shared" si="2"/>
        <v>1028095.5090376765</v>
      </c>
      <c r="O37" s="214">
        <f t="shared" si="8"/>
        <v>-5.7462214410931454</v>
      </c>
      <c r="P37" s="18">
        <f t="shared" si="9"/>
        <v>74.668473022106724</v>
      </c>
      <c r="Q37" s="18">
        <f t="shared" si="10"/>
        <v>68.488645875831438</v>
      </c>
      <c r="R37" s="126">
        <f t="shared" si="3"/>
        <v>2260125.3139024372</v>
      </c>
      <c r="S37" s="214">
        <f t="shared" si="11"/>
        <v>4.7427428072647064</v>
      </c>
      <c r="T37" s="18">
        <f t="shared" si="12"/>
        <v>112.0027095331601</v>
      </c>
      <c r="U37" s="18">
        <f t="shared" si="13"/>
        <v>105.82288238688481</v>
      </c>
      <c r="V37" s="126">
        <f t="shared" si="4"/>
        <v>3492155.1187671986</v>
      </c>
      <c r="W37" s="214">
        <f t="shared" si="14"/>
        <v>15.231707055622564</v>
      </c>
      <c r="X37" s="18">
        <f t="shared" si="15"/>
        <v>149.33694604421345</v>
      </c>
      <c r="Y37" s="18">
        <f t="shared" si="16"/>
        <v>143.15711889793818</v>
      </c>
      <c r="Z37" s="126">
        <f t="shared" si="5"/>
        <v>4724184.9236319596</v>
      </c>
      <c r="AA37" s="214">
        <f t="shared" si="17"/>
        <v>25.720671303980417</v>
      </c>
    </row>
    <row r="38" spans="1:29" x14ac:dyDescent="0.2">
      <c r="A38" s="66" t="s">
        <v>73</v>
      </c>
      <c r="B38" s="211">
        <f>GWP!$AC41</f>
        <v>-1.9169907600165168</v>
      </c>
      <c r="C38" s="211">
        <f>GWP!$AC41</f>
        <v>-1.9169907600165168</v>
      </c>
      <c r="D38" s="211">
        <f>GWP!$AC41</f>
        <v>-1.9169907600165168</v>
      </c>
      <c r="E38" s="211">
        <f>GWP!$AC41</f>
        <v>-1.9169907600165168</v>
      </c>
      <c r="F38" s="211">
        <f>GWP!$AC41</f>
        <v>-1.9169907600165168</v>
      </c>
      <c r="G38" s="126">
        <f>'Commercial Viability'!D44</f>
        <v>68694.184942499982</v>
      </c>
      <c r="H38" s="126">
        <f t="shared" si="18"/>
        <v>6869418.4942499986</v>
      </c>
      <c r="I38" s="126">
        <f>'Commercial Viability'!H44</f>
        <v>-775.72234427415549</v>
      </c>
      <c r="J38" s="131">
        <f t="shared" si="0"/>
        <v>-25598837.36104713</v>
      </c>
      <c r="K38" s="216">
        <f t="shared" si="1"/>
        <v>-224.8067515192609</v>
      </c>
      <c r="L38" s="18">
        <f t="shared" si="6"/>
        <v>95.849538000825845</v>
      </c>
      <c r="M38" s="18">
        <f t="shared" si="7"/>
        <v>-679.87280627332962</v>
      </c>
      <c r="N38" s="126">
        <f t="shared" si="2"/>
        <v>-22435802.607019879</v>
      </c>
      <c r="O38" s="214">
        <f t="shared" si="8"/>
        <v>-197.87805359303906</v>
      </c>
      <c r="P38" s="18">
        <f t="shared" si="9"/>
        <v>191.69907600165169</v>
      </c>
      <c r="Q38" s="18">
        <f t="shared" si="10"/>
        <v>-584.02326827250386</v>
      </c>
      <c r="R38" s="126">
        <f t="shared" si="3"/>
        <v>-19272767.852992628</v>
      </c>
      <c r="S38" s="214">
        <f t="shared" si="11"/>
        <v>-170.94935566681718</v>
      </c>
      <c r="T38" s="18">
        <f t="shared" si="12"/>
        <v>287.54861400247751</v>
      </c>
      <c r="U38" s="18">
        <f t="shared" si="13"/>
        <v>-488.17373027167798</v>
      </c>
      <c r="V38" s="126">
        <f t="shared" si="4"/>
        <v>-16109733.098965373</v>
      </c>
      <c r="W38" s="214">
        <f t="shared" si="14"/>
        <v>-144.02065774059531</v>
      </c>
      <c r="X38" s="18">
        <f t="shared" si="15"/>
        <v>383.39815200330338</v>
      </c>
      <c r="Y38" s="18">
        <f t="shared" si="16"/>
        <v>-392.32419227085211</v>
      </c>
      <c r="Z38" s="126">
        <f t="shared" si="5"/>
        <v>-12946698.34493812</v>
      </c>
      <c r="AA38" s="214">
        <f t="shared" si="17"/>
        <v>-117.09195981437344</v>
      </c>
    </row>
    <row r="39" spans="1:29" ht="17" x14ac:dyDescent="0.2">
      <c r="A39" s="80" t="s">
        <v>161</v>
      </c>
      <c r="B39" s="211">
        <f>GWP!$AC42</f>
        <v>-1.0872649442528719</v>
      </c>
      <c r="C39" s="211">
        <f>GWP!$AC42</f>
        <v>-1.0872649442528719</v>
      </c>
      <c r="D39" s="211">
        <f>GWP!$AC42</f>
        <v>-1.0872649442528719</v>
      </c>
      <c r="E39" s="211">
        <f>GWP!$AC42</f>
        <v>-1.0872649442528719</v>
      </c>
      <c r="F39" s="211">
        <f>GWP!$AC42</f>
        <v>-1.0872649442528719</v>
      </c>
      <c r="G39" s="126">
        <f>'Commercial Viability'!D45</f>
        <v>1419674.612183125</v>
      </c>
      <c r="H39" s="126">
        <f t="shared" si="18"/>
        <v>141967461.2183125</v>
      </c>
      <c r="I39" s="126">
        <f>'Commercial Viability'!H45</f>
        <v>-579.75728113948765</v>
      </c>
      <c r="J39" s="131">
        <f t="shared" si="0"/>
        <v>-19131990.277603094</v>
      </c>
      <c r="K39" s="216">
        <f t="shared" si="1"/>
        <v>-304.84887953248773</v>
      </c>
      <c r="L39" s="18">
        <f t="shared" si="6"/>
        <v>54.363247212643593</v>
      </c>
      <c r="M39" s="18">
        <f t="shared" si="7"/>
        <v>-525.39403392684403</v>
      </c>
      <c r="N39" s="126">
        <f t="shared" si="2"/>
        <v>-17338003.119585853</v>
      </c>
      <c r="O39" s="214">
        <f t="shared" si="8"/>
        <v>-289.57565555027946</v>
      </c>
      <c r="P39" s="18">
        <f t="shared" si="9"/>
        <v>108.72649442528719</v>
      </c>
      <c r="Q39" s="18">
        <f t="shared" si="10"/>
        <v>-471.03078671420047</v>
      </c>
      <c r="R39" s="126">
        <f t="shared" si="3"/>
        <v>-15544015.961568616</v>
      </c>
      <c r="S39" s="214">
        <f t="shared" si="11"/>
        <v>-274.30243156807114</v>
      </c>
      <c r="T39" s="18">
        <f t="shared" si="12"/>
        <v>163.08974163793079</v>
      </c>
      <c r="U39" s="18">
        <f t="shared" si="13"/>
        <v>-416.66753950155686</v>
      </c>
      <c r="V39" s="126">
        <f t="shared" si="4"/>
        <v>-13750028.803551376</v>
      </c>
      <c r="W39" s="214">
        <f t="shared" si="14"/>
        <v>-259.02920758586276</v>
      </c>
      <c r="X39" s="18">
        <f t="shared" si="15"/>
        <v>217.45298885057437</v>
      </c>
      <c r="Y39" s="18">
        <f t="shared" si="16"/>
        <v>-362.3042922889133</v>
      </c>
      <c r="Z39" s="126">
        <f t="shared" si="5"/>
        <v>-11956041.645534139</v>
      </c>
      <c r="AA39" s="214">
        <f t="shared" si="17"/>
        <v>-243.75598360365444</v>
      </c>
    </row>
    <row r="46" spans="1:29" x14ac:dyDescent="0.2"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9" x14ac:dyDescent="0.2"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9" x14ac:dyDescent="0.2">
      <c r="L48" s="20">
        <f>L5</f>
        <v>-266.61131369216622</v>
      </c>
      <c r="M48" s="20">
        <f>M5</f>
        <v>-577.21388694579821</v>
      </c>
      <c r="N48" s="3"/>
      <c r="O48" s="3"/>
      <c r="P48" s="20"/>
      <c r="Q48" s="20"/>
      <c r="R48" s="3"/>
      <c r="S48" s="3"/>
      <c r="T48" s="20"/>
      <c r="U48" s="20"/>
      <c r="V48" s="3"/>
      <c r="W48" s="3"/>
      <c r="X48" s="20"/>
      <c r="Y48" s="20"/>
      <c r="Z48" s="3"/>
      <c r="AA48" s="3"/>
    </row>
    <row r="49" spans="12:27" x14ac:dyDescent="0.2"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2:27" x14ac:dyDescent="0.2"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2:27" x14ac:dyDescent="0.2"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2:27" x14ac:dyDescent="0.2"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2:27" x14ac:dyDescent="0.2"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4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B9A1-CD4D-3945-9451-96C8B19EE714}">
  <sheetPr>
    <tabColor theme="9" tint="0.39997558519241921"/>
  </sheetPr>
  <dimension ref="A1:N53"/>
  <sheetViews>
    <sheetView zoomScaleNormal="100" workbookViewId="0">
      <pane ySplit="3" topLeftCell="A37" activePane="bottomLeft" state="frozen"/>
      <selection pane="bottomLeft" activeCell="J1" sqref="J1:J1048576"/>
    </sheetView>
  </sheetViews>
  <sheetFormatPr baseColWidth="10" defaultRowHeight="16" x14ac:dyDescent="0.2"/>
  <cols>
    <col min="1" max="1" width="18.83203125" customWidth="1"/>
    <col min="2" max="3" width="19.5" customWidth="1"/>
  </cols>
  <sheetData>
    <row r="1" spans="1:14" x14ac:dyDescent="0.2">
      <c r="A1" t="s">
        <v>928</v>
      </c>
    </row>
    <row r="3" spans="1:14" s="5" customFormat="1" ht="63" customHeight="1" x14ac:dyDescent="0.2">
      <c r="A3" s="219" t="s">
        <v>4</v>
      </c>
      <c r="B3" s="212" t="s">
        <v>939</v>
      </c>
      <c r="C3" s="212" t="s">
        <v>940</v>
      </c>
      <c r="D3" s="212" t="s">
        <v>97</v>
      </c>
      <c r="E3" s="212" t="s">
        <v>41</v>
      </c>
      <c r="F3" s="212" t="s">
        <v>934</v>
      </c>
      <c r="G3" s="212" t="s">
        <v>6</v>
      </c>
      <c r="H3" s="212" t="s">
        <v>929</v>
      </c>
      <c r="I3" s="212" t="s">
        <v>930</v>
      </c>
      <c r="J3" s="212" t="s">
        <v>935</v>
      </c>
      <c r="K3" s="212" t="s">
        <v>936</v>
      </c>
      <c r="L3" s="212" t="s">
        <v>937</v>
      </c>
      <c r="M3" s="212" t="s">
        <v>1018</v>
      </c>
      <c r="N3" s="212" t="s">
        <v>938</v>
      </c>
    </row>
    <row r="4" spans="1:14" x14ac:dyDescent="0.2">
      <c r="A4" t="str">
        <f>'ENV BENEFIT - VIABILITY'!A6</f>
        <v>LF*</v>
      </c>
      <c r="B4" s="25">
        <f>'ENV BENEFIT - VIABILITY'!D6</f>
        <v>5.0000000000000009</v>
      </c>
      <c r="C4" s="19">
        <f>'ENV BENEFIT - VIABILITY'!F6</f>
        <v>-876.22873089752466</v>
      </c>
      <c r="D4" s="218">
        <f>'ENV BENEFIT - VIABILITY'!H6</f>
        <v>5.3322262738433244</v>
      </c>
      <c r="E4" s="217">
        <f>'ENV BENEFIT - VIABILITY'!K6</f>
        <v>35805</v>
      </c>
      <c r="F4" s="19">
        <f>'ENV BENEFIT - VIABILITY'!M6</f>
        <v>-310.60257325363199</v>
      </c>
      <c r="G4" s="19">
        <f>'ENV BENEFIT - VIABILITY'!O6</f>
        <v>9</v>
      </c>
      <c r="H4" s="25">
        <f>'ENV BENEFIT - VIABILITY'!J6</f>
        <v>0.80563688866828809</v>
      </c>
      <c r="I4" s="25">
        <f>'ENV BENEFIT - VIABILITY'!Q6</f>
        <v>6.4564129696774604</v>
      </c>
      <c r="J4" s="217">
        <f>'CO2e v NPV'!$K5</f>
        <v>-90.84354836422051</v>
      </c>
      <c r="K4" s="217">
        <f>'CO2e v NPV'!$O5</f>
        <v>-165.7473578126048</v>
      </c>
      <c r="L4" s="126">
        <f>'CO2e v NPV'!$S5</f>
        <v>-240.65116726098904</v>
      </c>
      <c r="M4" s="217">
        <f>'CO2e v NPV'!$W5</f>
        <v>-315.55497670937336</v>
      </c>
      <c r="N4" s="217">
        <f>'CO2e v NPV'!$AA5</f>
        <v>-390.45878615775763</v>
      </c>
    </row>
    <row r="5" spans="1:14" x14ac:dyDescent="0.2">
      <c r="A5" t="str">
        <f>'ENV BENEFIT - VIABILITY'!A7</f>
        <v>LF_LFG*</v>
      </c>
      <c r="B5" s="25">
        <f>'ENV BENEFIT - VIABILITY'!D7</f>
        <v>5.0000000000000009</v>
      </c>
      <c r="C5" s="19">
        <f>'ENV BENEFIT - VIABILITY'!F7</f>
        <v>423.39322146513121</v>
      </c>
      <c r="D5" s="218">
        <f>'ENV BENEFIT - VIABILITY'!H7</f>
        <v>0.82586057788314626</v>
      </c>
      <c r="E5" s="217">
        <f>'ENV BENEFIT - VIABILITY'!K7</f>
        <v>35805</v>
      </c>
      <c r="F5" s="19">
        <f>'ENV BENEFIT - VIABILITY'!M7</f>
        <v>-310.60257325363199</v>
      </c>
      <c r="G5" s="19">
        <f>'ENV BENEFIT - VIABILITY'!O7</f>
        <v>9</v>
      </c>
      <c r="H5" s="25">
        <f>'ENV BENEFIT - VIABILITY'!J7</f>
        <v>1.9991063788661707</v>
      </c>
      <c r="I5" s="25">
        <f>'ENV BENEFIT - VIABILITY'!Q7</f>
        <v>6.4564129696774604</v>
      </c>
      <c r="J5" s="217">
        <f>'CO2e v NPV'!$K6</f>
        <v>-90.84354836422051</v>
      </c>
      <c r="K5" s="217">
        <f>'CO2e v NPV'!$O6</f>
        <v>-102.44472584240442</v>
      </c>
      <c r="L5" s="126">
        <f>'CO2e v NPV'!$S6</f>
        <v>-114.04590332058835</v>
      </c>
      <c r="M5" s="217">
        <f>'CO2e v NPV'!$W6</f>
        <v>-125.64708079877227</v>
      </c>
      <c r="N5" s="217">
        <f>'CO2e v NPV'!$AA6</f>
        <v>-137.24825827695619</v>
      </c>
    </row>
    <row r="6" spans="1:14" x14ac:dyDescent="0.2">
      <c r="A6" t="str">
        <f>'ENV BENEFIT - VIABILITY'!A8</f>
        <v>TD-LF</v>
      </c>
      <c r="B6" s="25">
        <f>'ENV BENEFIT - VIABILITY'!D8</f>
        <v>2</v>
      </c>
      <c r="C6" s="19">
        <f>'ENV BENEFIT - VIABILITY'!F8</f>
        <v>-3035.7933764199024</v>
      </c>
      <c r="D6" s="218">
        <f>'ENV BENEFIT - VIABILITY'!H8</f>
        <v>6.2327909764973297</v>
      </c>
      <c r="E6" s="217">
        <f>'ENV BENEFIT - VIABILITY'!K8</f>
        <v>260864.99999999997</v>
      </c>
      <c r="F6" s="19">
        <f>'ENV BENEFIT - VIABILITY'!M8</f>
        <v>-288.12562930145276</v>
      </c>
      <c r="G6" s="19">
        <f>'ENV BENEFIT - VIABILITY'!O8</f>
        <v>9</v>
      </c>
      <c r="H6" s="25">
        <f>'ENV BENEFIT - VIABILITY'!J8</f>
        <v>0.60024009603841533</v>
      </c>
      <c r="I6" s="25">
        <f>'ENV BENEFIT - VIABILITY'!Q8</f>
        <v>5.9229946526962189</v>
      </c>
      <c r="J6" s="217">
        <f>'CO2e v NPV'!$K7</f>
        <v>-107.03470484366397</v>
      </c>
      <c r="K6" s="217">
        <f>'CO2e v NPV'!$O7</f>
        <v>-194.58908900873521</v>
      </c>
      <c r="L6" s="126">
        <f>'CO2e v NPV'!$S7</f>
        <v>-282.14347317380651</v>
      </c>
      <c r="M6" s="217">
        <f>'CO2e v NPV'!$W7</f>
        <v>-369.69785733887778</v>
      </c>
      <c r="N6" s="217">
        <f>'CO2e v NPV'!$AA7</f>
        <v>-457.25224150394905</v>
      </c>
    </row>
    <row r="7" spans="1:14" x14ac:dyDescent="0.2">
      <c r="A7" t="str">
        <f>'ENV BENEFIT - VIABILITY'!A9</f>
        <v>TD-LF_LFG</v>
      </c>
      <c r="B7" s="25">
        <f>'ENV BENEFIT - VIABILITY'!D9</f>
        <v>2</v>
      </c>
      <c r="C7" s="19">
        <f>'ENV BENEFIT - VIABILITY'!F9</f>
        <v>-1736.1714240572464</v>
      </c>
      <c r="D7" s="218">
        <f>'ENV BENEFIT - VIABILITY'!H9</f>
        <v>1.7264252805371516</v>
      </c>
      <c r="E7" s="217">
        <f>'ENV BENEFIT - VIABILITY'!K9</f>
        <v>260864.99999999997</v>
      </c>
      <c r="F7" s="19">
        <f>'ENV BENEFIT - VIABILITY'!M9</f>
        <v>-288.12562930145276</v>
      </c>
      <c r="G7" s="19">
        <f>'ENV BENEFIT - VIABILITY'!O9</f>
        <v>9</v>
      </c>
      <c r="H7" s="25">
        <f>'ENV BENEFIT - VIABILITY'!J9</f>
        <v>1.3285613592760246</v>
      </c>
      <c r="I7" s="25">
        <f>'ENV BENEFIT - VIABILITY'!Q9</f>
        <v>5.9229946526962189</v>
      </c>
      <c r="J7" s="217">
        <f>'CO2e v NPV'!$K8</f>
        <v>-107.03470484366397</v>
      </c>
      <c r="K7" s="217">
        <f>'CO2e v NPV'!$O8</f>
        <v>-131.28645703853488</v>
      </c>
      <c r="L7" s="126">
        <f>'CO2e v NPV'!$S8</f>
        <v>-155.53820923340578</v>
      </c>
      <c r="M7" s="217">
        <f>'CO2e v NPV'!$W8</f>
        <v>-179.78996142827668</v>
      </c>
      <c r="N7" s="217">
        <f>'CO2e v NPV'!$AA8</f>
        <v>-204.04171362314759</v>
      </c>
    </row>
    <row r="8" spans="1:14" x14ac:dyDescent="0.2">
      <c r="A8" t="str">
        <f>'ENV BENEFIT - VIABILITY'!A10</f>
        <v>LA*</v>
      </c>
      <c r="B8" s="25">
        <f>'ENV BENEFIT - VIABILITY'!D10</f>
        <v>5.0000000000000009</v>
      </c>
      <c r="C8" s="19">
        <f>'ENV BENEFIT - VIABILITY'!F10</f>
        <v>-876.22873089752466</v>
      </c>
      <c r="D8" s="218">
        <f>'ENV BENEFIT - VIABILITY'!H10</f>
        <v>0.42700341670046715</v>
      </c>
      <c r="E8" s="217">
        <f>'ENV BENEFIT - VIABILITY'!K10</f>
        <v>35805</v>
      </c>
      <c r="F8" s="19">
        <f>'ENV BENEFIT - VIABILITY'!M10</f>
        <v>-310.60257325363199</v>
      </c>
      <c r="G8" s="19">
        <f>'ENV BENEFIT - VIABILITY'!O10</f>
        <v>9</v>
      </c>
      <c r="H8" s="25">
        <f>'ENV BENEFIT - VIABILITY'!J10</f>
        <v>1.720288238914085</v>
      </c>
      <c r="I8" s="25">
        <f>'ENV BENEFIT - VIABILITY'!Q10</f>
        <v>6.4564129696774604</v>
      </c>
      <c r="J8" s="217">
        <f>'CO2e v NPV'!$K9</f>
        <v>-90.84354836422051</v>
      </c>
      <c r="K8" s="217">
        <f>'CO2e v NPV'!$O9</f>
        <v>-96.841827678666675</v>
      </c>
      <c r="L8" s="126">
        <f>'CO2e v NPV'!$S9</f>
        <v>-102.84010699311287</v>
      </c>
      <c r="M8" s="217">
        <f>'CO2e v NPV'!$W9</f>
        <v>-108.83838630755905</v>
      </c>
      <c r="N8" s="217">
        <f>'CO2e v NPV'!$AA9</f>
        <v>-114.83666562200523</v>
      </c>
    </row>
    <row r="9" spans="1:14" x14ac:dyDescent="0.2">
      <c r="A9" t="str">
        <f>'ENV BENEFIT - VIABILITY'!A11</f>
        <v>TD-LA</v>
      </c>
      <c r="B9" s="25">
        <f>'ENV BENEFIT - VIABILITY'!D11</f>
        <v>2</v>
      </c>
      <c r="C9" s="19">
        <f>'ENV BENEFIT - VIABILITY'!F11</f>
        <v>-3035.7933764199024</v>
      </c>
      <c r="D9" s="218">
        <f>'ENV BENEFIT - VIABILITY'!H11</f>
        <v>1.3275681193544724</v>
      </c>
      <c r="E9" s="217">
        <f>'ENV BENEFIT - VIABILITY'!K11</f>
        <v>260864.99999999997</v>
      </c>
      <c r="F9" s="19">
        <f>'ENV BENEFIT - VIABILITY'!M11</f>
        <v>-288.12562930145276</v>
      </c>
      <c r="G9" s="19">
        <f>'ENV BENEFIT - VIABILITY'!O11</f>
        <v>9</v>
      </c>
      <c r="H9" s="25">
        <f>'ENV BENEFIT - VIABILITY'!J11</f>
        <v>1.0497432193239389</v>
      </c>
      <c r="I9" s="25">
        <f>'ENV BENEFIT - VIABILITY'!Q11</f>
        <v>5.9229946526962189</v>
      </c>
      <c r="J9" s="217">
        <f>'CO2e v NPV'!$K10</f>
        <v>-107.03470484366397</v>
      </c>
      <c r="K9" s="217">
        <f>'CO2e v NPV'!$O10</f>
        <v>-125.68355887479711</v>
      </c>
      <c r="L9" s="126">
        <f>'CO2e v NPV'!$S10</f>
        <v>-144.33241290593031</v>
      </c>
      <c r="M9" s="217">
        <f>'CO2e v NPV'!$W10</f>
        <v>-162.98126693706345</v>
      </c>
      <c r="N9" s="217">
        <f>'CO2e v NPV'!$AA10</f>
        <v>-181.63012096819662</v>
      </c>
    </row>
    <row r="10" spans="1:14" x14ac:dyDescent="0.2">
      <c r="A10" t="str">
        <f>'ENV BENEFIT - VIABILITY'!A12</f>
        <v>TD-INC-LF*</v>
      </c>
      <c r="B10" s="25">
        <f>'ENV BENEFIT - VIABILITY'!D12</f>
        <v>0.10526315789473684</v>
      </c>
      <c r="C10" s="19">
        <f>'ENV BENEFIT - VIABILITY'!F12</f>
        <v>-125.50760394481404</v>
      </c>
      <c r="D10" s="218">
        <f>'ENV BENEFIT - VIABILITY'!H12</f>
        <v>7.3620091573362485</v>
      </c>
      <c r="E10" s="217">
        <f>'ENV BENEFIT - VIABILITY'!K12</f>
        <v>562650</v>
      </c>
      <c r="F10" s="19">
        <f>'ENV BENEFIT - VIABILITY'!M12</f>
        <v>-265.97799101586588</v>
      </c>
      <c r="G10" s="19">
        <f>'ENV BENEFIT - VIABILITY'!O12</f>
        <v>9</v>
      </c>
      <c r="H10" s="25">
        <f>'ENV BENEFIT - VIABILITY'!J12</f>
        <v>3.9605314766226165</v>
      </c>
      <c r="I10" s="25">
        <f>'ENV BENEFIT - VIABILITY'!Q12</f>
        <v>5.1573244107725538</v>
      </c>
      <c r="J10" s="217">
        <f>'CO2e v NPV'!$K11</f>
        <v>-130.99087896070921</v>
      </c>
      <c r="K10" s="217">
        <f>'CO2e v NPV'!$O11</f>
        <v>-234.40782017031574</v>
      </c>
      <c r="L10" s="126">
        <f>'CO2e v NPV'!$S11</f>
        <v>-337.82476137992228</v>
      </c>
      <c r="M10" s="217">
        <f>'CO2e v NPV'!$W11</f>
        <v>-441.24170258952881</v>
      </c>
      <c r="N10" s="217">
        <f>'CO2e v NPV'!$AA11</f>
        <v>-544.65864379913535</v>
      </c>
    </row>
    <row r="11" spans="1:14" x14ac:dyDescent="0.2">
      <c r="A11" t="str">
        <f>'ENV BENEFIT - VIABILITY'!A13</f>
        <v>AD-CHP-LF*</v>
      </c>
      <c r="B11" s="25">
        <f>'ENV BENEFIT - VIABILITY'!D13</f>
        <v>3.4000000000000004</v>
      </c>
      <c r="C11" s="19">
        <f>'ENV BENEFIT - VIABILITY'!F13</f>
        <v>-407.9056179180966</v>
      </c>
      <c r="D11" s="218">
        <f>'ENV BENEFIT - VIABILITY'!H13</f>
        <v>2.1978426320814601</v>
      </c>
      <c r="E11" s="217">
        <f>'ENV BENEFIT - VIABILITY'!K13</f>
        <v>465464.99999999994</v>
      </c>
      <c r="F11" s="19">
        <f>'ENV BENEFIT - VIABILITY'!M13</f>
        <v>-231.79652981246971</v>
      </c>
      <c r="G11" s="19">
        <f>'ENV BENEFIT - VIABILITY'!O13</f>
        <v>9</v>
      </c>
      <c r="H11" s="25">
        <f>'ENV BENEFIT - VIABILITY'!J13</f>
        <v>0.98034727597458171</v>
      </c>
      <c r="I11" s="25">
        <f>'ENV BENEFIT - VIABILITY'!Q13</f>
        <v>5.6644612745055909</v>
      </c>
      <c r="J11" s="217">
        <f>'CO2e v NPV'!$K12</f>
        <v>-111.66917937705342</v>
      </c>
      <c r="K11" s="217">
        <f>'CO2e v NPV'!$O12</f>
        <v>-142.5431103125286</v>
      </c>
      <c r="L11" s="126">
        <f>'CO2e v NPV'!$S12</f>
        <v>-173.41704124800381</v>
      </c>
      <c r="M11" s="217">
        <f>'CO2e v NPV'!$W12</f>
        <v>-204.290972183479</v>
      </c>
      <c r="N11" s="217">
        <f>'CO2e v NPV'!$AA12</f>
        <v>-235.16490311895419</v>
      </c>
    </row>
    <row r="12" spans="1:14" x14ac:dyDescent="0.2">
      <c r="A12" t="str">
        <f>'ENV BENEFIT - VIABILITY'!A14</f>
        <v>AD-CHP-LF_LFG*</v>
      </c>
      <c r="B12" s="25">
        <f>'ENV BENEFIT - VIABILITY'!D14</f>
        <v>3.4000000000000004</v>
      </c>
      <c r="C12" s="19">
        <f>'ENV BENEFIT - VIABILITY'!F14</f>
        <v>122.34013864586709</v>
      </c>
      <c r="D12" s="218">
        <f>'ENV BENEFIT - VIABILITY'!H14</f>
        <v>0.35924542812970783</v>
      </c>
      <c r="E12" s="217">
        <f>'ENV BENEFIT - VIABILITY'!K14</f>
        <v>465464.99999999994</v>
      </c>
      <c r="F12" s="19">
        <f>'ENV BENEFIT - VIABILITY'!M14</f>
        <v>-231.79652981246971</v>
      </c>
      <c r="G12" s="19">
        <f>'ENV BENEFIT - VIABILITY'!O14</f>
        <v>9</v>
      </c>
      <c r="H12" s="25">
        <f>'ENV BENEFIT - VIABILITY'!J14</f>
        <v>2.1278070741811952</v>
      </c>
      <c r="I12" s="25">
        <f>'ENV BENEFIT - VIABILITY'!Q14</f>
        <v>5.6644612745055909</v>
      </c>
      <c r="J12" s="217">
        <f>'CO2e v NPV'!$K13</f>
        <v>-111.66917937705342</v>
      </c>
      <c r="K12" s="217">
        <f>'CO2e v NPV'!$O13</f>
        <v>-116.71563646868688</v>
      </c>
      <c r="L12" s="126">
        <f>'CO2e v NPV'!$S13</f>
        <v>-121.76209356032032</v>
      </c>
      <c r="M12" s="217">
        <f>'CO2e v NPV'!$W13</f>
        <v>-126.80855065195378</v>
      </c>
      <c r="N12" s="217">
        <f>'CO2e v NPV'!$AA13</f>
        <v>-131.85500774358724</v>
      </c>
    </row>
    <row r="13" spans="1:14" x14ac:dyDescent="0.2">
      <c r="A13" t="str">
        <f>'ENV BENEFIT - VIABILITY'!A15</f>
        <v>AD-CHP-LA*</v>
      </c>
      <c r="B13" s="25">
        <f>'ENV BENEFIT - VIABILITY'!D15</f>
        <v>3.4000000000000004</v>
      </c>
      <c r="C13" s="19">
        <f>'ENV BENEFIT - VIABILITY'!F15</f>
        <v>-407.9056179180966</v>
      </c>
      <c r="D13" s="218">
        <f>'ENV BENEFIT - VIABILITY'!H15</f>
        <v>0.18069108922431759</v>
      </c>
      <c r="E13" s="217">
        <f>'ENV BENEFIT - VIABILITY'!K15</f>
        <v>465464.99999999994</v>
      </c>
      <c r="F13" s="19">
        <f>'ENV BENEFIT - VIABILITY'!M15</f>
        <v>-231.79652981246971</v>
      </c>
      <c r="G13" s="19">
        <f>'ENV BENEFIT - VIABILITY'!O15</f>
        <v>9</v>
      </c>
      <c r="H13" s="25">
        <f>'ENV BENEFIT - VIABILITY'!J15</f>
        <v>2.0222207370429999</v>
      </c>
      <c r="I13" s="25">
        <f>'ENV BENEFIT - VIABILITY'!Q15</f>
        <v>5.6644612745055909</v>
      </c>
      <c r="J13" s="217">
        <f>'CO2e v NPV'!$K14</f>
        <v>-111.66917937705342</v>
      </c>
      <c r="K13" s="217">
        <f>'CO2e v NPV'!$O14</f>
        <v>-114.20741579486472</v>
      </c>
      <c r="L13" s="126">
        <f>'CO2e v NPV'!$S14</f>
        <v>-116.74565221267599</v>
      </c>
      <c r="M13" s="217">
        <f>'CO2e v NPV'!$W14</f>
        <v>-119.2838886304873</v>
      </c>
      <c r="N13" s="217">
        <f>'CO2e v NPV'!$AA14</f>
        <v>-121.82212504829857</v>
      </c>
    </row>
    <row r="14" spans="1:14" x14ac:dyDescent="0.2">
      <c r="A14" t="str">
        <f>'ENV BENEFIT - VIABILITY'!A16</f>
        <v>AD-CHP-TD-LF</v>
      </c>
      <c r="B14" s="25">
        <f>'ENV BENEFIT - VIABILITY'!D16</f>
        <v>1.3599999999999999</v>
      </c>
      <c r="C14" s="19">
        <f>'ENV BENEFIT - VIABILITY'!F16</f>
        <v>-2680.0566356968429</v>
      </c>
      <c r="D14" s="218">
        <f>'ENV BENEFIT - VIABILITY'!H16</f>
        <v>3.1396326298861834</v>
      </c>
      <c r="E14" s="217">
        <f>'ENV BENEFIT - VIABILITY'!K16</f>
        <v>639375</v>
      </c>
      <c r="F14" s="19">
        <f>'ENV BENEFIT - VIABILITY'!M16</f>
        <v>-249.28912792498784</v>
      </c>
      <c r="G14" s="19">
        <f>'ENV BENEFIT - VIABILITY'!O16</f>
        <v>9</v>
      </c>
      <c r="H14" s="25">
        <f>'ENV BENEFIT - VIABILITY'!J16</f>
        <v>1.501256871113577</v>
      </c>
      <c r="I14" s="25">
        <f>'ENV BENEFIT - VIABILITY'!Q16</f>
        <v>5.0324057714444468</v>
      </c>
      <c r="J14" s="217">
        <f>'CO2e v NPV'!$K15</f>
        <v>-133.97468288267012</v>
      </c>
      <c r="K14" s="217">
        <f>'CO2e v NPV'!$O15</f>
        <v>-178.07829592709928</v>
      </c>
      <c r="L14" s="126">
        <f>'CO2e v NPV'!$S15</f>
        <v>-222.1819089715284</v>
      </c>
      <c r="M14" s="217">
        <f>'CO2e v NPV'!$W15</f>
        <v>-266.28552201595761</v>
      </c>
      <c r="N14" s="217">
        <f>'CO2e v NPV'!$AA15</f>
        <v>-310.38913506038676</v>
      </c>
    </row>
    <row r="15" spans="1:14" x14ac:dyDescent="0.2">
      <c r="A15" t="str">
        <f>'ENV BENEFIT - VIABILITY'!A17</f>
        <v>AD-CHP-TD-LF_LFG</v>
      </c>
      <c r="B15" s="25">
        <f>'ENV BENEFIT - VIABILITY'!D17</f>
        <v>1.3599999999999999</v>
      </c>
      <c r="C15" s="19">
        <f>'ENV BENEFIT - VIABILITY'!F17</f>
        <v>-2149.8108791328791</v>
      </c>
      <c r="D15" s="218">
        <f>'ENV BENEFIT - VIABILITY'!H17</f>
        <v>1.3010354259344312</v>
      </c>
      <c r="E15" s="217">
        <f>'ENV BENEFIT - VIABILITY'!K17</f>
        <v>639375</v>
      </c>
      <c r="F15" s="19">
        <f>'ENV BENEFIT - VIABILITY'!M17</f>
        <v>-249.28912792498784</v>
      </c>
      <c r="G15" s="19">
        <f>'ENV BENEFIT - VIABILITY'!O17</f>
        <v>9</v>
      </c>
      <c r="H15" s="25">
        <f>'ENV BENEFIT - VIABILITY'!J17</f>
        <v>2.1622752772061435</v>
      </c>
      <c r="I15" s="25">
        <f>'ENV BENEFIT - VIABILITY'!Q17</f>
        <v>5.0324057714444468</v>
      </c>
      <c r="J15" s="217">
        <f>'CO2e v NPV'!$K16</f>
        <v>-133.97468288267012</v>
      </c>
      <c r="K15" s="217">
        <f>'CO2e v NPV'!$O16</f>
        <v>-152.25082208325756</v>
      </c>
      <c r="L15" s="126">
        <f>'CO2e v NPV'!$S16</f>
        <v>-170.52696128384494</v>
      </c>
      <c r="M15" s="217">
        <f>'CO2e v NPV'!$W16</f>
        <v>-188.80310048443238</v>
      </c>
      <c r="N15" s="217">
        <f>'CO2e v NPV'!$AA16</f>
        <v>-207.07923968501976</v>
      </c>
    </row>
    <row r="16" spans="1:14" x14ac:dyDescent="0.2">
      <c r="A16" t="str">
        <f>'ENV BENEFIT - VIABILITY'!A18</f>
        <v>AD-CHP-TD-LA</v>
      </c>
      <c r="B16" s="25">
        <f>'ENV BENEFIT - VIABILITY'!D18</f>
        <v>1.3599999999999999</v>
      </c>
      <c r="C16" s="19">
        <f>'ENV BENEFIT - VIABILITY'!F18</f>
        <v>-2680.0566356968429</v>
      </c>
      <c r="D16" s="218">
        <f>'ENV BENEFIT - VIABILITY'!H18</f>
        <v>1.1224810870290411</v>
      </c>
      <c r="E16" s="217">
        <f>'ENV BENEFIT - VIABILITY'!K18</f>
        <v>639375</v>
      </c>
      <c r="F16" s="19">
        <f>'ENV BENEFIT - VIABILITY'!M18</f>
        <v>-249.28912792498784</v>
      </c>
      <c r="G16" s="19">
        <f>'ENV BENEFIT - VIABILITY'!O18</f>
        <v>9</v>
      </c>
      <c r="H16" s="25">
        <f>'ENV BENEFIT - VIABILITY'!J18</f>
        <v>2.0566889400679487</v>
      </c>
      <c r="I16" s="25">
        <f>'ENV BENEFIT - VIABILITY'!Q18</f>
        <v>5.0324057714444468</v>
      </c>
      <c r="J16" s="217">
        <f>'CO2e v NPV'!$K17</f>
        <v>-133.97468288267012</v>
      </c>
      <c r="K16" s="217">
        <f>'CO2e v NPV'!$O17</f>
        <v>-149.74260140943539</v>
      </c>
      <c r="L16" s="126">
        <f>'CO2e v NPV'!$S17</f>
        <v>-165.51051993620061</v>
      </c>
      <c r="M16" s="217">
        <f>'CO2e v NPV'!$W17</f>
        <v>-181.27843846296585</v>
      </c>
      <c r="N16" s="217">
        <f>'CO2e v NPV'!$AA17</f>
        <v>-197.04635698973109</v>
      </c>
    </row>
    <row r="17" spans="1:14" x14ac:dyDescent="0.2">
      <c r="A17" t="str">
        <f>'ENV BENEFIT - VIABILITY'!A19</f>
        <v>AD-CHP-TD-INC-LF*</v>
      </c>
      <c r="B17" s="25">
        <f>'ENV BENEFIT - VIABILITY'!D19</f>
        <v>0.10526315789473684</v>
      </c>
      <c r="C17" s="19">
        <f>'ENV BENEFIT - VIABILITY'!F19</f>
        <v>-721.11775567851259</v>
      </c>
      <c r="D17" s="218">
        <f>'ENV BENEFIT - VIABILITY'!H19</f>
        <v>5.2749486593220869</v>
      </c>
      <c r="E17" s="217">
        <f>'ENV BENEFIT - VIABILITY'!K19</f>
        <v>879779.99999999988</v>
      </c>
      <c r="F17" s="19">
        <f>'ENV BENEFIT - VIABILITY'!M19</f>
        <v>-288.5634008658659</v>
      </c>
      <c r="G17" s="19">
        <f>'ENV BENEFIT - VIABILITY'!O19</f>
        <v>9</v>
      </c>
      <c r="H17" s="25">
        <f>'ENV BENEFIT - VIABILITY'!J19</f>
        <v>3.738335993613163</v>
      </c>
      <c r="I17" s="25">
        <f>'ENV BENEFIT - VIABILITY'!Q19</f>
        <v>4.0634886352785049</v>
      </c>
      <c r="J17" s="217">
        <f>'CO2e v NPV'!$K18</f>
        <v>-169.0491957152388</v>
      </c>
      <c r="K17" s="217">
        <f>'CO2e v NPV'!$O18</f>
        <v>-243.14840473906827</v>
      </c>
      <c r="L17" s="126">
        <f>'CO2e v NPV'!$S18</f>
        <v>-317.24761376289774</v>
      </c>
      <c r="M17" s="217">
        <f>'CO2e v NPV'!$W18</f>
        <v>-391.3468227867271</v>
      </c>
      <c r="N17" s="217">
        <f>'CO2e v NPV'!$AA18</f>
        <v>-465.44603181055663</v>
      </c>
    </row>
    <row r="18" spans="1:14" x14ac:dyDescent="0.2">
      <c r="A18" t="str">
        <f>'ENV BENEFIT - VIABILITY'!A20</f>
        <v>TH-AD-CHP-LF*</v>
      </c>
      <c r="B18" s="25">
        <f>'ENV BENEFIT - VIABILITY'!D20</f>
        <v>3.4000000000000004</v>
      </c>
      <c r="C18" s="19">
        <f>'ENV BENEFIT - VIABILITY'!F20</f>
        <v>66.873892640231304</v>
      </c>
      <c r="D18" s="218">
        <f>'ENV BENEFIT - VIABILITY'!H20</f>
        <v>2.0086194568954601</v>
      </c>
      <c r="E18" s="217">
        <f>'ENV BENEFIT - VIABILITY'!K20</f>
        <v>644490</v>
      </c>
      <c r="F18" s="19">
        <f>'ENV BENEFIT - VIABILITY'!M20</f>
        <v>-308.81711981246974</v>
      </c>
      <c r="G18" s="19">
        <f>'ENV BENEFIT - VIABILITY'!O20</f>
        <v>9</v>
      </c>
      <c r="H18" s="25">
        <f>'ENV BENEFIT - VIABILITY'!J20</f>
        <v>1.2552014041074917</v>
      </c>
      <c r="I18" s="25">
        <f>'ENV BENEFIT - VIABILITY'!Q20</f>
        <v>4.6416187925593118</v>
      </c>
      <c r="J18" s="217">
        <f>'CO2e v NPV'!$K19</f>
        <v>-151.21042950010062</v>
      </c>
      <c r="K18" s="217">
        <f>'CO2e v NPV'!$O19</f>
        <v>-179.4262705628941</v>
      </c>
      <c r="L18" s="126">
        <f>'CO2e v NPV'!$S19</f>
        <v>-207.64211162568753</v>
      </c>
      <c r="M18" s="217">
        <f>'CO2e v NPV'!$W19</f>
        <v>-235.85795268848099</v>
      </c>
      <c r="N18" s="217">
        <f>'CO2e v NPV'!$AA19</f>
        <v>-264.07379375127448</v>
      </c>
    </row>
    <row r="19" spans="1:14" x14ac:dyDescent="0.2">
      <c r="A19" t="str">
        <f>'ENV BENEFIT - VIABILITY'!A21</f>
        <v>TH-AD-CHP-LF_LFG*</v>
      </c>
      <c r="B19" s="25">
        <f>'ENV BENEFIT - VIABILITY'!D21</f>
        <v>3.4000000000000004</v>
      </c>
      <c r="C19" s="19">
        <f>'ENV BENEFIT - VIABILITY'!F21</f>
        <v>597.11964920419473</v>
      </c>
      <c r="D19" s="218">
        <f>'ENV BENEFIT - VIABILITY'!H21</f>
        <v>0.17002225294370782</v>
      </c>
      <c r="E19" s="217">
        <f>'ENV BENEFIT - VIABILITY'!K21</f>
        <v>644490</v>
      </c>
      <c r="F19" s="19">
        <f>'ENV BENEFIT - VIABILITY'!M21</f>
        <v>-308.81711981246974</v>
      </c>
      <c r="G19" s="19">
        <f>'ENV BENEFIT - VIABILITY'!O21</f>
        <v>9</v>
      </c>
      <c r="H19" s="25">
        <f>'ENV BENEFIT - VIABILITY'!J21</f>
        <v>2.4026612023141052</v>
      </c>
      <c r="I19" s="25">
        <f>'ENV BENEFIT - VIABILITY'!Q21</f>
        <v>4.6416187925593118</v>
      </c>
      <c r="J19" s="217">
        <f>'CO2e v NPV'!$K20</f>
        <v>-151.21042950010062</v>
      </c>
      <c r="K19" s="217">
        <f>'CO2e v NPV'!$O20</f>
        <v>-153.59879671905233</v>
      </c>
      <c r="L19" s="126">
        <f>'CO2e v NPV'!$S20</f>
        <v>-155.98716393800407</v>
      </c>
      <c r="M19" s="217">
        <f>'CO2e v NPV'!$W20</f>
        <v>-158.37553115695579</v>
      </c>
      <c r="N19" s="217">
        <f>'CO2e v NPV'!$AA20</f>
        <v>-160.7638983759075</v>
      </c>
    </row>
    <row r="20" spans="1:14" x14ac:dyDescent="0.2">
      <c r="A20" t="str">
        <f>'ENV BENEFIT - VIABILITY'!A22</f>
        <v>TH-AD-CHP-LA*</v>
      </c>
      <c r="B20" s="25">
        <f>'ENV BENEFIT - VIABILITY'!D22</f>
        <v>3.4000000000000004</v>
      </c>
      <c r="C20" s="19">
        <f>'ENV BENEFIT - VIABILITY'!F22</f>
        <v>-419.14198971270991</v>
      </c>
      <c r="D20" s="218">
        <f>'ENV BENEFIT - VIABILITY'!H22</f>
        <v>0.19068042403831753</v>
      </c>
      <c r="E20" s="217">
        <f>'ENV BENEFIT - VIABILITY'!K22</f>
        <v>644490</v>
      </c>
      <c r="F20" s="19">
        <f>'ENV BENEFIT - VIABILITY'!M22</f>
        <v>-308.81711981246974</v>
      </c>
      <c r="G20" s="19">
        <f>'ENV BENEFIT - VIABILITY'!O22</f>
        <v>9</v>
      </c>
      <c r="H20" s="25">
        <f>'ENV BENEFIT - VIABILITY'!J22</f>
        <v>2.0128693855873143</v>
      </c>
      <c r="I20" s="25">
        <f>'ENV BENEFIT - VIABILITY'!Q22</f>
        <v>4.6416187925593118</v>
      </c>
      <c r="J20" s="217">
        <f>'CO2e v NPV'!$K21</f>
        <v>-151.21042950010062</v>
      </c>
      <c r="K20" s="217">
        <f>'CO2e v NPV'!$O21</f>
        <v>-153.88898990136593</v>
      </c>
      <c r="L20" s="126">
        <f>'CO2e v NPV'!$S21</f>
        <v>-156.56755030263125</v>
      </c>
      <c r="M20" s="217">
        <f>'CO2e v NPV'!$W21</f>
        <v>-159.24611070389659</v>
      </c>
      <c r="N20" s="217">
        <f>'CO2e v NPV'!$AA21</f>
        <v>-161.92467110516191</v>
      </c>
    </row>
    <row r="21" spans="1:14" x14ac:dyDescent="0.2">
      <c r="A21" t="str">
        <f>'ENV BENEFIT - VIABILITY'!A23</f>
        <v>TH-AD-CHP-TD-INC-LF*</v>
      </c>
      <c r="B21" s="25">
        <f>'ENV BENEFIT - VIABILITY'!D23</f>
        <v>0.10526315789473684</v>
      </c>
      <c r="C21" s="19">
        <f>'ENV BENEFIT - VIABILITY'!F23</f>
        <v>-952.03345780044128</v>
      </c>
      <c r="D21" s="218">
        <f>'ENV BENEFIT - VIABILITY'!H23</f>
        <v>5.365234222320348</v>
      </c>
      <c r="E21" s="217">
        <f>'ENV BENEFIT - VIABILITY'!K23</f>
        <v>920699.99999999988</v>
      </c>
      <c r="F21" s="19">
        <f>'ENV BENEFIT - VIABILITY'!M23</f>
        <v>-347.31846296586593</v>
      </c>
      <c r="G21" s="19">
        <f>'ENV BENEFIT - VIABILITY'!O23</f>
        <v>9</v>
      </c>
      <c r="H21" s="25">
        <f>'ENV BENEFIT - VIABILITY'!J23</f>
        <v>3.6521916829124459</v>
      </c>
      <c r="I21" s="25">
        <f>'ENV BENEFIT - VIABILITY'!Q23</f>
        <v>3.5701615107224054</v>
      </c>
      <c r="J21" s="217">
        <f>'CO2e v NPV'!$K22</f>
        <v>-189.64828956178064</v>
      </c>
      <c r="K21" s="217">
        <f>'CO2e v NPV'!$O22</f>
        <v>-265.01577420998404</v>
      </c>
      <c r="L21" s="126">
        <f>'CO2e v NPV'!$S22</f>
        <v>-340.38325885818745</v>
      </c>
      <c r="M21" s="217">
        <f>'CO2e v NPV'!$W22</f>
        <v>-415.75074350639085</v>
      </c>
      <c r="N21" s="217">
        <f>'CO2e v NPV'!$AA22</f>
        <v>-491.11822815459419</v>
      </c>
    </row>
    <row r="22" spans="1:14" x14ac:dyDescent="0.2">
      <c r="A22" t="str">
        <f>'ENV BENEFIT - VIABILITY'!A24</f>
        <v>HTL-CAS_BC</v>
      </c>
      <c r="B22" s="25">
        <f>'ENV BENEFIT - VIABILITY'!D24</f>
        <v>0.25499999999999995</v>
      </c>
      <c r="C22" s="19">
        <f>'ENV BENEFIT - VIABILITY'!F24</f>
        <v>2541.5488337152001</v>
      </c>
      <c r="D22" s="218">
        <f>'ENV BENEFIT - VIABILITY'!H24</f>
        <v>-0.64984045146280833</v>
      </c>
      <c r="E22" s="217">
        <f>'ENV BENEFIT - VIABILITY'!K24</f>
        <v>196407.39117999998</v>
      </c>
      <c r="F22" s="19">
        <f>'ENV BENEFIT - VIABILITY'!M24</f>
        <v>-43.136429381369169</v>
      </c>
      <c r="G22" s="19">
        <f>'ENV BENEFIT - VIABILITY'!O24</f>
        <v>7</v>
      </c>
      <c r="H22" s="25">
        <f>'ENV BENEFIT - VIABILITY'!J24</f>
        <v>6.2465837701760929</v>
      </c>
      <c r="I22" s="25">
        <f>'ENV BENEFIT - VIABILITY'!Q24</f>
        <v>6.9115099761068723</v>
      </c>
      <c r="J22" s="217">
        <f>'CO2e v NPV'!$K23</f>
        <v>-31.759815543978014</v>
      </c>
      <c r="K22" s="217">
        <f>'CO2e v NPV'!$O23</f>
        <v>-22.63125969348928</v>
      </c>
      <c r="L22" s="126">
        <f>'CO2e v NPV'!$S23</f>
        <v>-13.502703843000548</v>
      </c>
      <c r="M22" s="217">
        <f>'CO2e v NPV'!$W23</f>
        <v>-4.3741479925118183</v>
      </c>
      <c r="N22" s="217">
        <f>'CO2e v NPV'!$AA23</f>
        <v>4.7544078579769131</v>
      </c>
    </row>
    <row r="23" spans="1:14" x14ac:dyDescent="0.2">
      <c r="A23" t="str">
        <f>'ENV BENEFIT - VIABILITY'!A25</f>
        <v>HTL-CAS_FP</v>
      </c>
      <c r="B23" s="25">
        <f>'ENV BENEFIT - VIABILITY'!D25</f>
        <v>0.25499999999999995</v>
      </c>
      <c r="C23" s="19">
        <f>'ENV BENEFIT - VIABILITY'!F25</f>
        <v>2477.5135236852966</v>
      </c>
      <c r="D23" s="218">
        <f>'ENV BENEFIT - VIABILITY'!H25</f>
        <v>-0.94259951356506133</v>
      </c>
      <c r="E23" s="217">
        <f>'ENV BENEFIT - VIABILITY'!K25</f>
        <v>271195.30231252348</v>
      </c>
      <c r="F23" s="19">
        <f>'ENV BENEFIT - VIABILITY'!M25</f>
        <v>75.663313390650302</v>
      </c>
      <c r="G23" s="19">
        <f>'ENV BENEFIT - VIABILITY'!O25</f>
        <v>6</v>
      </c>
      <c r="H23" s="25">
        <f>'ENV BENEFIT - VIABILITY'!J25</f>
        <v>6.3739072502605572</v>
      </c>
      <c r="I23" s="25">
        <f>'ENV BENEFIT - VIABILITY'!Q25</f>
        <v>7.0614140930624298</v>
      </c>
      <c r="J23" s="217">
        <f>'CO2e v NPV'!$K24</f>
        <v>-5.8621037178733681</v>
      </c>
      <c r="K23" s="217">
        <f>'CO2e v NPV'!$O24</f>
        <v>7.3789499666934271</v>
      </c>
      <c r="L23" s="126">
        <f>'CO2e v NPV'!$S24</f>
        <v>20.62000365126023</v>
      </c>
      <c r="M23" s="217">
        <f>'CO2e v NPV'!$W24</f>
        <v>33.861057335827034</v>
      </c>
      <c r="N23" s="217">
        <f>'CO2e v NPV'!$AA24</f>
        <v>47.102111020393849</v>
      </c>
    </row>
    <row r="24" spans="1:14" x14ac:dyDescent="0.2">
      <c r="A24" t="str">
        <f>'ENV BENEFIT - VIABILITY'!A26</f>
        <v>HTL-NH3-CAS_BC</v>
      </c>
      <c r="B24" s="25">
        <f>'ENV BENEFIT - VIABILITY'!D26</f>
        <v>0.255</v>
      </c>
      <c r="C24" s="19">
        <f>'ENV BENEFIT - VIABILITY'!F26</f>
        <v>2391.063738876871</v>
      </c>
      <c r="D24" s="218">
        <f>'ENV BENEFIT - VIABILITY'!H26</f>
        <v>-0.58732929161037228</v>
      </c>
      <c r="E24" s="217">
        <f>'ENV BENEFIT - VIABILITY'!K26</f>
        <v>242508.19999999995</v>
      </c>
      <c r="F24" s="19">
        <f>'ENV BENEFIT - VIABILITY'!M26</f>
        <v>-43.051321379668764</v>
      </c>
      <c r="G24" s="19">
        <f>'ENV BENEFIT - VIABILITY'!O26</f>
        <v>6</v>
      </c>
      <c r="H24" s="25">
        <f>'ENV BENEFIT - VIABILITY'!J26</f>
        <v>6.1581570490124005</v>
      </c>
      <c r="I24" s="25">
        <f>'ENV BENEFIT - VIABILITY'!Q26</f>
        <v>6.3987443242895949</v>
      </c>
      <c r="J24" s="217">
        <f>'CO2e v NPV'!$K25</f>
        <v>-36.345985536925262</v>
      </c>
      <c r="K24" s="217">
        <f>'CO2e v NPV'!$O25</f>
        <v>-28.095547711726084</v>
      </c>
      <c r="L24" s="126">
        <f>'CO2e v NPV'!$S25</f>
        <v>-19.845109886526906</v>
      </c>
      <c r="M24" s="217">
        <f>'CO2e v NPV'!$W25</f>
        <v>-11.594672061327724</v>
      </c>
      <c r="N24" s="217">
        <f>'CO2e v NPV'!$AA25</f>
        <v>-3.3442342361285462</v>
      </c>
    </row>
    <row r="25" spans="1:14" x14ac:dyDescent="0.2">
      <c r="A25" t="str">
        <f>'ENV BENEFIT - VIABILITY'!A27</f>
        <v>HTL-NH3-CAS_FP</v>
      </c>
      <c r="B25" s="25">
        <f>'ENV BENEFIT - VIABILITY'!D27</f>
        <v>0.255</v>
      </c>
      <c r="C25" s="19">
        <f>'ENV BENEFIT - VIABILITY'!F27</f>
        <v>2141.6675262653916</v>
      </c>
      <c r="D25" s="218">
        <f>'ENV BENEFIT - VIABILITY'!H27</f>
        <v>-0.81128410547843721</v>
      </c>
      <c r="E25" s="217">
        <f>'ENV BENEFIT - VIABILITY'!K27</f>
        <v>314991.14420061081</v>
      </c>
      <c r="F25" s="19">
        <f>'ENV BENEFIT - VIABILITY'!M27</f>
        <v>-19.864753744669287</v>
      </c>
      <c r="G25" s="19">
        <f>'ENV BENEFIT - VIABILITY'!O27</f>
        <v>6</v>
      </c>
      <c r="H25" s="25">
        <f>'ENV BENEFIT - VIABILITY'!J27</f>
        <v>6.1807927794271471</v>
      </c>
      <c r="I25" s="25">
        <f>'ENV BENEFIT - VIABILITY'!Q27</f>
        <v>6.3275327585670578</v>
      </c>
      <c r="J25" s="217">
        <f>'CO2e v NPV'!$K26</f>
        <v>-37.080069363885379</v>
      </c>
      <c r="K25" s="217">
        <f>'CO2e v NPV'!$O26</f>
        <v>-25.683653134635676</v>
      </c>
      <c r="L25" s="126">
        <f>'CO2e v NPV'!$S26</f>
        <v>-14.287236905385971</v>
      </c>
      <c r="M25" s="217">
        <f>'CO2e v NPV'!$W26</f>
        <v>-2.8908206761362627</v>
      </c>
      <c r="N25" s="217">
        <f>'CO2e v NPV'!$AA26</f>
        <v>8.5055955531134391</v>
      </c>
    </row>
    <row r="26" spans="1:14" x14ac:dyDescent="0.2">
      <c r="A26" t="str">
        <f>'ENV BENEFIT - VIABILITY'!A28</f>
        <v>SupCrit HTL-CAS_BHO</v>
      </c>
      <c r="B26" s="25">
        <f>'ENV BENEFIT - VIABILITY'!D28</f>
        <v>0.35</v>
      </c>
      <c r="C26" s="19">
        <f>'ENV BENEFIT - VIABILITY'!F28</f>
        <v>2180.5756252623123</v>
      </c>
      <c r="D26" s="218">
        <f>'ENV BENEFIT - VIABILITY'!H28</f>
        <v>-0.46830442207276918</v>
      </c>
      <c r="E26" s="217">
        <f>'ENV BENEFIT - VIABILITY'!K28</f>
        <v>448062.75000000006</v>
      </c>
      <c r="F26" s="19">
        <f>'ENV BENEFIT - VIABILITY'!M28</f>
        <v>-195.72351012775425</v>
      </c>
      <c r="G26" s="19">
        <f>'ENV BENEFIT - VIABILITY'!O28</f>
        <v>4</v>
      </c>
      <c r="H26" s="25">
        <f>'ENV BENEFIT - VIABILITY'!J28</f>
        <v>5.904110526950884</v>
      </c>
      <c r="I26" s="25">
        <f>'ENV BENEFIT - VIABILITY'!Q28</f>
        <v>4.0691799137087621</v>
      </c>
      <c r="J26" s="217">
        <f>'CO2e v NPV'!$K27</f>
        <v>-99.794325972605733</v>
      </c>
      <c r="K26" s="217">
        <f>'CO2e v NPV'!$O27</f>
        <v>-93.215875735629709</v>
      </c>
      <c r="L26" s="126">
        <f>'CO2e v NPV'!$S27</f>
        <v>-86.637425498653684</v>
      </c>
      <c r="M26" s="217">
        <f>'CO2e v NPV'!$W27</f>
        <v>-80.058975261677659</v>
      </c>
      <c r="N26" s="217">
        <f>'CO2e v NPV'!$AA27</f>
        <v>-73.48052502470162</v>
      </c>
    </row>
    <row r="27" spans="1:14" x14ac:dyDescent="0.2">
      <c r="A27" t="str">
        <f>'ENV BENEFIT - VIABILITY'!A29</f>
        <v>SubCrit HTL-CAS_BHO</v>
      </c>
      <c r="B27" s="25">
        <f>'ENV BENEFIT - VIABILITY'!D29</f>
        <v>0.35</v>
      </c>
      <c r="C27" s="19">
        <f>'ENV BENEFIT - VIABILITY'!F29</f>
        <v>2379.4434302565546</v>
      </c>
      <c r="D27" s="218">
        <f>'ENV BENEFIT - VIABILITY'!H29</f>
        <v>-0.5231873803281164</v>
      </c>
      <c r="E27" s="217">
        <f>'ENV BENEFIT - VIABILITY'!K29</f>
        <v>420812.15000000008</v>
      </c>
      <c r="F27" s="19">
        <f>'ENV BENEFIT - VIABILITY'!M29</f>
        <v>-182.88428512775431</v>
      </c>
      <c r="G27" s="19">
        <f>'ENV BENEFIT - VIABILITY'!O29</f>
        <v>7</v>
      </c>
      <c r="H27" s="25">
        <f>'ENV BENEFIT - VIABILITY'!J29</f>
        <v>6.006646649575468</v>
      </c>
      <c r="I27" s="25">
        <f>'ENV BENEFIT - VIABILITY'!Q29</f>
        <v>5.3569084758757564</v>
      </c>
      <c r="J27" s="217">
        <f>'CO2e v NPV'!$K28</f>
        <v>-93.462116487661802</v>
      </c>
      <c r="K27" s="217">
        <f>'CO2e v NPV'!$O28</f>
        <v>-86.112704472996768</v>
      </c>
      <c r="L27" s="126">
        <f>'CO2e v NPV'!$S28</f>
        <v>-78.763292458331762</v>
      </c>
      <c r="M27" s="217">
        <f>'CO2e v NPV'!$W28</f>
        <v>-71.413880443666756</v>
      </c>
      <c r="N27" s="217">
        <f>'CO2e v NPV'!$AA28</f>
        <v>-64.064468429001735</v>
      </c>
    </row>
    <row r="28" spans="1:14" x14ac:dyDescent="0.2">
      <c r="A28" t="str">
        <f>'ENV BENEFIT - VIABILITY'!A30</f>
        <v>HTL-AD-CHP_BC</v>
      </c>
      <c r="B28" s="25">
        <f>'ENV BENEFIT - VIABILITY'!D30</f>
        <v>0.12554999999999999</v>
      </c>
      <c r="C28" s="19">
        <f>'ENV BENEFIT - VIABILITY'!F30</f>
        <v>4732.5367416930867</v>
      </c>
      <c r="D28" s="218">
        <f>'ENV BENEFIT - VIABILITY'!H30</f>
        <v>-1.3978888887710346</v>
      </c>
      <c r="E28" s="217">
        <f>'ENV BENEFIT - VIABILITY'!K30</f>
        <v>886317.4458333333</v>
      </c>
      <c r="F28" s="19">
        <f>'ENV BENEFIT - VIABILITY'!M30</f>
        <v>-104.98503405130378</v>
      </c>
      <c r="G28" s="19">
        <f>'ENV BENEFIT - VIABILITY'!O30</f>
        <v>7</v>
      </c>
      <c r="H28" s="25">
        <f>'ENV BENEFIT - VIABILITY'!J30</f>
        <v>7.6057178974211785</v>
      </c>
      <c r="I28" s="25">
        <f>'ENV BENEFIT - VIABILITY'!Q30</f>
        <v>4.4517017699972996</v>
      </c>
      <c r="J28" s="217">
        <f>'CO2e v NPV'!$K29</f>
        <v>-118.12703822488764</v>
      </c>
      <c r="K28" s="217">
        <f>'CO2e v NPV'!$O29</f>
        <v>-98.4903616141914</v>
      </c>
      <c r="L28" s="126">
        <f>'CO2e v NPV'!$S29</f>
        <v>-78.853685003495144</v>
      </c>
      <c r="M28" s="217">
        <f>'CO2e v NPV'!$W29</f>
        <v>-59.217008392798903</v>
      </c>
      <c r="N28" s="217">
        <f>'CO2e v NPV'!$AA29</f>
        <v>-39.580331782102647</v>
      </c>
    </row>
    <row r="29" spans="1:14" x14ac:dyDescent="0.2">
      <c r="A29" t="str">
        <f>'ENV BENEFIT - VIABILITY'!A31</f>
        <v>HTL-AD-Boiler_BC</v>
      </c>
      <c r="B29" s="25">
        <f>'ENV BENEFIT - VIABILITY'!D31</f>
        <v>0.12554999999999999</v>
      </c>
      <c r="C29" s="19">
        <f>'ENV BENEFIT - VIABILITY'!F31</f>
        <v>4956.5350919423663</v>
      </c>
      <c r="D29" s="218">
        <f>'ENV BENEFIT - VIABILITY'!H31</f>
        <v>-1.4923420111364036</v>
      </c>
      <c r="E29" s="217">
        <f>'ENV BENEFIT - VIABILITY'!K31</f>
        <v>861392.68333333323</v>
      </c>
      <c r="F29" s="19">
        <f>'ENV BENEFIT - VIABILITY'!M31</f>
        <v>-99.747531831618346</v>
      </c>
      <c r="G29" s="19">
        <f>'ENV BENEFIT - VIABILITY'!O31</f>
        <v>7</v>
      </c>
      <c r="H29" s="25">
        <f>'ENV BENEFIT - VIABILITY'!J31</f>
        <v>7.7380673793407215</v>
      </c>
      <c r="I29" s="25">
        <f>'ENV BENEFIT - VIABILITY'!Q31</f>
        <v>4.5595088902105347</v>
      </c>
      <c r="J29" s="217">
        <f>'CO2e v NPV'!$K30</f>
        <v>-114.16309828185857</v>
      </c>
      <c r="K29" s="217">
        <f>'CO2e v NPV'!$O30</f>
        <v>-93.199602756112569</v>
      </c>
      <c r="L29" s="126">
        <f>'CO2e v NPV'!$S30</f>
        <v>-72.236107230366585</v>
      </c>
      <c r="M29" s="217">
        <f>'CO2e v NPV'!$W30</f>
        <v>-51.272611704620601</v>
      </c>
      <c r="N29" s="217">
        <f>'CO2e v NPV'!$AA30</f>
        <v>-30.309116178874618</v>
      </c>
    </row>
    <row r="30" spans="1:14" x14ac:dyDescent="0.2">
      <c r="A30" t="str">
        <f>'ENV BENEFIT - VIABILITY'!A32</f>
        <v>HTL-CHG-CHP_BC</v>
      </c>
      <c r="B30" s="25">
        <f>'ENV BENEFIT - VIABILITY'!D32</f>
        <v>0.12554999999999999</v>
      </c>
      <c r="C30" s="19">
        <f>'ENV BENEFIT - VIABILITY'!F32</f>
        <v>4590.596688203861</v>
      </c>
      <c r="D30" s="218">
        <f>'ENV BENEFIT - VIABILITY'!H32</f>
        <v>-1.3353465299992</v>
      </c>
      <c r="E30" s="217">
        <f>'ENV BENEFIT - VIABILITY'!K32</f>
        <v>1620709.3562499997</v>
      </c>
      <c r="F30" s="19">
        <f>'ENV BENEFIT - VIABILITY'!M32</f>
        <v>-429.54787334607806</v>
      </c>
      <c r="G30" s="19">
        <f>'ENV BENEFIT - VIABILITY'!O32</f>
        <v>6</v>
      </c>
      <c r="H30" s="25">
        <f>'ENV BENEFIT - VIABILITY'!J32</f>
        <v>7.5204628341666666</v>
      </c>
      <c r="I30" s="25">
        <f>'ENV BENEFIT - VIABILITY'!Q32</f>
        <v>1.875</v>
      </c>
      <c r="J30" s="217">
        <f>'CO2e v NPV'!$K31</f>
        <v>-282.75138090881433</v>
      </c>
      <c r="K30" s="217">
        <f>'CO2e v NPV'!$O31</f>
        <v>-263.9932605864883</v>
      </c>
      <c r="L30" s="126">
        <f>'CO2e v NPV'!$S31</f>
        <v>-245.23514026416228</v>
      </c>
      <c r="M30" s="217">
        <f>'CO2e v NPV'!$W31</f>
        <v>-226.47701994183626</v>
      </c>
      <c r="N30" s="217">
        <f>'CO2e v NPV'!$AA31</f>
        <v>-207.71889961951024</v>
      </c>
    </row>
    <row r="31" spans="1:14" x14ac:dyDescent="0.2">
      <c r="A31" t="str">
        <f>'ENV BENEFIT - VIABILITY'!A33</f>
        <v>HTL-CHG-Boiler_BC</v>
      </c>
      <c r="B31" s="25">
        <f>'ENV BENEFIT - VIABILITY'!D33</f>
        <v>0.12554999999999999</v>
      </c>
      <c r="C31" s="19">
        <f>'ENV BENEFIT - VIABILITY'!F33</f>
        <v>5005.9113018208964</v>
      </c>
      <c r="D31" s="218">
        <f>'ENV BENEFIT - VIABILITY'!H33</f>
        <v>-1.5118591786547046</v>
      </c>
      <c r="E31" s="217">
        <f>'ENV BENEFIT - VIABILITY'!K33</f>
        <v>1572014.989583333</v>
      </c>
      <c r="F31" s="19">
        <f>'ENV BENEFIT - VIABILITY'!M33</f>
        <v>-421.7034542694671</v>
      </c>
      <c r="G31" s="19">
        <f>'ENV BENEFIT - VIABILITY'!O33</f>
        <v>6</v>
      </c>
      <c r="H31" s="25">
        <f>'ENV BENEFIT - VIABILITY'!J33</f>
        <v>7.766568191895094</v>
      </c>
      <c r="I31" s="25">
        <f>'ENV BENEFIT - VIABILITY'!Q33</f>
        <v>1.875</v>
      </c>
      <c r="J31" s="217">
        <f>'CO2e v NPV'!$K32</f>
        <v>-275.67807350759148</v>
      </c>
      <c r="K31" s="217">
        <f>'CO2e v NPV'!$O32</f>
        <v>-254.44041291050672</v>
      </c>
      <c r="L31" s="126">
        <f>'CO2e v NPV'!$S32</f>
        <v>-233.20275231342191</v>
      </c>
      <c r="M31" s="217">
        <f>'CO2e v NPV'!$W32</f>
        <v>-211.96509171633707</v>
      </c>
      <c r="N31" s="217">
        <f>'CO2e v NPV'!$AA32</f>
        <v>-190.72743111925226</v>
      </c>
    </row>
    <row r="32" spans="1:14" x14ac:dyDescent="0.2">
      <c r="A32" t="str">
        <f>'ENV BENEFIT - VIABILITY'!A34</f>
        <v>TD-AirGs-CHP</v>
      </c>
      <c r="B32" s="25">
        <f>'ENV BENEFIT - VIABILITY'!D34</f>
        <v>0.05</v>
      </c>
      <c r="C32" s="19">
        <f>'ENV BENEFIT - VIABILITY'!F34</f>
        <v>630.27925417206779</v>
      </c>
      <c r="D32" s="218">
        <f>'ENV BENEFIT - VIABILITY'!H34</f>
        <v>-0.2456645401631668</v>
      </c>
      <c r="E32" s="217">
        <f>'ENV BENEFIT - VIABILITY'!K34</f>
        <v>443691.30000000005</v>
      </c>
      <c r="F32" s="19">
        <f>'ENV BENEFIT - VIABILITY'!M34</f>
        <v>-134.75670169539868</v>
      </c>
      <c r="G32" s="19">
        <f>'ENV BENEFIT - VIABILITY'!O34</f>
        <v>7</v>
      </c>
      <c r="H32" s="25">
        <f>'ENV BENEFIT - VIABILITY'!J34</f>
        <v>5.5709132927381422</v>
      </c>
      <c r="I32" s="25">
        <f>'ENV BENEFIT - VIABILITY'!Q34</f>
        <v>5.5918108327779743</v>
      </c>
      <c r="J32" s="217">
        <f>'CO2e v NPV'!$K33</f>
        <v>-82.228702296093047</v>
      </c>
      <c r="K32" s="217">
        <f>'CO2e v NPV'!$O33</f>
        <v>-78.777759114091936</v>
      </c>
      <c r="L32" s="126">
        <f>'CO2e v NPV'!$S33</f>
        <v>-75.326815932090824</v>
      </c>
      <c r="M32" s="217">
        <f>'CO2e v NPV'!$W33</f>
        <v>-71.875872750089727</v>
      </c>
      <c r="N32" s="217">
        <f>'CO2e v NPV'!$AA33</f>
        <v>-68.424929568088601</v>
      </c>
    </row>
    <row r="33" spans="1:14" x14ac:dyDescent="0.2">
      <c r="A33" t="str">
        <f>'ENV BENEFIT - VIABILITY'!A35</f>
        <v>TD-StmGs-CHP</v>
      </c>
      <c r="B33" s="25">
        <f>'ENV BENEFIT - VIABILITY'!D35</f>
        <v>0.08</v>
      </c>
      <c r="C33" s="19">
        <f>'ENV BENEFIT - VIABILITY'!F35</f>
        <v>490.94171156331123</v>
      </c>
      <c r="D33" s="218">
        <f>'ENV BENEFIT - VIABILITY'!H35</f>
        <v>-0.19143014535834679</v>
      </c>
      <c r="E33" s="217">
        <f>'ENV BENEFIT - VIABILITY'!K35</f>
        <v>443691.30000000005</v>
      </c>
      <c r="F33" s="19">
        <f>'ENV BENEFIT - VIABILITY'!M35</f>
        <v>-145.10510673492047</v>
      </c>
      <c r="G33" s="19">
        <f>'ENV BENEFIT - VIABILITY'!O35</f>
        <v>7</v>
      </c>
      <c r="H33" s="25">
        <f>'ENV BENEFIT - VIABILITY'!J35</f>
        <v>5.4549058279089229</v>
      </c>
      <c r="I33" s="25">
        <f>'ENV BENEFIT - VIABILITY'!Q35</f>
        <v>5.5265436274993771</v>
      </c>
      <c r="J33" s="217">
        <f>'CO2e v NPV'!$K34</f>
        <v>-85.136061884253735</v>
      </c>
      <c r="K33" s="217">
        <f>'CO2e v NPV'!$O34</f>
        <v>-82.446969862608697</v>
      </c>
      <c r="L33" s="126">
        <f>'CO2e v NPV'!$S34</f>
        <v>-79.757877840963658</v>
      </c>
      <c r="M33" s="217">
        <f>'CO2e v NPV'!$W34</f>
        <v>-77.068785819318634</v>
      </c>
      <c r="N33" s="217">
        <f>'CO2e v NPV'!$AA34</f>
        <v>-74.37969379767361</v>
      </c>
    </row>
    <row r="34" spans="1:14" x14ac:dyDescent="0.2">
      <c r="A34" t="str">
        <f>'ENV BENEFIT - VIABILITY'!A36</f>
        <v>FD-Torr-Comb_BSF</v>
      </c>
      <c r="B34" s="25">
        <f>'ENV BENEFIT - VIABILITY'!D36</f>
        <v>5.066666666666662E-3</v>
      </c>
      <c r="C34" s="19">
        <f>'ENV BENEFIT - VIABILITY'!F36</f>
        <v>1423.9941869153611</v>
      </c>
      <c r="D34" s="218">
        <f>'ENV BENEFIT - VIABILITY'!H36</f>
        <v>-1.6233260338584823</v>
      </c>
      <c r="E34" s="217">
        <f>'ENV BENEFIT - VIABILITY'!K36</f>
        <v>286390.15513333335</v>
      </c>
      <c r="F34" s="19">
        <f>'ENV BENEFIT - VIABILITY'!M36</f>
        <v>-336.25925439423031</v>
      </c>
      <c r="G34" s="19">
        <f>'ENV BENEFIT - VIABILITY'!O36</f>
        <v>7</v>
      </c>
      <c r="H34" s="25">
        <f>'ENV BENEFIT - VIABILITY'!J36</f>
        <v>6.6325265711286798</v>
      </c>
      <c r="I34" s="25">
        <f>'ENV BENEFIT - VIABILITY'!Q36</f>
        <v>4.7928412757499066</v>
      </c>
      <c r="J34" s="217">
        <f>'CO2e v NPV'!$K35</f>
        <v>-123.11024693857823</v>
      </c>
      <c r="K34" s="217">
        <f>'CO2e v NPV'!$O35</f>
        <v>-100.30676905370295</v>
      </c>
      <c r="L34" s="126">
        <f>'CO2e v NPV'!$S35</f>
        <v>-77.503291168827687</v>
      </c>
      <c r="M34" s="217">
        <f>'CO2e v NPV'!$W35</f>
        <v>-54.699813283952402</v>
      </c>
      <c r="N34" s="217">
        <f>'CO2e v NPV'!$AA35</f>
        <v>-31.896335399077131</v>
      </c>
    </row>
    <row r="35" spans="1:14" x14ac:dyDescent="0.2">
      <c r="A35" t="str">
        <f>'ENV BENEFIT - VIABILITY'!A37</f>
        <v>FD-Torr_BSF</v>
      </c>
      <c r="B35" s="25">
        <f>'ENV BENEFIT - VIABILITY'!D37</f>
        <v>5.066666666666662E-3</v>
      </c>
      <c r="C35" s="19">
        <f>'ENV BENEFIT - VIABILITY'!F37</f>
        <v>1264.343836414836</v>
      </c>
      <c r="D35" s="218">
        <f>'ENV BENEFIT - VIABILITY'!H37</f>
        <v>-3.6104007436215668</v>
      </c>
      <c r="E35" s="217">
        <f>'ENV BENEFIT - VIABILITY'!K37</f>
        <v>271028.17068888887</v>
      </c>
      <c r="F35" s="19">
        <f>'ENV BENEFIT - VIABILITY'!M37</f>
        <v>-460.9708543942304</v>
      </c>
      <c r="G35" s="19">
        <f>'ENV BENEFIT - VIABILITY'!O37</f>
        <v>7</v>
      </c>
      <c r="H35" s="25">
        <f>'ENV BENEFIT - VIABILITY'!J37</f>
        <v>7.5993067304230948</v>
      </c>
      <c r="I35" s="25">
        <f>'ENV BENEFIT - VIABILITY'!Q37</f>
        <v>4.4369154879333337</v>
      </c>
      <c r="J35" s="217">
        <f>'CO2e v NPV'!$K36</f>
        <v>-156.61147354950421</v>
      </c>
      <c r="K35" s="217">
        <f>'CO2e v NPV'!$O36</f>
        <v>-105.89480185477245</v>
      </c>
      <c r="L35" s="126">
        <f>'CO2e v NPV'!$S36</f>
        <v>-55.178130160040681</v>
      </c>
      <c r="M35" s="217">
        <f>'CO2e v NPV'!$W36</f>
        <v>-4.4614584653089233</v>
      </c>
      <c r="N35" s="217">
        <f>'CO2e v NPV'!$AA36</f>
        <v>46.255213229422836</v>
      </c>
    </row>
    <row r="36" spans="1:14" x14ac:dyDescent="0.2">
      <c r="A36" t="str">
        <f>'ENV BENEFIT - VIABILITY'!A38</f>
        <v>TE-PBR-TD-MWPy</v>
      </c>
      <c r="B36" s="25">
        <f>'ENV BENEFIT - VIABILITY'!D38</f>
        <v>1.1642264150943395E-3</v>
      </c>
      <c r="C36" s="19">
        <f>'ENV BENEFIT - VIABILITY'!F38</f>
        <v>2301.7802064793473</v>
      </c>
      <c r="D36" s="218">
        <f>'ENV BENEFIT - VIABILITY'!H38</f>
        <v>-0.74668473022106729</v>
      </c>
      <c r="E36" s="217">
        <f>'ENV BENEFIT - VIABILITY'!K38</f>
        <v>144989.78067283021</v>
      </c>
      <c r="F36" s="19">
        <f>'ENV BENEFIT - VIABILITY'!M38</f>
        <v>-6.1798271462752865</v>
      </c>
      <c r="G36" s="19">
        <f>'ENV BENEFIT - VIABILITY'!O38</f>
        <v>3</v>
      </c>
      <c r="H36" s="25">
        <f>'ENV BENEFIT - VIABILITY'!J38</f>
        <v>6.5118824228895331</v>
      </c>
      <c r="I36" s="25">
        <f>'ENV BENEFIT - VIABILITY'!Q38</f>
        <v>5.7988474361547517</v>
      </c>
      <c r="J36" s="217">
        <f>'CO2e v NPV'!$K37</f>
        <v>-16.235185689450997</v>
      </c>
      <c r="K36" s="217">
        <f>'CO2e v NPV'!$O37</f>
        <v>-5.7462214410931454</v>
      </c>
      <c r="L36" s="126">
        <f>'CO2e v NPV'!$S37</f>
        <v>4.7427428072647064</v>
      </c>
      <c r="M36" s="217">
        <f>'CO2e v NPV'!$W37</f>
        <v>15.231707055622564</v>
      </c>
      <c r="N36" s="217">
        <f>'CO2e v NPV'!$AA37</f>
        <v>25.720671303980417</v>
      </c>
    </row>
    <row r="37" spans="1:14" x14ac:dyDescent="0.2">
      <c r="A37" t="str">
        <f>'ENV BENEFIT - VIABILITY'!A39</f>
        <v>TD-Py</v>
      </c>
      <c r="B37" s="25">
        <f>'ENV BENEFIT - VIABILITY'!D39</f>
        <v>1E-3</v>
      </c>
      <c r="C37" s="19">
        <f>'ENV BENEFIT - VIABILITY'!F39</f>
        <v>3601.8121907506902</v>
      </c>
      <c r="D37" s="218">
        <f>'ENV BENEFIT - VIABILITY'!H39</f>
        <v>-1.9169907600165168</v>
      </c>
      <c r="E37" s="217">
        <f>'ENV BENEFIT - VIABILITY'!K39</f>
        <v>68694.184942499982</v>
      </c>
      <c r="F37" s="19">
        <f>'ENV BENEFIT - VIABILITY'!M39</f>
        <v>-775.72234427415549</v>
      </c>
      <c r="G37" s="19">
        <f>'ENV BENEFIT - VIABILITY'!O39</f>
        <v>7</v>
      </c>
      <c r="H37" s="25">
        <f>'ENV BENEFIT - VIABILITY'!J39</f>
        <v>7.6015348929569502</v>
      </c>
      <c r="I37" s="25">
        <f>'ENV BENEFIT - VIABILITY'!Q39</f>
        <v>5.0439174451725002</v>
      </c>
      <c r="J37" s="217">
        <f>'CO2e v NPV'!$K38</f>
        <v>-224.8067515192609</v>
      </c>
      <c r="K37" s="217">
        <f>'CO2e v NPV'!$O38</f>
        <v>-197.87805359303906</v>
      </c>
      <c r="L37" s="126">
        <f>'CO2e v NPV'!$S38</f>
        <v>-170.94935566681718</v>
      </c>
      <c r="M37" s="217">
        <f>'CO2e v NPV'!$W38</f>
        <v>-144.02065774059531</v>
      </c>
      <c r="N37" s="217">
        <f>'CO2e v NPV'!$AA38</f>
        <v>-117.09195981437344</v>
      </c>
    </row>
    <row r="38" spans="1:14" x14ac:dyDescent="0.2">
      <c r="A38" t="str">
        <f>'ENV BENEFIT - VIABILITY'!A40</f>
        <v>HTC-AD-CHP-LA</v>
      </c>
      <c r="B38" s="25">
        <f>'ENV BENEFIT - VIABILITY'!D40</f>
        <v>1.704</v>
      </c>
      <c r="C38" s="19">
        <f>'ENV BENEFIT - VIABILITY'!F40</f>
        <v>978.42248208704291</v>
      </c>
      <c r="D38" s="218">
        <f>'ENV BENEFIT - VIABILITY'!H40</f>
        <v>-1.0872649442528719</v>
      </c>
      <c r="E38" s="217">
        <f>'ENV BENEFIT - VIABILITY'!K40</f>
        <v>1419674.612183125</v>
      </c>
      <c r="F38" s="19">
        <f>'ENV BENEFIT - VIABILITY'!M40</f>
        <v>-579.75728113948765</v>
      </c>
      <c r="G38" s="19">
        <f>'ENV BENEFIT - VIABILITY'!O40</f>
        <v>4</v>
      </c>
      <c r="H38" s="25">
        <f>'ENV BENEFIT - VIABILITY'!J40</f>
        <v>4.149888444876364</v>
      </c>
      <c r="I38" s="25">
        <f>'ENV BENEFIT - VIABILITY'!Q40</f>
        <v>1.125</v>
      </c>
      <c r="J38" s="217">
        <f>'CO2e v NPV'!$K39</f>
        <v>-304.84887953248773</v>
      </c>
      <c r="K38" s="217">
        <f>'CO2e v NPV'!$O39</f>
        <v>-289.57565555027946</v>
      </c>
      <c r="L38" s="126">
        <f>'CO2e v NPV'!$S39</f>
        <v>-274.30243156807114</v>
      </c>
      <c r="M38" s="217">
        <f>'CO2e v NPV'!$W39</f>
        <v>-259.02920758586276</v>
      </c>
      <c r="N38" s="217">
        <f>'CO2e v NPV'!$AA39</f>
        <v>-243.75598360365444</v>
      </c>
    </row>
    <row r="39" spans="1:14" x14ac:dyDescent="0.2">
      <c r="B39" s="25"/>
      <c r="E39" s="25"/>
      <c r="F39" s="217"/>
      <c r="H39" s="217"/>
    </row>
    <row r="40" spans="1:14" x14ac:dyDescent="0.2">
      <c r="A40" t="s">
        <v>931</v>
      </c>
      <c r="B40" s="25"/>
    </row>
    <row r="41" spans="1:14" x14ac:dyDescent="0.2">
      <c r="A41" t="s">
        <v>932</v>
      </c>
      <c r="B41" s="25">
        <f>CORREL($B$4:$B$38,B$4:B$38)</f>
        <v>1.0000000000000002</v>
      </c>
      <c r="C41" s="25">
        <f t="shared" ref="C41:N41" si="0">CORREL($B$4:$B$38,C$4:C$38)</f>
        <v>-0.47973202052360364</v>
      </c>
      <c r="D41" s="25">
        <f t="shared" si="0"/>
        <v>0.26680505196092624</v>
      </c>
      <c r="E41" s="25">
        <f t="shared" si="0"/>
        <v>-0.27733197353108702</v>
      </c>
      <c r="F41" s="25">
        <f t="shared" si="0"/>
        <v>-0.16319442196525821</v>
      </c>
      <c r="G41" s="25">
        <f t="shared" si="0"/>
        <v>0.56542890542457636</v>
      </c>
      <c r="H41" s="25">
        <f t="shared" si="0"/>
        <v>-0.78675742945652694</v>
      </c>
      <c r="I41" s="25">
        <f t="shared" si="0"/>
        <v>0.2782645739721013</v>
      </c>
      <c r="J41" s="25">
        <f t="shared" si="0"/>
        <v>5.2177072147378052E-2</v>
      </c>
      <c r="K41" s="25">
        <f t="shared" si="0"/>
        <v>-7.7798528479774434E-2</v>
      </c>
      <c r="L41" s="25">
        <f t="shared" si="0"/>
        <v>-0.15853106288503668</v>
      </c>
      <c r="M41" s="25">
        <f t="shared" si="0"/>
        <v>-0.19913724066970637</v>
      </c>
      <c r="N41" s="25">
        <f t="shared" si="0"/>
        <v>-0.22038198509085846</v>
      </c>
    </row>
    <row r="42" spans="1:14" x14ac:dyDescent="0.2">
      <c r="A42" t="s">
        <v>933</v>
      </c>
      <c r="B42" s="25"/>
      <c r="C42" s="25">
        <f>CORREL($C$4:$C$38,C$4:C$38)</f>
        <v>0.99999999999999978</v>
      </c>
      <c r="D42" s="25">
        <f t="shared" ref="D42:N42" si="1">CORREL($C$4:$C$38,D$4:D$38)</f>
        <v>-0.64927408183530322</v>
      </c>
      <c r="E42" s="25">
        <f t="shared" si="1"/>
        <v>0.30691092826341199</v>
      </c>
      <c r="F42" s="25">
        <f t="shared" si="1"/>
        <v>8.2924955628473809E-2</v>
      </c>
      <c r="G42" s="25">
        <f t="shared" si="1"/>
        <v>-0.66971613252126827</v>
      </c>
      <c r="H42" s="25">
        <f t="shared" si="1"/>
        <v>0.87875064927141344</v>
      </c>
      <c r="I42" s="25">
        <f t="shared" si="1"/>
        <v>-0.29888515888676764</v>
      </c>
      <c r="J42" s="25">
        <f t="shared" si="1"/>
        <v>-0.123383680607714</v>
      </c>
      <c r="K42" s="25">
        <f t="shared" si="1"/>
        <v>0.19254661012961014</v>
      </c>
      <c r="L42" s="25">
        <f t="shared" si="1"/>
        <v>0.38831148238448759</v>
      </c>
      <c r="M42" s="25">
        <f t="shared" si="1"/>
        <v>0.48656559379139025</v>
      </c>
      <c r="N42" s="25">
        <f t="shared" si="1"/>
        <v>0.53787516680283753</v>
      </c>
    </row>
    <row r="43" spans="1:14" x14ac:dyDescent="0.2">
      <c r="A43" t="s">
        <v>97</v>
      </c>
      <c r="B43" s="25"/>
      <c r="C43" s="25"/>
      <c r="D43" s="25">
        <f>CORREL($D$4:$D$38,D$4:D$38)</f>
        <v>1.0000000000000002</v>
      </c>
      <c r="E43" s="25">
        <f t="shared" ref="E43:N43" si="2">CORREL($D$4:$D$38,E$4:E$38)</f>
        <v>-6.7192254822539002E-2</v>
      </c>
      <c r="F43" s="25">
        <f t="shared" si="2"/>
        <v>-1.5621248199934349E-2</v>
      </c>
      <c r="G43" s="25">
        <f t="shared" si="2"/>
        <v>0.58999240142671561</v>
      </c>
      <c r="H43" s="222">
        <f t="shared" si="2"/>
        <v>-0.64650861081472355</v>
      </c>
      <c r="I43" s="25">
        <f t="shared" si="2"/>
        <v>0.1486843301363992</v>
      </c>
      <c r="J43" s="25">
        <f t="shared" si="2"/>
        <v>2.8715156879021105E-2</v>
      </c>
      <c r="K43" s="25">
        <f t="shared" si="2"/>
        <v>-0.4413711842566983</v>
      </c>
      <c r="L43" s="25">
        <f t="shared" si="2"/>
        <v>-0.71147676321920583</v>
      </c>
      <c r="M43" s="25">
        <f t="shared" si="2"/>
        <v>-0.83756893281</v>
      </c>
      <c r="N43" s="25">
        <f t="shared" si="2"/>
        <v>-0.89907784063014484</v>
      </c>
    </row>
    <row r="44" spans="1:14" x14ac:dyDescent="0.2">
      <c r="A44" t="s">
        <v>41</v>
      </c>
      <c r="B44" s="25"/>
      <c r="C44" s="25"/>
      <c r="D44" s="25"/>
      <c r="E44" s="25">
        <f>CORREL($E$4:$E$38,E$4:E$38)</f>
        <v>1</v>
      </c>
      <c r="F44" s="25">
        <f t="shared" ref="F44:N44" si="3">CORREL($E$4:$E$38,F$4:F$38)</f>
        <v>-0.26488117606252543</v>
      </c>
      <c r="G44" s="25">
        <f t="shared" si="3"/>
        <v>-0.18363055691601596</v>
      </c>
      <c r="H44" s="25">
        <f t="shared" si="3"/>
        <v>0.23623176224092976</v>
      </c>
      <c r="I44" s="25">
        <f t="shared" si="3"/>
        <v>-0.89392314576153076</v>
      </c>
      <c r="J44" s="25">
        <f>CORREL($E$4:$E$38,J$4:J$38)</f>
        <v>-0.76160923992065677</v>
      </c>
      <c r="K44" s="25">
        <f t="shared" si="3"/>
        <v>-0.65230388466321154</v>
      </c>
      <c r="L44" s="25">
        <f t="shared" si="3"/>
        <v>-0.48624880663237263</v>
      </c>
      <c r="M44" s="25">
        <f t="shared" si="3"/>
        <v>-0.35893020060249986</v>
      </c>
      <c r="N44" s="25">
        <f t="shared" si="3"/>
        <v>-0.27230544567500559</v>
      </c>
    </row>
    <row r="45" spans="1:14" x14ac:dyDescent="0.2">
      <c r="A45" t="s">
        <v>934</v>
      </c>
      <c r="B45" s="25"/>
      <c r="C45" s="25"/>
      <c r="D45" s="25"/>
      <c r="E45" s="25"/>
      <c r="F45" s="25">
        <f>CORREL($F$4:$F$38,F$4:F$38)</f>
        <v>1</v>
      </c>
      <c r="G45" s="25">
        <f t="shared" ref="G45:N45" si="4">CORREL($F$4:$F$38,G$4:G$38)</f>
        <v>-0.16473576616495939</v>
      </c>
      <c r="H45" s="25">
        <f t="shared" si="4"/>
        <v>9.7837379086914616E-2</v>
      </c>
      <c r="I45" s="25">
        <f t="shared" si="4"/>
        <v>0.55605237806888541</v>
      </c>
      <c r="J45" s="25">
        <f t="shared" si="4"/>
        <v>0.82662531916254578</v>
      </c>
      <c r="K45" s="25">
        <f t="shared" si="4"/>
        <v>0.74935469552262279</v>
      </c>
      <c r="L45" s="25">
        <f t="shared" si="4"/>
        <v>0.59254669674250915</v>
      </c>
      <c r="M45" s="25">
        <f t="shared" si="4"/>
        <v>0.46512692798457561</v>
      </c>
      <c r="N45" s="25">
        <f t="shared" si="4"/>
        <v>0.37627777725339456</v>
      </c>
    </row>
    <row r="46" spans="1:14" x14ac:dyDescent="0.2">
      <c r="A46" t="s">
        <v>6</v>
      </c>
      <c r="B46" s="25"/>
      <c r="C46" s="25"/>
      <c r="D46" s="25"/>
      <c r="E46" s="25"/>
      <c r="F46" s="25"/>
      <c r="G46" s="25">
        <f>CORREL($G$4:$G$38,G$4:G$38)</f>
        <v>1</v>
      </c>
      <c r="H46" s="25">
        <f t="shared" ref="H46:N46" si="5">CORREL($G$4:$G$38,H$4:H$38)</f>
        <v>-0.73790655122559057</v>
      </c>
      <c r="I46" s="25">
        <f t="shared" si="5"/>
        <v>0.29637655794275602</v>
      </c>
      <c r="J46" s="25">
        <f t="shared" si="5"/>
        <v>-3.5427518366825026E-3</v>
      </c>
      <c r="K46" s="25">
        <f t="shared" si="5"/>
        <v>-0.27879445269270864</v>
      </c>
      <c r="L46" s="25">
        <f t="shared" si="5"/>
        <v>-0.43416646095216033</v>
      </c>
      <c r="M46" s="25">
        <f t="shared" si="5"/>
        <v>-0.50535524073070059</v>
      </c>
      <c r="N46" s="25">
        <f t="shared" si="5"/>
        <v>-0.53942066815406031</v>
      </c>
    </row>
    <row r="47" spans="1:14" x14ac:dyDescent="0.2">
      <c r="A47" t="s">
        <v>929</v>
      </c>
      <c r="B47" s="25"/>
      <c r="C47" s="25"/>
      <c r="D47" s="25"/>
      <c r="E47" s="25"/>
      <c r="F47" s="25"/>
      <c r="G47" s="25"/>
      <c r="H47" s="25">
        <f>CORREL($H$4:$H$38,H$4:H$38)</f>
        <v>0.99999999999999989</v>
      </c>
      <c r="I47" s="25">
        <f>CORREL($H$4:$H$38,I$4:I$38)</f>
        <v>-0.28434198948052813</v>
      </c>
      <c r="J47" s="25">
        <f t="shared" ref="J47:N47" si="6">CORREL($H$4:$H$38,J$4:J$38)</f>
        <v>-7.2113685030631008E-2</v>
      </c>
      <c r="K47" s="25">
        <f t="shared" si="6"/>
        <v>0.23727953256837805</v>
      </c>
      <c r="L47" s="25">
        <f t="shared" si="6"/>
        <v>0.42233087025738841</v>
      </c>
      <c r="M47" s="25">
        <f t="shared" si="6"/>
        <v>0.51222789565648585</v>
      </c>
      <c r="N47" s="25">
        <f t="shared" si="6"/>
        <v>0.55780870308096553</v>
      </c>
    </row>
    <row r="48" spans="1:14" x14ac:dyDescent="0.2">
      <c r="A48" t="s">
        <v>930</v>
      </c>
      <c r="B48" s="25"/>
      <c r="C48" s="25"/>
      <c r="D48" s="25"/>
      <c r="E48" s="25"/>
      <c r="F48" s="25"/>
      <c r="G48" s="25"/>
      <c r="H48" s="25"/>
      <c r="I48" s="25">
        <f>CORREL($I$4:$I$38,I$4:I$38)</f>
        <v>1.0000000000000002</v>
      </c>
      <c r="J48" s="222">
        <f t="shared" ref="J48:N48" si="7">CORREL($I$4:$I$38,J$4:J$38)</f>
        <v>0.89538200730420869</v>
      </c>
      <c r="K48" s="25">
        <f t="shared" si="7"/>
        <v>0.73432209092217671</v>
      </c>
      <c r="L48" s="25">
        <f t="shared" si="7"/>
        <v>0.52066621997545093</v>
      </c>
      <c r="M48" s="25">
        <f t="shared" si="7"/>
        <v>0.36251044294796553</v>
      </c>
      <c r="N48" s="25">
        <f t="shared" si="7"/>
        <v>0.25660123246047634</v>
      </c>
    </row>
    <row r="49" spans="1:14" x14ac:dyDescent="0.2">
      <c r="A49" t="s">
        <v>935</v>
      </c>
      <c r="J49" s="25">
        <f>CORREL($J$4:$J$38,J$4:J$38)</f>
        <v>1</v>
      </c>
      <c r="K49" s="25">
        <f t="shared" ref="K49:N49" si="8">CORREL($J$4:$J$38,K$4:K$38)</f>
        <v>0.8842805540654276</v>
      </c>
      <c r="L49" s="25">
        <f t="shared" si="8"/>
        <v>0.68198968398891824</v>
      </c>
      <c r="M49" s="25">
        <f t="shared" si="8"/>
        <v>0.52205544863294462</v>
      </c>
      <c r="N49" s="25">
        <f t="shared" si="8"/>
        <v>0.41179111343910341</v>
      </c>
    </row>
    <row r="50" spans="1:14" x14ac:dyDescent="0.2">
      <c r="A50" t="s">
        <v>936</v>
      </c>
      <c r="K50" s="25">
        <f>CORREL($K$4:$K$38,K$4:K$38)</f>
        <v>1.0000000000000002</v>
      </c>
      <c r="L50" s="25">
        <f t="shared" ref="L50:N50" si="9">CORREL($K$4:$K$38,L$4:L$38)</f>
        <v>0.94458398929703535</v>
      </c>
      <c r="M50" s="25">
        <f t="shared" si="9"/>
        <v>0.8599156422673393</v>
      </c>
      <c r="N50" s="25">
        <f t="shared" si="9"/>
        <v>0.7896657240049807</v>
      </c>
    </row>
    <row r="51" spans="1:14" x14ac:dyDescent="0.2">
      <c r="A51" t="s">
        <v>937</v>
      </c>
      <c r="L51" s="25">
        <f>CORREL($L$4:$L$38,L$4:L$38)</f>
        <v>0.99999999999999978</v>
      </c>
      <c r="M51" s="25">
        <f>CORREL($L$4:$L$38,M$4:M$38)</f>
        <v>0.97982334861129583</v>
      </c>
      <c r="N51" s="25">
        <f>CORREL($L$4:$L$38,N$4:N$38)</f>
        <v>0.94731139736493342</v>
      </c>
    </row>
    <row r="52" spans="1:14" x14ac:dyDescent="0.2">
      <c r="A52" t="s">
        <v>1018</v>
      </c>
      <c r="M52" s="25">
        <f>CORREL($M$4:$M$38,M$4:M$38)</f>
        <v>1</v>
      </c>
      <c r="N52" s="25">
        <f>CORREL($M$4:$M$38,N$4:N$38)</f>
        <v>0.99221755127574474</v>
      </c>
    </row>
    <row r="53" spans="1:14" x14ac:dyDescent="0.2">
      <c r="A53" t="s">
        <v>938</v>
      </c>
      <c r="N53" s="25">
        <f>CORREL($N$4:$N$38,N$4:N$38)</f>
        <v>1</v>
      </c>
    </row>
  </sheetData>
  <conditionalFormatting sqref="B41:M46 H47:M47 I48:M48 J49:M49 K50:M50 L51:M51 M52 N41:N53">
    <cfRule type="colorScale" priority="1">
      <colorScale>
        <cfvo type="num" val="-1"/>
        <cfvo type="num" val="0"/>
        <cfvo type="num" val="1"/>
        <color rgb="FFC6F0CE"/>
        <color rgb="FFF7C0C6"/>
        <color rgb="FFC6F0CE"/>
      </colorScale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SI</vt:lpstr>
      <vt:lpstr>Energy Balance</vt:lpstr>
      <vt:lpstr>GWP</vt:lpstr>
      <vt:lpstr>Commercial Viability</vt:lpstr>
      <vt:lpstr>ENV BENEFIT - VIABILITY</vt:lpstr>
      <vt:lpstr>ENV-Com</vt:lpstr>
      <vt:lpstr>ENV-TRL</vt:lpstr>
      <vt:lpstr>CO2e v NPV</vt:lpstr>
      <vt:lpstr>CORREL</vt:lpstr>
      <vt:lpstr>EROI_Electricity</vt:lpstr>
      <vt:lpstr>EF_disp,crude</vt:lpstr>
      <vt:lpstr>EF_elec</vt:lpstr>
      <vt:lpstr>SI!Print_Area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Clack</dc:creator>
  <cp:lastModifiedBy>Kevin Clack</cp:lastModifiedBy>
  <cp:lastPrinted>2023-03-06T22:28:49Z</cp:lastPrinted>
  <dcterms:created xsi:type="dcterms:W3CDTF">2021-02-05T20:17:12Z</dcterms:created>
  <dcterms:modified xsi:type="dcterms:W3CDTF">2023-04-08T00:07:15Z</dcterms:modified>
</cp:coreProperties>
</file>