
<file path=[Content_Types].xml><?xml version="1.0" encoding="utf-8"?>
<Types xmlns="http://schemas.openxmlformats.org/package/2006/content-types">
  <Default Extension="png" ContentType="image/png"/>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omments3.xml" ContentType="application/vnd.openxmlformats-officedocument.spreadsheetml.comments+xml"/>
  <Override PartName="/xl/comments4.xml" ContentType="application/vnd.openxmlformats-officedocument.spreadsheetml.comments+xml"/>
  <Override PartName="/xl/drawings/drawing3.xml" ContentType="application/vnd.openxmlformats-officedocument.drawing+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fp239\OneDrive - Bangor University\Laptop\Documents\601 PhD\102 Chapters\Chapter 4 - value chain analysis\"/>
    </mc:Choice>
  </mc:AlternateContent>
  <bookViews>
    <workbookView xWindow="-120" yWindow="0" windowWidth="2280" windowHeight="0" tabRatio="887" activeTab="2"/>
  </bookViews>
  <sheets>
    <sheet name="Description of worksheets" sheetId="60" r:id="rId1"/>
    <sheet name="material_flow" sheetId="3" r:id="rId2"/>
    <sheet name="GWP_impact" sheetId="6" r:id="rId3"/>
    <sheet name="database" sheetId="5" r:id="rId4"/>
    <sheet name="C_model" sheetId="7" r:id="rId5"/>
    <sheet name="HWP" sheetId="8" r:id="rId6"/>
    <sheet name="fossilfuel_substitution" sheetId="9" r:id="rId7"/>
    <sheet name="concrete_substitution" sheetId="18" r:id="rId8"/>
    <sheet name="decarb_proj" sheetId="61" state="hidden" r:id="rId9"/>
    <sheet name="LCI_inventory" sheetId="14" state="hidden" r:id="rId10"/>
    <sheet name="biogenic_C_ems" sheetId="22" state="hidden" r:id="rId11"/>
    <sheet name="mulch_C_storage" sheetId="19" state="hidden" r:id="rId12"/>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35" i="6" l="1"/>
  <c r="E6" i="61"/>
  <c r="E7" i="61" s="1"/>
  <c r="D6" i="61"/>
  <c r="D7" i="61" s="1"/>
  <c r="C6" i="61"/>
  <c r="C7" i="61" s="1"/>
  <c r="B6" i="61"/>
  <c r="B7" i="61" s="1"/>
  <c r="Q78" i="6" l="1"/>
  <c r="T24" i="6" l="1"/>
  <c r="X14" i="6" s="1"/>
  <c r="R83" i="6"/>
  <c r="R84" i="6"/>
  <c r="O82" i="6"/>
  <c r="O81" i="6"/>
  <c r="Q71" i="6" l="1"/>
  <c r="T20" i="6"/>
  <c r="S20" i="6"/>
  <c r="AP63" i="3" l="1"/>
  <c r="AV61" i="3"/>
  <c r="O103" i="6" l="1"/>
  <c r="O102" i="6"/>
  <c r="Y7" i="6" l="1"/>
  <c r="Q54" i="6" l="1"/>
  <c r="O54" i="6"/>
  <c r="O53" i="6"/>
  <c r="N55" i="6"/>
  <c r="N54" i="6"/>
  <c r="N53" i="6"/>
  <c r="T15" i="6" l="1"/>
  <c r="P101" i="6" l="1"/>
  <c r="Q101" i="6" s="1"/>
  <c r="N101" i="6"/>
  <c r="O101" i="6" s="1"/>
  <c r="P105" i="6"/>
  <c r="P107" i="6"/>
  <c r="P106" i="6"/>
  <c r="O98" i="6"/>
  <c r="O100" i="6" s="1"/>
  <c r="O99" i="6"/>
  <c r="P96" i="6"/>
  <c r="P95" i="6"/>
  <c r="N100" i="6"/>
  <c r="P98" i="6"/>
  <c r="Q98" i="6" s="1"/>
  <c r="P99" i="6"/>
  <c r="Q99" i="6" s="1"/>
  <c r="M100" i="6"/>
  <c r="P94" i="6"/>
  <c r="R107" i="6" l="1"/>
  <c r="R105" i="6"/>
  <c r="R106" i="6"/>
  <c r="S106" i="6"/>
  <c r="S105" i="6"/>
  <c r="S107" i="6"/>
  <c r="Q100" i="6"/>
  <c r="M95" i="6"/>
  <c r="N95" i="6" s="1"/>
  <c r="Q95" i="6" s="1"/>
  <c r="M96" i="6"/>
  <c r="N96" i="6"/>
  <c r="Q96" i="6" s="1"/>
  <c r="M94" i="6"/>
  <c r="N94" i="6" s="1"/>
  <c r="N97" i="6" l="1"/>
  <c r="O97" i="6" s="1"/>
  <c r="Q94" i="6"/>
  <c r="Q97" i="6" s="1"/>
  <c r="Q102" i="6"/>
  <c r="R108" i="6"/>
  <c r="S108" i="6"/>
  <c r="Q106" i="6" l="1"/>
  <c r="Q105" i="6"/>
  <c r="Q107" i="6"/>
  <c r="AU61" i="3"/>
  <c r="Q108" i="6" l="1"/>
  <c r="T108" i="6" s="1"/>
  <c r="O110" i="6" s="1"/>
  <c r="T23" i="6" s="1"/>
  <c r="X13" i="6" s="1"/>
  <c r="N69" i="6" l="1"/>
  <c r="N75" i="6" l="1"/>
  <c r="N76" i="6" l="1"/>
  <c r="P75" i="6"/>
  <c r="R75" i="6" s="1"/>
  <c r="C75" i="3" l="1"/>
  <c r="I62" i="3"/>
  <c r="I66" i="3" l="1"/>
  <c r="Q66" i="3" s="1"/>
  <c r="V69" i="3" s="1"/>
  <c r="I64" i="3"/>
  <c r="Q64" i="3" s="1"/>
  <c r="AF65" i="3" s="1"/>
  <c r="AP62" i="3" s="1"/>
  <c r="I63" i="3"/>
  <c r="Q63" i="3" s="1"/>
  <c r="AF64" i="3" s="1"/>
  <c r="AP60" i="3" s="1"/>
  <c r="I61" i="3"/>
  <c r="Q61" i="3" s="1"/>
  <c r="I60" i="3"/>
  <c r="Q60" i="3" s="1"/>
  <c r="E67" i="3"/>
  <c r="I73" i="3"/>
  <c r="Q73" i="3" s="1"/>
  <c r="V76" i="3" s="1"/>
  <c r="AQ69" i="3"/>
  <c r="AB72" i="3" l="1"/>
  <c r="AB69" i="3"/>
  <c r="AB70" i="3"/>
  <c r="AB71" i="3"/>
  <c r="V66" i="3"/>
  <c r="AB78" i="3"/>
  <c r="AB79" i="3"/>
  <c r="AF62" i="3" s="1"/>
  <c r="AB76" i="3"/>
  <c r="AB77" i="3"/>
  <c r="M80" i="3"/>
  <c r="V73" i="3"/>
  <c r="AF85" i="3" l="1"/>
  <c r="AF87" i="3"/>
  <c r="AF60" i="3"/>
  <c r="AF61" i="3"/>
  <c r="AB68" i="3"/>
  <c r="AB67" i="3"/>
  <c r="AB66" i="3"/>
  <c r="AB74" i="3"/>
  <c r="AB75" i="3"/>
  <c r="AB73" i="3"/>
  <c r="Q80" i="3"/>
  <c r="AF69" i="3" s="1"/>
  <c r="Q81" i="3"/>
  <c r="AF63" i="3" l="1"/>
  <c r="AP61" i="3"/>
  <c r="AF68" i="3"/>
  <c r="AP64" i="3" s="1"/>
  <c r="AF66" i="3"/>
  <c r="AP66" i="3" s="1"/>
  <c r="AF67" i="3"/>
  <c r="AP65" i="3" s="1"/>
  <c r="AP67" i="3"/>
  <c r="AF92" i="3" l="1"/>
  <c r="AP69" i="3"/>
  <c r="N70" i="6" l="1"/>
  <c r="AF70" i="3" l="1"/>
  <c r="T19" i="6" l="1"/>
  <c r="S19" i="6"/>
  <c r="T18" i="6"/>
  <c r="S18" i="6"/>
  <c r="T17" i="6"/>
  <c r="S17" i="6"/>
  <c r="M54" i="6"/>
  <c r="M53" i="6"/>
  <c r="J42" i="6"/>
  <c r="D41" i="3"/>
  <c r="M85" i="3"/>
  <c r="C13" i="6"/>
  <c r="Y114" i="7"/>
  <c r="Z114" i="7" l="1"/>
  <c r="AA114" i="7"/>
  <c r="K53" i="6"/>
  <c r="K54" i="6" s="1"/>
  <c r="N56" i="6"/>
  <c r="N58" i="6"/>
  <c r="N59" i="6" s="1"/>
  <c r="X12" i="6"/>
  <c r="S14" i="6"/>
  <c r="T14" i="6"/>
  <c r="S15" i="6"/>
  <c r="W12" i="6"/>
  <c r="X116" i="7"/>
  <c r="K107" i="7"/>
  <c r="N57" i="6" l="1"/>
  <c r="M63" i="6"/>
  <c r="M62" i="6"/>
  <c r="N63" i="6" s="1"/>
  <c r="Z121" i="7"/>
  <c r="O79" i="6"/>
  <c r="X7" i="6"/>
  <c r="Z7" i="6"/>
  <c r="W7" i="6"/>
  <c r="D39" i="3"/>
  <c r="D40" i="3"/>
  <c r="C18" i="6"/>
  <c r="C16" i="6"/>
  <c r="C14" i="6"/>
  <c r="N107" i="7"/>
  <c r="C4" i="6"/>
  <c r="J18" i="18" l="1"/>
  <c r="J17" i="18"/>
  <c r="J19" i="18" l="1"/>
  <c r="E80" i="14" l="1"/>
  <c r="G80" i="14"/>
  <c r="E81" i="14"/>
  <c r="E82" i="14" s="1"/>
  <c r="G82" i="14"/>
  <c r="E83" i="14"/>
  <c r="F46" i="3" l="1"/>
  <c r="G144" i="6" l="1"/>
  <c r="G142" i="6"/>
  <c r="E142" i="6"/>
  <c r="E144" i="6"/>
  <c r="AA84" i="3" l="1"/>
  <c r="C23" i="9"/>
  <c r="B51" i="3" s="1"/>
  <c r="B56" i="3"/>
  <c r="D39" i="18" l="1"/>
  <c r="D40" i="18" s="1"/>
  <c r="C39" i="18"/>
  <c r="C40" i="18" s="1"/>
  <c r="J15" i="8" l="1"/>
  <c r="J11" i="8"/>
  <c r="R115" i="7"/>
  <c r="J13" i="8" s="1"/>
  <c r="R114" i="7"/>
  <c r="J12" i="8" l="1"/>
  <c r="S114" i="7"/>
  <c r="T114" i="7" l="1"/>
  <c r="C39" i="3"/>
  <c r="U38" i="8" l="1"/>
  <c r="L18" i="8" l="1"/>
  <c r="T9" i="3"/>
  <c r="R111" i="7"/>
  <c r="R109" i="7"/>
  <c r="S115" i="7"/>
  <c r="T115" i="7" l="1"/>
  <c r="C40" i="3"/>
  <c r="H12" i="8"/>
  <c r="T112" i="7"/>
  <c r="H13" i="8"/>
  <c r="U119" i="7"/>
  <c r="K178" i="8"/>
  <c r="K179" i="8"/>
  <c r="K180" i="8"/>
  <c r="K181" i="8"/>
  <c r="K182" i="8"/>
  <c r="K183" i="8"/>
  <c r="K184" i="8"/>
  <c r="K185" i="8"/>
  <c r="K186" i="8"/>
  <c r="K187" i="8"/>
  <c r="K188" i="8"/>
  <c r="K189" i="8"/>
  <c r="K190" i="8"/>
  <c r="K191" i="8"/>
  <c r="K192" i="8"/>
  <c r="K193" i="8"/>
  <c r="K194" i="8"/>
  <c r="K195" i="8"/>
  <c r="K196" i="8"/>
  <c r="K197" i="8"/>
  <c r="K198" i="8"/>
  <c r="K177" i="8"/>
  <c r="V47" i="8"/>
  <c r="T119" i="7" l="1"/>
  <c r="G10" i="6"/>
  <c r="G9" i="6"/>
  <c r="C5" i="9" l="1"/>
  <c r="C8" i="6" l="1"/>
  <c r="G8" i="6" s="1"/>
  <c r="D52" i="3" l="1"/>
  <c r="B86" i="14" l="1"/>
  <c r="G21" i="18"/>
  <c r="F21" i="18"/>
  <c r="C98" i="6" l="1"/>
  <c r="C23" i="19"/>
  <c r="G23" i="19" s="1"/>
  <c r="E23" i="19"/>
  <c r="D23" i="19"/>
  <c r="F23" i="19" l="1"/>
  <c r="G26" i="18"/>
  <c r="I32" i="18" s="1"/>
  <c r="G25" i="18"/>
  <c r="G34" i="18" s="1"/>
  <c r="G24" i="18"/>
  <c r="G33" i="18" s="1"/>
  <c r="G22" i="18"/>
  <c r="E31" i="18" s="1"/>
  <c r="G32" i="18" l="1"/>
  <c r="M33" i="18"/>
  <c r="G31" i="18"/>
  <c r="E34" i="18"/>
  <c r="K34" i="18" s="1"/>
  <c r="C33" i="18"/>
  <c r="C32" i="18"/>
  <c r="K32" i="18" s="1"/>
  <c r="M35" i="18" s="1"/>
  <c r="I33" i="18"/>
  <c r="M34" i="18"/>
  <c r="C31" i="18"/>
  <c r="I76" i="14" l="1"/>
  <c r="K31" i="18"/>
  <c r="M37" i="18" s="1"/>
  <c r="K33" i="18"/>
  <c r="H60" i="18"/>
  <c r="I60" i="18" s="1"/>
  <c r="H59" i="18"/>
  <c r="I59" i="18" s="1"/>
  <c r="H58" i="18"/>
  <c r="I58" i="18" s="1"/>
  <c r="H57" i="18"/>
  <c r="C68" i="18" s="1"/>
  <c r="F24" i="18"/>
  <c r="F26" i="18"/>
  <c r="H32" i="18" s="1"/>
  <c r="F25" i="18"/>
  <c r="F34" i="18" s="1"/>
  <c r="F22" i="18"/>
  <c r="D31" i="18" s="1"/>
  <c r="L34" i="18" l="1"/>
  <c r="L33" i="18"/>
  <c r="L17" i="18" s="1"/>
  <c r="L19" i="18" s="1"/>
  <c r="B31" i="18"/>
  <c r="D68" i="18"/>
  <c r="H61" i="18"/>
  <c r="F31" i="18"/>
  <c r="I57" i="18"/>
  <c r="I61" i="18" s="1"/>
  <c r="J57" i="18"/>
  <c r="K57" i="18" s="1"/>
  <c r="B32" i="18"/>
  <c r="F32" i="18"/>
  <c r="H33" i="18"/>
  <c r="F33" i="18"/>
  <c r="D34" i="18"/>
  <c r="J34" i="18" s="1"/>
  <c r="B33" i="18"/>
  <c r="G124" i="3"/>
  <c r="D124" i="3"/>
  <c r="G127" i="3"/>
  <c r="G126" i="3"/>
  <c r="G125" i="3"/>
  <c r="D127" i="3"/>
  <c r="D126" i="3"/>
  <c r="D125" i="3"/>
  <c r="N21" i="18" l="1"/>
  <c r="L21" i="18"/>
  <c r="L22" i="18"/>
  <c r="N22" i="18"/>
  <c r="E125" i="3"/>
  <c r="H126" i="3"/>
  <c r="J31" i="18"/>
  <c r="L37" i="18" s="1"/>
  <c r="J68" i="18"/>
  <c r="H68" i="18"/>
  <c r="I68" i="18" s="1"/>
  <c r="J76" i="14"/>
  <c r="J32" i="18"/>
  <c r="L35" i="18" s="1"/>
  <c r="J33" i="18"/>
  <c r="E126" i="3"/>
  <c r="E127" i="3"/>
  <c r="E124" i="3"/>
  <c r="F124" i="3" s="1"/>
  <c r="G105" i="3" s="1"/>
  <c r="E26" i="8" s="1"/>
  <c r="F26" i="8" s="1"/>
  <c r="H124" i="3"/>
  <c r="H127" i="3"/>
  <c r="I127" i="3" s="1"/>
  <c r="G111" i="3" s="1"/>
  <c r="H125" i="3"/>
  <c r="F126" i="3" l="1"/>
  <c r="G107" i="3" s="1"/>
  <c r="B105" i="3"/>
  <c r="I125" i="3"/>
  <c r="F127" i="3"/>
  <c r="G108" i="3" s="1"/>
  <c r="I126" i="3"/>
  <c r="G110" i="3" s="1"/>
  <c r="I124" i="3"/>
  <c r="E128" i="3"/>
  <c r="B110" i="3"/>
  <c r="F125" i="3"/>
  <c r="G106" i="3" s="1"/>
  <c r="E27" i="8" s="1"/>
  <c r="F27" i="8" s="1"/>
  <c r="B107" i="3"/>
  <c r="H128" i="3"/>
  <c r="B109" i="3"/>
  <c r="V119" i="7" l="1"/>
  <c r="F123" i="6" l="1"/>
  <c r="D296" i="7" l="1"/>
  <c r="G8" i="14" l="1"/>
  <c r="E8" i="14"/>
  <c r="M38" i="14" l="1"/>
  <c r="M29" i="14"/>
  <c r="D53" i="3" l="1"/>
  <c r="C4" i="9" s="1"/>
  <c r="B16" i="3" l="1"/>
  <c r="D16" i="3" s="1"/>
  <c r="B12" i="3"/>
  <c r="D14" i="3" s="1"/>
  <c r="D12" i="3" l="1"/>
  <c r="F7" i="6"/>
  <c r="F5" i="6"/>
  <c r="E9" i="6"/>
  <c r="F127" i="6" l="1"/>
  <c r="G499" i="8"/>
  <c r="G498" i="8"/>
  <c r="N470" i="8"/>
  <c r="F161" i="6"/>
  <c r="F159" i="6"/>
  <c r="F155" i="6"/>
  <c r="F153" i="6"/>
  <c r="F125" i="6"/>
  <c r="F102" i="6"/>
  <c r="F20" i="6"/>
  <c r="G4" i="6" l="1"/>
  <c r="J83" i="14" l="1"/>
  <c r="C160" i="6"/>
  <c r="G160" i="6" s="1"/>
  <c r="C6" i="6"/>
  <c r="G6" i="6" s="1"/>
  <c r="C159" i="6"/>
  <c r="G159" i="6" s="1"/>
  <c r="H159" i="6" s="1"/>
  <c r="C5" i="6"/>
  <c r="G5" i="6" s="1"/>
  <c r="H5" i="6" s="1"/>
  <c r="C161" i="6"/>
  <c r="G161" i="6" s="1"/>
  <c r="G115" i="6"/>
  <c r="E42" i="3"/>
  <c r="E40" i="3"/>
  <c r="E39" i="3"/>
  <c r="N355" i="8"/>
  <c r="G384" i="8"/>
  <c r="G383" i="8"/>
  <c r="T32" i="8"/>
  <c r="T34" i="8"/>
  <c r="T35" i="8"/>
  <c r="T36" i="8"/>
  <c r="T37" i="8"/>
  <c r="T38" i="8"/>
  <c r="T31" i="8"/>
  <c r="C44" i="8" s="1"/>
  <c r="C7" i="6" l="1"/>
  <c r="G7" i="6" s="1"/>
  <c r="H7" i="6" s="1"/>
  <c r="H161" i="6"/>
  <c r="M48" i="8"/>
  <c r="C48" i="8"/>
  <c r="L17" i="8"/>
  <c r="H17" i="8" s="1"/>
  <c r="K44" i="8"/>
  <c r="E44" i="8"/>
  <c r="D44" i="8"/>
  <c r="F44" i="8"/>
  <c r="G44" i="8"/>
  <c r="H44" i="8"/>
  <c r="I44" i="8"/>
  <c r="J44" i="8"/>
  <c r="G15" i="8"/>
  <c r="G13" i="8"/>
  <c r="G14" i="8"/>
  <c r="G12" i="8"/>
  <c r="H9" i="8"/>
  <c r="I9" i="8"/>
  <c r="G10" i="8"/>
  <c r="G11" i="8"/>
  <c r="M49" i="8" l="1"/>
  <c r="N48" i="8"/>
  <c r="S48" i="8"/>
  <c r="S49" i="8" s="1"/>
  <c r="S50" i="8" s="1"/>
  <c r="S51" i="8" s="1"/>
  <c r="S52" i="8" s="1"/>
  <c r="S53" i="8" s="1"/>
  <c r="S54" i="8" s="1"/>
  <c r="S55" i="8" s="1"/>
  <c r="S56" i="8" s="1"/>
  <c r="S57" i="8" s="1"/>
  <c r="S58" i="8" s="1"/>
  <c r="S59" i="8" s="1"/>
  <c r="S60" i="8" s="1"/>
  <c r="S61" i="8" s="1"/>
  <c r="S62" i="8" s="1"/>
  <c r="S63" i="8" s="1"/>
  <c r="S64" i="8" s="1"/>
  <c r="S65" i="8" s="1"/>
  <c r="S66" i="8" s="1"/>
  <c r="S67" i="8" s="1"/>
  <c r="R48" i="8"/>
  <c r="R49" i="8" s="1"/>
  <c r="R50" i="8" s="1"/>
  <c r="R51" i="8" s="1"/>
  <c r="R52" i="8" s="1"/>
  <c r="R53" i="8" s="1"/>
  <c r="R54" i="8" s="1"/>
  <c r="R55" i="8" s="1"/>
  <c r="R56" i="8" s="1"/>
  <c r="R57" i="8" s="1"/>
  <c r="R58" i="8" s="1"/>
  <c r="R59" i="8" s="1"/>
  <c r="R60" i="8" s="1"/>
  <c r="R61" i="8" s="1"/>
  <c r="R62" i="8" s="1"/>
  <c r="R63" i="8" s="1"/>
  <c r="R64" i="8" s="1"/>
  <c r="R65" i="8" s="1"/>
  <c r="R66" i="8" s="1"/>
  <c r="R67" i="8" s="1"/>
  <c r="T48" i="8"/>
  <c r="T49" i="8" s="1"/>
  <c r="T50" i="8" s="1"/>
  <c r="T51" i="8" s="1"/>
  <c r="T52" i="8" s="1"/>
  <c r="T53" i="8" s="1"/>
  <c r="T54" i="8" s="1"/>
  <c r="T55" i="8" s="1"/>
  <c r="T56" i="8" s="1"/>
  <c r="T57" i="8" s="1"/>
  <c r="T58" i="8" s="1"/>
  <c r="T59" i="8" s="1"/>
  <c r="T60" i="8" s="1"/>
  <c r="T61" i="8" s="1"/>
  <c r="T62" i="8" s="1"/>
  <c r="T63" i="8" s="1"/>
  <c r="T64" i="8" s="1"/>
  <c r="T65" i="8" s="1"/>
  <c r="T66" i="8" s="1"/>
  <c r="T67" i="8" s="1"/>
  <c r="P48" i="8"/>
  <c r="P49" i="8" s="1"/>
  <c r="P50" i="8" s="1"/>
  <c r="P51" i="8" s="1"/>
  <c r="P52" i="8" s="1"/>
  <c r="P53" i="8" s="1"/>
  <c r="P54" i="8" s="1"/>
  <c r="P55" i="8" s="1"/>
  <c r="P56" i="8" s="1"/>
  <c r="P57" i="8" s="1"/>
  <c r="P58" i="8" s="1"/>
  <c r="P59" i="8" s="1"/>
  <c r="P60" i="8" s="1"/>
  <c r="P61" i="8" s="1"/>
  <c r="P62" i="8" s="1"/>
  <c r="P63" i="8" s="1"/>
  <c r="P64" i="8" s="1"/>
  <c r="P65" i="8" s="1"/>
  <c r="P66" i="8" s="1"/>
  <c r="P67" i="8" s="1"/>
  <c r="Q48" i="8"/>
  <c r="Q49" i="8" s="1"/>
  <c r="Q50" i="8" s="1"/>
  <c r="Q51" i="8" s="1"/>
  <c r="Q52" i="8" s="1"/>
  <c r="Q53" i="8" s="1"/>
  <c r="Q54" i="8" s="1"/>
  <c r="Q55" i="8" s="1"/>
  <c r="Q56" i="8" s="1"/>
  <c r="Q57" i="8" s="1"/>
  <c r="Q58" i="8" s="1"/>
  <c r="Q59" i="8" s="1"/>
  <c r="Q60" i="8" s="1"/>
  <c r="Q61" i="8" s="1"/>
  <c r="Q62" i="8" s="1"/>
  <c r="Q63" i="8" s="1"/>
  <c r="Q64" i="8" s="1"/>
  <c r="Q65" i="8" s="1"/>
  <c r="Q66" i="8" s="1"/>
  <c r="Q67" i="8" s="1"/>
  <c r="J48" i="8"/>
  <c r="J49" i="8" s="1"/>
  <c r="J50" i="8" s="1"/>
  <c r="J51" i="8" s="1"/>
  <c r="J52" i="8" s="1"/>
  <c r="J53" i="8" s="1"/>
  <c r="J54" i="8" s="1"/>
  <c r="J55" i="8" s="1"/>
  <c r="J56" i="8" s="1"/>
  <c r="J57" i="8" s="1"/>
  <c r="J58" i="8" s="1"/>
  <c r="J59" i="8" s="1"/>
  <c r="J60" i="8" s="1"/>
  <c r="J61" i="8" s="1"/>
  <c r="J62" i="8" s="1"/>
  <c r="J63" i="8" s="1"/>
  <c r="J64" i="8" s="1"/>
  <c r="J65" i="8" s="1"/>
  <c r="J66" i="8" s="1"/>
  <c r="J67" i="8" s="1"/>
  <c r="J68" i="8" s="1"/>
  <c r="J69" i="8" s="1"/>
  <c r="J70" i="8" s="1"/>
  <c r="J71" i="8" s="1"/>
  <c r="J72" i="8" s="1"/>
  <c r="J73" i="8" s="1"/>
  <c r="J74" i="8" s="1"/>
  <c r="J75" i="8" s="1"/>
  <c r="J76" i="8" s="1"/>
  <c r="J77" i="8" s="1"/>
  <c r="J78" i="8" s="1"/>
  <c r="J79" i="8" s="1"/>
  <c r="J80" i="8" s="1"/>
  <c r="J81" i="8" s="1"/>
  <c r="J82" i="8" s="1"/>
  <c r="J83" i="8" s="1"/>
  <c r="J84" i="8" s="1"/>
  <c r="J85" i="8" s="1"/>
  <c r="J86" i="8" s="1"/>
  <c r="J87" i="8" s="1"/>
  <c r="J88" i="8" s="1"/>
  <c r="J89" i="8" s="1"/>
  <c r="J90" i="8" s="1"/>
  <c r="J91" i="8" s="1"/>
  <c r="J92" i="8" s="1"/>
  <c r="J93" i="8" s="1"/>
  <c r="J94" i="8" s="1"/>
  <c r="J95" i="8" s="1"/>
  <c r="J96" i="8" s="1"/>
  <c r="H48" i="8"/>
  <c r="H49" i="8" s="1"/>
  <c r="H50" i="8" s="1"/>
  <c r="H51" i="8" s="1"/>
  <c r="H52" i="8" s="1"/>
  <c r="H53" i="8" s="1"/>
  <c r="H54" i="8" s="1"/>
  <c r="H55" i="8" s="1"/>
  <c r="H56" i="8" s="1"/>
  <c r="H57" i="8" s="1"/>
  <c r="H58" i="8" s="1"/>
  <c r="H59" i="8" s="1"/>
  <c r="H60" i="8" s="1"/>
  <c r="H61" i="8" s="1"/>
  <c r="H62" i="8" s="1"/>
  <c r="H63" i="8" s="1"/>
  <c r="H64" i="8" s="1"/>
  <c r="H65" i="8" s="1"/>
  <c r="H66" i="8" s="1"/>
  <c r="H67" i="8" s="1"/>
  <c r="H68" i="8" s="1"/>
  <c r="H69" i="8" s="1"/>
  <c r="H70" i="8" s="1"/>
  <c r="H71" i="8" s="1"/>
  <c r="H72" i="8" s="1"/>
  <c r="H73" i="8" s="1"/>
  <c r="H74" i="8" s="1"/>
  <c r="H75" i="8" s="1"/>
  <c r="H76" i="8" s="1"/>
  <c r="H77" i="8" s="1"/>
  <c r="H78" i="8" s="1"/>
  <c r="H79" i="8" s="1"/>
  <c r="H80" i="8" s="1"/>
  <c r="H81" i="8" s="1"/>
  <c r="H82" i="8" s="1"/>
  <c r="H83" i="8" s="1"/>
  <c r="H84" i="8" s="1"/>
  <c r="H85" i="8" s="1"/>
  <c r="H86" i="8" s="1"/>
  <c r="H87" i="8" s="1"/>
  <c r="H88" i="8" s="1"/>
  <c r="H89" i="8" s="1"/>
  <c r="H90" i="8" s="1"/>
  <c r="H91" i="8" s="1"/>
  <c r="H92" i="8" s="1"/>
  <c r="H93" i="8" s="1"/>
  <c r="H94" i="8" s="1"/>
  <c r="H95" i="8" s="1"/>
  <c r="H96" i="8" s="1"/>
  <c r="G48" i="8"/>
  <c r="G49" i="8" s="1"/>
  <c r="G50" i="8" s="1"/>
  <c r="G51" i="8" s="1"/>
  <c r="G52" i="8" s="1"/>
  <c r="G53" i="8" s="1"/>
  <c r="G54" i="8" s="1"/>
  <c r="G55" i="8" s="1"/>
  <c r="G56" i="8" s="1"/>
  <c r="G57" i="8" s="1"/>
  <c r="G58" i="8" s="1"/>
  <c r="G59" i="8" s="1"/>
  <c r="G60" i="8" s="1"/>
  <c r="G61" i="8" s="1"/>
  <c r="G62" i="8" s="1"/>
  <c r="G63" i="8" s="1"/>
  <c r="G64" i="8" s="1"/>
  <c r="G65" i="8" s="1"/>
  <c r="G66" i="8" s="1"/>
  <c r="G67" i="8" s="1"/>
  <c r="G68" i="8" s="1"/>
  <c r="G69" i="8" s="1"/>
  <c r="G70" i="8" s="1"/>
  <c r="G71" i="8" s="1"/>
  <c r="G72" i="8" s="1"/>
  <c r="G73" i="8" s="1"/>
  <c r="G74" i="8" s="1"/>
  <c r="G75" i="8" s="1"/>
  <c r="G76" i="8" s="1"/>
  <c r="G77" i="8" s="1"/>
  <c r="G78" i="8" s="1"/>
  <c r="G79" i="8" s="1"/>
  <c r="G80" i="8" s="1"/>
  <c r="G81" i="8" s="1"/>
  <c r="G82" i="8" s="1"/>
  <c r="G83" i="8" s="1"/>
  <c r="G84" i="8" s="1"/>
  <c r="G85" i="8" s="1"/>
  <c r="G86" i="8" s="1"/>
  <c r="G87" i="8" s="1"/>
  <c r="G88" i="8" s="1"/>
  <c r="G89" i="8" s="1"/>
  <c r="G90" i="8" s="1"/>
  <c r="G91" i="8" s="1"/>
  <c r="G92" i="8" s="1"/>
  <c r="G93" i="8" s="1"/>
  <c r="G94" i="8" s="1"/>
  <c r="G95" i="8" s="1"/>
  <c r="G96" i="8" s="1"/>
  <c r="F48" i="8"/>
  <c r="F49" i="8" s="1"/>
  <c r="F50" i="8" s="1"/>
  <c r="F51" i="8" s="1"/>
  <c r="F52" i="8" s="1"/>
  <c r="F53" i="8" s="1"/>
  <c r="F54" i="8" s="1"/>
  <c r="F55" i="8" s="1"/>
  <c r="F56" i="8" s="1"/>
  <c r="F57" i="8" s="1"/>
  <c r="F58" i="8" s="1"/>
  <c r="F59" i="8" s="1"/>
  <c r="F60" i="8" s="1"/>
  <c r="F61" i="8" s="1"/>
  <c r="F62" i="8" s="1"/>
  <c r="F63" i="8" s="1"/>
  <c r="F64" i="8" s="1"/>
  <c r="F65" i="8" s="1"/>
  <c r="F66" i="8" s="1"/>
  <c r="F67" i="8" s="1"/>
  <c r="F68" i="8" s="1"/>
  <c r="F69" i="8" s="1"/>
  <c r="F70" i="8" s="1"/>
  <c r="F71" i="8" s="1"/>
  <c r="F72" i="8" s="1"/>
  <c r="F73" i="8" s="1"/>
  <c r="F74" i="8" s="1"/>
  <c r="F75" i="8" s="1"/>
  <c r="F76" i="8" s="1"/>
  <c r="F77" i="8" s="1"/>
  <c r="F78" i="8" s="1"/>
  <c r="F79" i="8" s="1"/>
  <c r="F80" i="8" s="1"/>
  <c r="F81" i="8" s="1"/>
  <c r="F82" i="8" s="1"/>
  <c r="F83" i="8" s="1"/>
  <c r="F84" i="8" s="1"/>
  <c r="F85" i="8" s="1"/>
  <c r="F86" i="8" s="1"/>
  <c r="F87" i="8" s="1"/>
  <c r="F88" i="8" s="1"/>
  <c r="F89" i="8" s="1"/>
  <c r="F90" i="8" s="1"/>
  <c r="F91" i="8" s="1"/>
  <c r="F92" i="8" s="1"/>
  <c r="F93" i="8" s="1"/>
  <c r="F94" i="8" s="1"/>
  <c r="F95" i="8" s="1"/>
  <c r="F96" i="8" s="1"/>
  <c r="D48" i="8"/>
  <c r="D49" i="8" s="1"/>
  <c r="D50" i="8" s="1"/>
  <c r="D51" i="8" s="1"/>
  <c r="D52" i="8" s="1"/>
  <c r="D53" i="8" s="1"/>
  <c r="D54" i="8" s="1"/>
  <c r="D55" i="8" s="1"/>
  <c r="D56" i="8" s="1"/>
  <c r="D57" i="8" s="1"/>
  <c r="D58" i="8" s="1"/>
  <c r="D59" i="8" s="1"/>
  <c r="D60" i="8" s="1"/>
  <c r="D61" i="8" s="1"/>
  <c r="D62" i="8" s="1"/>
  <c r="D63" i="8" s="1"/>
  <c r="D64" i="8" s="1"/>
  <c r="D65" i="8" s="1"/>
  <c r="D66" i="8" s="1"/>
  <c r="D67" i="8" s="1"/>
  <c r="D68" i="8" s="1"/>
  <c r="D69" i="8" s="1"/>
  <c r="D70" i="8" s="1"/>
  <c r="D71" i="8" s="1"/>
  <c r="D72" i="8" s="1"/>
  <c r="D73" i="8" s="1"/>
  <c r="D74" i="8" s="1"/>
  <c r="D75" i="8" s="1"/>
  <c r="D76" i="8" s="1"/>
  <c r="D77" i="8" s="1"/>
  <c r="D78" i="8" s="1"/>
  <c r="D79" i="8" s="1"/>
  <c r="D80" i="8" s="1"/>
  <c r="D81" i="8" s="1"/>
  <c r="D82" i="8" s="1"/>
  <c r="D83" i="8" s="1"/>
  <c r="D84" i="8" s="1"/>
  <c r="D85" i="8" s="1"/>
  <c r="D86" i="8" s="1"/>
  <c r="D87" i="8" s="1"/>
  <c r="D88" i="8" s="1"/>
  <c r="D89" i="8" s="1"/>
  <c r="D90" i="8" s="1"/>
  <c r="D91" i="8" s="1"/>
  <c r="D92" i="8" s="1"/>
  <c r="D93" i="8" s="1"/>
  <c r="D94" i="8" s="1"/>
  <c r="D95" i="8" s="1"/>
  <c r="D96" i="8" s="1"/>
  <c r="I48" i="8"/>
  <c r="I49" i="8" s="1"/>
  <c r="I50" i="8" s="1"/>
  <c r="I51" i="8" s="1"/>
  <c r="I52" i="8" s="1"/>
  <c r="I53" i="8" s="1"/>
  <c r="I54" i="8" s="1"/>
  <c r="I55" i="8" s="1"/>
  <c r="I56" i="8" s="1"/>
  <c r="I57" i="8" s="1"/>
  <c r="I58" i="8" s="1"/>
  <c r="I59" i="8" s="1"/>
  <c r="I60" i="8" s="1"/>
  <c r="I61" i="8" s="1"/>
  <c r="I62" i="8" s="1"/>
  <c r="I63" i="8" s="1"/>
  <c r="I64" i="8" s="1"/>
  <c r="I65" i="8" s="1"/>
  <c r="I66" i="8" s="1"/>
  <c r="I67" i="8" s="1"/>
  <c r="I68" i="8" s="1"/>
  <c r="I69" i="8" s="1"/>
  <c r="I70" i="8" s="1"/>
  <c r="I71" i="8" s="1"/>
  <c r="I72" i="8" s="1"/>
  <c r="I73" i="8" s="1"/>
  <c r="I74" i="8" s="1"/>
  <c r="I75" i="8" s="1"/>
  <c r="I76" i="8" s="1"/>
  <c r="I77" i="8" s="1"/>
  <c r="I78" i="8" s="1"/>
  <c r="I79" i="8" s="1"/>
  <c r="I80" i="8" s="1"/>
  <c r="I81" i="8" s="1"/>
  <c r="I82" i="8" s="1"/>
  <c r="I83" i="8" s="1"/>
  <c r="I84" i="8" s="1"/>
  <c r="I85" i="8" s="1"/>
  <c r="I86" i="8" s="1"/>
  <c r="I87" i="8" s="1"/>
  <c r="I88" i="8" s="1"/>
  <c r="I89" i="8" s="1"/>
  <c r="I90" i="8" s="1"/>
  <c r="I91" i="8" s="1"/>
  <c r="I92" i="8" s="1"/>
  <c r="I93" i="8" s="1"/>
  <c r="I94" i="8" s="1"/>
  <c r="I95" i="8" s="1"/>
  <c r="I96" i="8" s="1"/>
  <c r="G18" i="6"/>
  <c r="E18" i="6"/>
  <c r="E10" i="6"/>
  <c r="F10" i="6" s="1"/>
  <c r="G25" i="6"/>
  <c r="G23" i="6"/>
  <c r="E25" i="6"/>
  <c r="E23" i="6"/>
  <c r="G16" i="6"/>
  <c r="E16" i="6"/>
  <c r="G14" i="6"/>
  <c r="E14" i="6"/>
  <c r="V48" i="8" l="1"/>
  <c r="N49" i="8"/>
  <c r="N50" i="8" s="1"/>
  <c r="N51" i="8" s="1"/>
  <c r="N52" i="8" s="1"/>
  <c r="N53" i="8" s="1"/>
  <c r="N54" i="8" s="1"/>
  <c r="N55" i="8" s="1"/>
  <c r="N56" i="8" s="1"/>
  <c r="N57" i="8" s="1"/>
  <c r="N58" i="8" s="1"/>
  <c r="N59" i="8" s="1"/>
  <c r="N60" i="8" s="1"/>
  <c r="N61" i="8" s="1"/>
  <c r="N62" i="8" s="1"/>
  <c r="N63" i="8" s="1"/>
  <c r="N64" i="8" s="1"/>
  <c r="N65" i="8" s="1"/>
  <c r="N66" i="8" s="1"/>
  <c r="N67" i="8" s="1"/>
  <c r="M50" i="8"/>
  <c r="H10" i="6"/>
  <c r="C49" i="8"/>
  <c r="M15" i="3"/>
  <c r="Q16" i="3" s="1"/>
  <c r="C34" i="8" s="1"/>
  <c r="G31" i="6"/>
  <c r="G29" i="6"/>
  <c r="E31" i="6"/>
  <c r="E29" i="6"/>
  <c r="H64" i="3"/>
  <c r="P64" i="3" s="1"/>
  <c r="H63" i="3"/>
  <c r="P63" i="3" s="1"/>
  <c r="H62" i="3"/>
  <c r="H61" i="3"/>
  <c r="P61" i="3" s="1"/>
  <c r="H60" i="3"/>
  <c r="P60" i="3" s="1"/>
  <c r="E110" i="3" l="1"/>
  <c r="AE65" i="3"/>
  <c r="H75" i="3"/>
  <c r="H76" i="3"/>
  <c r="AE64" i="3"/>
  <c r="Q34" i="8"/>
  <c r="M51" i="8"/>
  <c r="V50" i="8"/>
  <c r="V49" i="8"/>
  <c r="C50" i="8"/>
  <c r="C51" i="8" s="1"/>
  <c r="E109" i="3"/>
  <c r="C109" i="3"/>
  <c r="H109" i="3" s="1"/>
  <c r="C110" i="3"/>
  <c r="H73" i="3"/>
  <c r="P73" i="3" l="1"/>
  <c r="U73" i="3" s="1"/>
  <c r="D110" i="3"/>
  <c r="E34" i="8"/>
  <c r="O34" i="8" s="1"/>
  <c r="D109" i="3"/>
  <c r="D35" i="8"/>
  <c r="D34" i="8"/>
  <c r="M52" i="8"/>
  <c r="V51" i="8"/>
  <c r="U76" i="3"/>
  <c r="AA85" i="3"/>
  <c r="AA86" i="3"/>
  <c r="AA87" i="3" l="1"/>
  <c r="M35" i="8"/>
  <c r="L35" i="8"/>
  <c r="L34" i="8"/>
  <c r="M34" i="8"/>
  <c r="AA79" i="3"/>
  <c r="AA78" i="3"/>
  <c r="M53" i="8"/>
  <c r="V52" i="8"/>
  <c r="C52" i="8"/>
  <c r="AA77" i="3"/>
  <c r="AA76" i="3"/>
  <c r="AA75" i="3"/>
  <c r="AA73" i="3"/>
  <c r="AA74" i="3"/>
  <c r="Q20" i="3"/>
  <c r="C38" i="8" s="1"/>
  <c r="Q18" i="3"/>
  <c r="C36" i="8" s="1"/>
  <c r="Q19" i="3"/>
  <c r="C37" i="8" s="1"/>
  <c r="B40" i="3"/>
  <c r="B39" i="3"/>
  <c r="Y117" i="7"/>
  <c r="E8" i="3"/>
  <c r="J107" i="7"/>
  <c r="J109" i="7" s="1"/>
  <c r="I107" i="7"/>
  <c r="I109" i="7" s="1"/>
  <c r="H107" i="7"/>
  <c r="H109" i="7" s="1"/>
  <c r="E107" i="7"/>
  <c r="D107" i="7"/>
  <c r="D109" i="7" s="1"/>
  <c r="C107" i="7"/>
  <c r="C109" i="7" s="1"/>
  <c r="B107" i="7"/>
  <c r="B109" i="7" s="1"/>
  <c r="L85" i="3" l="1"/>
  <c r="Z117" i="7"/>
  <c r="C42" i="3"/>
  <c r="D42" i="3" s="1"/>
  <c r="Q38" i="8"/>
  <c r="E11" i="14"/>
  <c r="E109" i="7"/>
  <c r="H15" i="8"/>
  <c r="U120" i="7"/>
  <c r="Q36" i="8"/>
  <c r="Q37" i="8"/>
  <c r="B42" i="3"/>
  <c r="C36" i="6" s="1"/>
  <c r="Y115" i="7"/>
  <c r="M54" i="8"/>
  <c r="V53" i="8"/>
  <c r="E40" i="14"/>
  <c r="E47" i="14"/>
  <c r="C53" i="8"/>
  <c r="E35" i="8"/>
  <c r="H111" i="3"/>
  <c r="H108" i="7"/>
  <c r="I108" i="7"/>
  <c r="J108" i="7"/>
  <c r="B108" i="7"/>
  <c r="C108" i="7"/>
  <c r="D108" i="7"/>
  <c r="E108" i="7"/>
  <c r="Z115" i="7" l="1"/>
  <c r="H11" i="8" s="1"/>
  <c r="C8" i="3"/>
  <c r="D8" i="3" s="1"/>
  <c r="I76" i="3"/>
  <c r="E36" i="6"/>
  <c r="O35" i="8"/>
  <c r="S120" i="7"/>
  <c r="B8" i="3"/>
  <c r="C34" i="6" s="1"/>
  <c r="M55" i="8"/>
  <c r="V54" i="8"/>
  <c r="E61" i="14"/>
  <c r="E67" i="14"/>
  <c r="F12" i="14"/>
  <c r="E35" i="14"/>
  <c r="E13" i="14"/>
  <c r="I13" i="8"/>
  <c r="I15" i="8"/>
  <c r="H34" i="8"/>
  <c r="H35" i="8"/>
  <c r="G97" i="8" s="1"/>
  <c r="G98" i="8" s="1"/>
  <c r="G99" i="8" s="1"/>
  <c r="G100" i="8" s="1"/>
  <c r="G101" i="8" s="1"/>
  <c r="G102" i="8" s="1"/>
  <c r="G103" i="8" s="1"/>
  <c r="G104" i="8" s="1"/>
  <c r="G105" i="8" s="1"/>
  <c r="G106" i="8" s="1"/>
  <c r="G107" i="8" s="1"/>
  <c r="G108" i="8" s="1"/>
  <c r="G109" i="8" s="1"/>
  <c r="G110" i="8" s="1"/>
  <c r="G111" i="8" s="1"/>
  <c r="G112" i="8" s="1"/>
  <c r="G113" i="8" s="1"/>
  <c r="G114" i="8" s="1"/>
  <c r="G115" i="8" s="1"/>
  <c r="G116" i="8" s="1"/>
  <c r="G117" i="8" s="1"/>
  <c r="G118" i="8" s="1"/>
  <c r="G119" i="8" s="1"/>
  <c r="G120" i="8" s="1"/>
  <c r="G121" i="8" s="1"/>
  <c r="G122" i="8" s="1"/>
  <c r="G123" i="8" s="1"/>
  <c r="G124" i="8" s="1"/>
  <c r="G125" i="8" s="1"/>
  <c r="G126" i="8" s="1"/>
  <c r="G127" i="8" s="1"/>
  <c r="G128" i="8" s="1"/>
  <c r="G129" i="8" s="1"/>
  <c r="G130" i="8" s="1"/>
  <c r="G131" i="8" s="1"/>
  <c r="G132" i="8" s="1"/>
  <c r="G133" i="8" s="1"/>
  <c r="G134" i="8" s="1"/>
  <c r="G135" i="8" s="1"/>
  <c r="G136" i="8" s="1"/>
  <c r="G137" i="8" s="1"/>
  <c r="G138" i="8" s="1"/>
  <c r="G139" i="8" s="1"/>
  <c r="G140" i="8" s="1"/>
  <c r="G141" i="8" s="1"/>
  <c r="G142" i="8" s="1"/>
  <c r="G143" i="8" s="1"/>
  <c r="G144" i="8" s="1"/>
  <c r="G145" i="8" s="1"/>
  <c r="G146" i="8" s="1"/>
  <c r="I12" i="8"/>
  <c r="C54" i="8"/>
  <c r="K34" i="8"/>
  <c r="O41" i="8" s="1"/>
  <c r="K35" i="8"/>
  <c r="L88" i="3"/>
  <c r="L86" i="3"/>
  <c r="I34" i="8"/>
  <c r="M41" i="8" s="1"/>
  <c r="I35" i="8"/>
  <c r="L87" i="3"/>
  <c r="M86" i="3"/>
  <c r="C91" i="6" s="1"/>
  <c r="M88" i="3"/>
  <c r="C93" i="6" s="1"/>
  <c r="B75" i="3"/>
  <c r="H66" i="3"/>
  <c r="H110" i="3"/>
  <c r="AH64" i="3"/>
  <c r="AL64" i="3" s="1"/>
  <c r="AJ64" i="3"/>
  <c r="AJ65" i="3"/>
  <c r="AG65" i="3"/>
  <c r="AK65" i="3" s="1"/>
  <c r="AH65" i="3"/>
  <c r="AL65" i="3" s="1"/>
  <c r="E14" i="14" l="1"/>
  <c r="P66" i="3"/>
  <c r="L80" i="3"/>
  <c r="D19" i="3"/>
  <c r="S16" i="3"/>
  <c r="U16" i="3" s="1"/>
  <c r="E52" i="14"/>
  <c r="C71" i="6"/>
  <c r="G36" i="6"/>
  <c r="I11" i="8"/>
  <c r="M56" i="8"/>
  <c r="V55" i="8"/>
  <c r="F62" i="14"/>
  <c r="E60" i="14" s="1"/>
  <c r="E91" i="6"/>
  <c r="G91" i="6"/>
  <c r="L41" i="8"/>
  <c r="D152" i="8" s="1"/>
  <c r="F97" i="8"/>
  <c r="G147" i="8"/>
  <c r="C55" i="8"/>
  <c r="G93" i="6"/>
  <c r="E93" i="6"/>
  <c r="M84" i="3"/>
  <c r="C41" i="6" s="1"/>
  <c r="E41" i="6" s="1"/>
  <c r="L83" i="3"/>
  <c r="AN64" i="3"/>
  <c r="AN65" i="3"/>
  <c r="AG64" i="3"/>
  <c r="AK64" i="3" s="1"/>
  <c r="G34" i="6" l="1"/>
  <c r="E34" i="6"/>
  <c r="G38" i="8"/>
  <c r="G34" i="8"/>
  <c r="Q41" i="8" s="1"/>
  <c r="G36" i="8"/>
  <c r="G37" i="8"/>
  <c r="M57" i="8"/>
  <c r="V56" i="8"/>
  <c r="L30" i="19"/>
  <c r="C102" i="6" s="1"/>
  <c r="F17" i="14"/>
  <c r="E22" i="14"/>
  <c r="F18" i="14"/>
  <c r="AF83" i="3"/>
  <c r="E39" i="8"/>
  <c r="F98" i="8"/>
  <c r="C56" i="8"/>
  <c r="J109" i="3"/>
  <c r="M16" i="3"/>
  <c r="G41" i="6"/>
  <c r="G13" i="3"/>
  <c r="G12" i="3"/>
  <c r="U69" i="3"/>
  <c r="U66" i="3"/>
  <c r="F23" i="14" s="1"/>
  <c r="L84" i="3"/>
  <c r="AJ69" i="3"/>
  <c r="AN69" i="3" s="1"/>
  <c r="AF93" i="3" l="1"/>
  <c r="D7" i="22" s="1"/>
  <c r="AF95" i="3"/>
  <c r="AF97" i="3" s="1"/>
  <c r="C83" i="6" s="1"/>
  <c r="C137" i="6" s="1"/>
  <c r="AF86" i="3"/>
  <c r="D9" i="22" s="1"/>
  <c r="D42" i="18"/>
  <c r="D44" i="18" s="1"/>
  <c r="P80" i="3"/>
  <c r="AJ63" i="3"/>
  <c r="AN63" i="3" s="1"/>
  <c r="F24" i="14"/>
  <c r="F31" i="14" s="1"/>
  <c r="AA72" i="3"/>
  <c r="AA71" i="3"/>
  <c r="P81" i="3"/>
  <c r="O39" i="8"/>
  <c r="M58" i="8"/>
  <c r="V57" i="8"/>
  <c r="E31" i="8"/>
  <c r="E20" i="14"/>
  <c r="E19" i="14"/>
  <c r="E26" i="14"/>
  <c r="F27" i="14" s="1"/>
  <c r="E21" i="14"/>
  <c r="E15" i="14"/>
  <c r="E16" i="14"/>
  <c r="G102" i="6"/>
  <c r="G98" i="6"/>
  <c r="G97" i="6"/>
  <c r="E33" i="8"/>
  <c r="AJ62" i="3"/>
  <c r="AN62" i="3" s="1"/>
  <c r="K39" i="8"/>
  <c r="F228" i="8"/>
  <c r="D384" i="8"/>
  <c r="F99" i="8"/>
  <c r="C57" i="8"/>
  <c r="J111" i="3"/>
  <c r="J110" i="3"/>
  <c r="Q17" i="3"/>
  <c r="S17" i="3" s="1"/>
  <c r="C69" i="6"/>
  <c r="X85" i="3"/>
  <c r="C50" i="6" s="1"/>
  <c r="M12" i="3"/>
  <c r="J21" i="3" s="1"/>
  <c r="J23" i="3"/>
  <c r="C53" i="6" s="1"/>
  <c r="X83" i="3"/>
  <c r="M13" i="3"/>
  <c r="AF74" i="3"/>
  <c r="AF78" i="3" s="1"/>
  <c r="C59" i="6" s="1"/>
  <c r="X87" i="3"/>
  <c r="C55" i="6" s="1"/>
  <c r="AA68" i="3"/>
  <c r="AA67" i="3"/>
  <c r="AA66" i="3"/>
  <c r="AA70" i="3"/>
  <c r="AE61" i="3" s="1"/>
  <c r="AA69" i="3"/>
  <c r="AE60" i="3" s="1"/>
  <c r="S20" i="3"/>
  <c r="U20" i="3" s="1"/>
  <c r="S18" i="3"/>
  <c r="U18" i="3" s="1"/>
  <c r="S19" i="3"/>
  <c r="U19" i="3" s="1"/>
  <c r="E58" i="14" l="1"/>
  <c r="AE62" i="3"/>
  <c r="AG62" i="3" s="1"/>
  <c r="AE63" i="3"/>
  <c r="AE95" i="3" s="1"/>
  <c r="AE69" i="3"/>
  <c r="C75" i="6"/>
  <c r="G75" i="6" s="1"/>
  <c r="D53" i="18"/>
  <c r="D51" i="18"/>
  <c r="F53" i="18"/>
  <c r="D49" i="18"/>
  <c r="G131" i="6" s="1"/>
  <c r="F51" i="18"/>
  <c r="F49" i="18"/>
  <c r="E131" i="6" s="1"/>
  <c r="G137" i="6"/>
  <c r="E137" i="6"/>
  <c r="W84" i="3"/>
  <c r="AE68" i="3"/>
  <c r="W86" i="3"/>
  <c r="AE67" i="3"/>
  <c r="AE66" i="3"/>
  <c r="W82" i="3"/>
  <c r="AJ60" i="3"/>
  <c r="AN60" i="3" s="1"/>
  <c r="E57" i="14"/>
  <c r="E32" i="8"/>
  <c r="K32" i="8" s="1"/>
  <c r="E38" i="8"/>
  <c r="O31" i="8"/>
  <c r="O33" i="8"/>
  <c r="M59" i="8"/>
  <c r="V58" i="8"/>
  <c r="AF88" i="3"/>
  <c r="AF90" i="3" s="1"/>
  <c r="C79" i="6" s="1"/>
  <c r="C136" i="6" s="1"/>
  <c r="G87" i="6"/>
  <c r="G86" i="6"/>
  <c r="AF76" i="3"/>
  <c r="AF81" i="3" s="1"/>
  <c r="C64" i="6" s="1"/>
  <c r="E64" i="6" s="1"/>
  <c r="Q12" i="3"/>
  <c r="C31" i="8" s="1"/>
  <c r="E34" i="14"/>
  <c r="D31" i="8"/>
  <c r="E41" i="14"/>
  <c r="E48" i="14"/>
  <c r="AJ61" i="3"/>
  <c r="AN61" i="3" s="1"/>
  <c r="E29" i="14"/>
  <c r="F30" i="14" s="1"/>
  <c r="E28" i="14" s="1"/>
  <c r="E25" i="14"/>
  <c r="E228" i="8"/>
  <c r="D499" i="8" s="1"/>
  <c r="K33" i="8"/>
  <c r="D385" i="8"/>
  <c r="F100" i="8"/>
  <c r="D386" i="8" s="1"/>
  <c r="F229" i="8"/>
  <c r="C58" i="8"/>
  <c r="AJ66" i="3"/>
  <c r="AN66" i="3" s="1"/>
  <c r="E36" i="8"/>
  <c r="AJ67" i="3"/>
  <c r="AN67" i="3" s="1"/>
  <c r="E37" i="8"/>
  <c r="C35" i="8"/>
  <c r="AJ68" i="3"/>
  <c r="AN68" i="3" s="1"/>
  <c r="E107" i="3"/>
  <c r="E105" i="3"/>
  <c r="I109" i="3"/>
  <c r="J27" i="3"/>
  <c r="J31" i="3" s="1"/>
  <c r="C62" i="6" s="1"/>
  <c r="G71" i="6"/>
  <c r="E71" i="6"/>
  <c r="Q13" i="3"/>
  <c r="C32" i="8" s="1"/>
  <c r="G69" i="6"/>
  <c r="E69" i="6"/>
  <c r="J25" i="3"/>
  <c r="J29" i="3" s="1"/>
  <c r="C57" i="6" s="1"/>
  <c r="G59" i="6"/>
  <c r="E59" i="6"/>
  <c r="W83" i="3"/>
  <c r="G55" i="6"/>
  <c r="E55" i="6"/>
  <c r="W87" i="3"/>
  <c r="G53" i="6"/>
  <c r="E53" i="6"/>
  <c r="W85" i="3"/>
  <c r="G50" i="6"/>
  <c r="E50" i="6"/>
  <c r="AE76" i="3"/>
  <c r="AE81" i="3" s="1"/>
  <c r="AE75" i="3"/>
  <c r="AE80" i="3" s="1"/>
  <c r="C44" i="6"/>
  <c r="C47" i="6"/>
  <c r="C39" i="6"/>
  <c r="E39" i="6" s="1"/>
  <c r="J17" i="3"/>
  <c r="AG61" i="3"/>
  <c r="AK61" i="3" s="1"/>
  <c r="U17" i="3"/>
  <c r="H30" i="19" l="1"/>
  <c r="AE92" i="3"/>
  <c r="C6" i="22" s="1"/>
  <c r="AE94" i="3"/>
  <c r="AE93" i="3"/>
  <c r="C7" i="22" s="1"/>
  <c r="D39" i="8"/>
  <c r="M39" i="8" s="1"/>
  <c r="AE82" i="3"/>
  <c r="F28" i="19"/>
  <c r="H28" i="19" s="1"/>
  <c r="H32" i="19" s="1"/>
  <c r="AG69" i="3"/>
  <c r="AK69" i="3" s="1"/>
  <c r="AE83" i="3"/>
  <c r="AH69" i="3"/>
  <c r="AL69" i="3" s="1"/>
  <c r="E75" i="6"/>
  <c r="D37" i="8"/>
  <c r="M37" i="8" s="1"/>
  <c r="AE87" i="3"/>
  <c r="AE89" i="3" s="1"/>
  <c r="AE85" i="3"/>
  <c r="C8" i="22" s="1"/>
  <c r="C41" i="18"/>
  <c r="C43" i="18" s="1"/>
  <c r="C42" i="18"/>
  <c r="C44" i="18" s="1"/>
  <c r="AE88" i="3"/>
  <c r="AE90" i="3" s="1"/>
  <c r="AE97" i="3"/>
  <c r="AE96" i="3"/>
  <c r="K38" i="8"/>
  <c r="J27" i="8"/>
  <c r="C139" i="6" s="1"/>
  <c r="O38" i="8"/>
  <c r="AH60" i="3"/>
  <c r="AL60" i="3" s="1"/>
  <c r="AE73" i="3"/>
  <c r="AE77" i="3" s="1"/>
  <c r="AG60" i="3"/>
  <c r="AK60" i="3" s="1"/>
  <c r="AE74" i="3"/>
  <c r="AE78" i="3" s="1"/>
  <c r="AH63" i="3"/>
  <c r="AL63" i="3" s="1"/>
  <c r="AG63" i="3"/>
  <c r="AK63" i="3" s="1"/>
  <c r="E229" i="8"/>
  <c r="D500" i="8" s="1"/>
  <c r="D32" i="8"/>
  <c r="Q31" i="8"/>
  <c r="G31" i="8"/>
  <c r="O32" i="8"/>
  <c r="S12" i="3"/>
  <c r="U12" i="3" s="1"/>
  <c r="AH61" i="3"/>
  <c r="AL61" i="3" s="1"/>
  <c r="D38" i="8"/>
  <c r="Q32" i="8"/>
  <c r="H31" i="8"/>
  <c r="L31" i="8"/>
  <c r="M31" i="8"/>
  <c r="G64" i="6"/>
  <c r="O37" i="8"/>
  <c r="Q35" i="8"/>
  <c r="O36" i="8"/>
  <c r="M60" i="8"/>
  <c r="V59" i="8"/>
  <c r="AH62" i="3"/>
  <c r="AL62" i="3" s="1"/>
  <c r="K31" i="8"/>
  <c r="AK62" i="3"/>
  <c r="AE86" i="3"/>
  <c r="F49" i="14"/>
  <c r="F36" i="14"/>
  <c r="M17" i="3"/>
  <c r="M18" i="3"/>
  <c r="D33" i="8"/>
  <c r="F230" i="8"/>
  <c r="F101" i="8"/>
  <c r="I31" i="8"/>
  <c r="D105" i="3"/>
  <c r="I105" i="3" s="1"/>
  <c r="AJ70" i="3"/>
  <c r="AN70" i="3" s="1"/>
  <c r="C59" i="8"/>
  <c r="AG67" i="3"/>
  <c r="AK67" i="3" s="1"/>
  <c r="K37" i="8"/>
  <c r="K36" i="8"/>
  <c r="G35" i="8"/>
  <c r="AG66" i="3"/>
  <c r="AK66" i="3" s="1"/>
  <c r="D36" i="8"/>
  <c r="C107" i="3"/>
  <c r="E40" i="8"/>
  <c r="D107" i="3"/>
  <c r="C105" i="3"/>
  <c r="S13" i="3"/>
  <c r="U13" i="3" s="1"/>
  <c r="I111" i="3"/>
  <c r="I110" i="3"/>
  <c r="J107" i="3"/>
  <c r="J108" i="3"/>
  <c r="J106" i="3"/>
  <c r="J105" i="3"/>
  <c r="AH66" i="3"/>
  <c r="AL66" i="3" s="1"/>
  <c r="E57" i="6"/>
  <c r="G57" i="6"/>
  <c r="E62" i="6"/>
  <c r="G62" i="6"/>
  <c r="G39" i="6"/>
  <c r="G44" i="6"/>
  <c r="E44" i="6"/>
  <c r="AH67" i="3"/>
  <c r="AL67" i="3" s="1"/>
  <c r="AE70" i="3"/>
  <c r="E47" i="6"/>
  <c r="G47" i="6"/>
  <c r="AG68" i="3"/>
  <c r="AK68" i="3" s="1"/>
  <c r="AH68" i="3"/>
  <c r="AL68" i="3" s="1"/>
  <c r="N30" i="19" l="1"/>
  <c r="L39" i="8"/>
  <c r="I39" i="8"/>
  <c r="H39" i="8"/>
  <c r="I37" i="8"/>
  <c r="H37" i="8"/>
  <c r="L37" i="8"/>
  <c r="I97" i="8" s="1"/>
  <c r="I98" i="8" s="1"/>
  <c r="I99" i="8" s="1"/>
  <c r="I100" i="8" s="1"/>
  <c r="I101" i="8" s="1"/>
  <c r="I102" i="8" s="1"/>
  <c r="I103" i="8" s="1"/>
  <c r="I104" i="8" s="1"/>
  <c r="I105" i="8" s="1"/>
  <c r="I106" i="8" s="1"/>
  <c r="I107" i="8" s="1"/>
  <c r="I108" i="8" s="1"/>
  <c r="I109" i="8" s="1"/>
  <c r="I110" i="8" s="1"/>
  <c r="I111" i="8" s="1"/>
  <c r="I112" i="8" s="1"/>
  <c r="I113" i="8" s="1"/>
  <c r="I114" i="8" s="1"/>
  <c r="I115" i="8" s="1"/>
  <c r="I116" i="8" s="1"/>
  <c r="I117" i="8" s="1"/>
  <c r="I118" i="8" s="1"/>
  <c r="I119" i="8" s="1"/>
  <c r="I120" i="8" s="1"/>
  <c r="I121" i="8" s="1"/>
  <c r="I122" i="8" s="1"/>
  <c r="I123" i="8" s="1"/>
  <c r="I124" i="8" s="1"/>
  <c r="I125" i="8" s="1"/>
  <c r="I126" i="8" s="1"/>
  <c r="I127" i="8" s="1"/>
  <c r="I128" i="8" s="1"/>
  <c r="I129" i="8" s="1"/>
  <c r="I130" i="8" s="1"/>
  <c r="I131" i="8" s="1"/>
  <c r="I132" i="8" s="1"/>
  <c r="I133" i="8" s="1"/>
  <c r="I134" i="8" s="1"/>
  <c r="I135" i="8" s="1"/>
  <c r="I136" i="8" s="1"/>
  <c r="I137" i="8" s="1"/>
  <c r="I138" i="8" s="1"/>
  <c r="I139" i="8" s="1"/>
  <c r="I140" i="8" s="1"/>
  <c r="I141" i="8" s="1"/>
  <c r="I142" i="8" s="1"/>
  <c r="I143" i="8" s="1"/>
  <c r="I144" i="8" s="1"/>
  <c r="I145" i="8" s="1"/>
  <c r="I146" i="8" s="1"/>
  <c r="I147" i="8" s="1"/>
  <c r="C49" i="18"/>
  <c r="E49" i="18"/>
  <c r="E53" i="18"/>
  <c r="C51" i="18"/>
  <c r="E51" i="18"/>
  <c r="C53" i="18"/>
  <c r="C48" i="18"/>
  <c r="E76" i="14"/>
  <c r="C50" i="18"/>
  <c r="E48" i="18"/>
  <c r="I38" i="8"/>
  <c r="M38" i="8"/>
  <c r="H27" i="8"/>
  <c r="L38" i="8"/>
  <c r="J97" i="8" s="1"/>
  <c r="J98" i="8" s="1"/>
  <c r="J99" i="8" s="1"/>
  <c r="J100" i="8" s="1"/>
  <c r="J101" i="8" s="1"/>
  <c r="J102" i="8" s="1"/>
  <c r="J103" i="8" s="1"/>
  <c r="J104" i="8" s="1"/>
  <c r="J105" i="8" s="1"/>
  <c r="J106" i="8" s="1"/>
  <c r="J107" i="8" s="1"/>
  <c r="J108" i="8" s="1"/>
  <c r="J109" i="8" s="1"/>
  <c r="J110" i="8" s="1"/>
  <c r="J111" i="8" s="1"/>
  <c r="J112" i="8" s="1"/>
  <c r="J113" i="8" s="1"/>
  <c r="J114" i="8" s="1"/>
  <c r="J115" i="8" s="1"/>
  <c r="J116" i="8" s="1"/>
  <c r="J117" i="8" s="1"/>
  <c r="J118" i="8" s="1"/>
  <c r="J119" i="8" s="1"/>
  <c r="J120" i="8" s="1"/>
  <c r="J121" i="8" s="1"/>
  <c r="J122" i="8" s="1"/>
  <c r="J123" i="8" s="1"/>
  <c r="J124" i="8" s="1"/>
  <c r="J125" i="8" s="1"/>
  <c r="J126" i="8" s="1"/>
  <c r="J127" i="8" s="1"/>
  <c r="J128" i="8" s="1"/>
  <c r="J129" i="8" s="1"/>
  <c r="J130" i="8" s="1"/>
  <c r="J131" i="8" s="1"/>
  <c r="J132" i="8" s="1"/>
  <c r="J133" i="8" s="1"/>
  <c r="J134" i="8" s="1"/>
  <c r="J135" i="8" s="1"/>
  <c r="J136" i="8" s="1"/>
  <c r="J137" i="8" s="1"/>
  <c r="J138" i="8" s="1"/>
  <c r="J139" i="8" s="1"/>
  <c r="J140" i="8" s="1"/>
  <c r="J141" i="8" s="1"/>
  <c r="J142" i="8" s="1"/>
  <c r="J143" i="8" s="1"/>
  <c r="J144" i="8" s="1"/>
  <c r="J145" i="8" s="1"/>
  <c r="J146" i="8" s="1"/>
  <c r="J147" i="8" s="1"/>
  <c r="G27" i="8"/>
  <c r="E139" i="6"/>
  <c r="G139" i="6"/>
  <c r="C9" i="22"/>
  <c r="E136" i="6"/>
  <c r="G136" i="6"/>
  <c r="E68" i="18"/>
  <c r="E230" i="8"/>
  <c r="D501" i="8" s="1"/>
  <c r="L32" i="8"/>
  <c r="M32" i="8"/>
  <c r="I32" i="8"/>
  <c r="H38" i="8"/>
  <c r="H32" i="8"/>
  <c r="H33" i="8"/>
  <c r="M33" i="8"/>
  <c r="L33" i="8"/>
  <c r="M36" i="8"/>
  <c r="L36" i="8"/>
  <c r="M61" i="8"/>
  <c r="V60" i="8"/>
  <c r="E50" i="18"/>
  <c r="C52" i="18"/>
  <c r="E52" i="18"/>
  <c r="Q21" i="3"/>
  <c r="S21" i="3" s="1"/>
  <c r="U21" i="3" s="1"/>
  <c r="K29" i="19"/>
  <c r="O40" i="8"/>
  <c r="Q15" i="3"/>
  <c r="G79" i="6"/>
  <c r="E79" i="6"/>
  <c r="AK55" i="3"/>
  <c r="E46" i="14"/>
  <c r="E45" i="14"/>
  <c r="E32" i="14"/>
  <c r="E33" i="14"/>
  <c r="G85" i="6"/>
  <c r="G95" i="6"/>
  <c r="I33" i="8"/>
  <c r="D387" i="8"/>
  <c r="F102" i="8"/>
  <c r="F231" i="8"/>
  <c r="H106" i="3"/>
  <c r="H105" i="3"/>
  <c r="C60" i="8"/>
  <c r="H36" i="8"/>
  <c r="I36" i="8"/>
  <c r="G32" i="8"/>
  <c r="D40" i="8"/>
  <c r="J112" i="3"/>
  <c r="I106" i="3"/>
  <c r="I108" i="3"/>
  <c r="I107" i="3"/>
  <c r="H108" i="3"/>
  <c r="H107" i="3"/>
  <c r="AG70" i="3"/>
  <c r="AK70" i="3" s="1"/>
  <c r="AH70" i="3"/>
  <c r="AL70" i="3" s="1"/>
  <c r="C33" i="8" l="1"/>
  <c r="Q33" i="8" s="1"/>
  <c r="Q27" i="3"/>
  <c r="D5" i="22" s="1"/>
  <c r="Q29" i="3"/>
  <c r="E231" i="8"/>
  <c r="D502" i="8" s="1"/>
  <c r="D97" i="8"/>
  <c r="D98" i="8" s="1"/>
  <c r="D99" i="8" s="1"/>
  <c r="D100" i="8" s="1"/>
  <c r="D101" i="8" s="1"/>
  <c r="D102" i="8" s="1"/>
  <c r="D103" i="8" s="1"/>
  <c r="D104" i="8" s="1"/>
  <c r="D105" i="8" s="1"/>
  <c r="D106" i="8" s="1"/>
  <c r="D107" i="8" s="1"/>
  <c r="D108" i="8" s="1"/>
  <c r="D109" i="8" s="1"/>
  <c r="D110" i="8" s="1"/>
  <c r="D111" i="8" s="1"/>
  <c r="D112" i="8" s="1"/>
  <c r="D113" i="8" s="1"/>
  <c r="D114" i="8" s="1"/>
  <c r="D115" i="8" s="1"/>
  <c r="D116" i="8" s="1"/>
  <c r="D117" i="8" s="1"/>
  <c r="D118" i="8" s="1"/>
  <c r="D119" i="8" s="1"/>
  <c r="D120" i="8" s="1"/>
  <c r="D121" i="8" s="1"/>
  <c r="D122" i="8" s="1"/>
  <c r="D123" i="8" s="1"/>
  <c r="D124" i="8" s="1"/>
  <c r="D125" i="8" s="1"/>
  <c r="D126" i="8" s="1"/>
  <c r="D127" i="8" s="1"/>
  <c r="D128" i="8" s="1"/>
  <c r="D129" i="8" s="1"/>
  <c r="D130" i="8" s="1"/>
  <c r="D131" i="8" s="1"/>
  <c r="D132" i="8" s="1"/>
  <c r="D133" i="8" s="1"/>
  <c r="D134" i="8" s="1"/>
  <c r="D135" i="8" s="1"/>
  <c r="D136" i="8" s="1"/>
  <c r="D137" i="8" s="1"/>
  <c r="D138" i="8" s="1"/>
  <c r="D139" i="8" s="1"/>
  <c r="D140" i="8" s="1"/>
  <c r="D141" i="8" s="1"/>
  <c r="D142" i="8" s="1"/>
  <c r="D143" i="8" s="1"/>
  <c r="D144" i="8" s="1"/>
  <c r="D145" i="8" s="1"/>
  <c r="D146" i="8" s="1"/>
  <c r="D147" i="8" s="1"/>
  <c r="Q25" i="3"/>
  <c r="C39" i="8"/>
  <c r="G39" i="8" s="1"/>
  <c r="M40" i="8"/>
  <c r="H97" i="8"/>
  <c r="H98" i="8" s="1"/>
  <c r="H99" i="8" s="1"/>
  <c r="H100" i="8" s="1"/>
  <c r="H101" i="8" s="1"/>
  <c r="H102" i="8" s="1"/>
  <c r="H103" i="8" s="1"/>
  <c r="H104" i="8" s="1"/>
  <c r="H105" i="8" s="1"/>
  <c r="H106" i="8" s="1"/>
  <c r="H107" i="8" s="1"/>
  <c r="H108" i="8" s="1"/>
  <c r="H109" i="8" s="1"/>
  <c r="H110" i="8" s="1"/>
  <c r="H111" i="8" s="1"/>
  <c r="H112" i="8" s="1"/>
  <c r="H113" i="8" s="1"/>
  <c r="H114" i="8" s="1"/>
  <c r="H115" i="8" s="1"/>
  <c r="H116" i="8" s="1"/>
  <c r="H117" i="8" s="1"/>
  <c r="H118" i="8" s="1"/>
  <c r="H119" i="8" s="1"/>
  <c r="H120" i="8" s="1"/>
  <c r="H121" i="8" s="1"/>
  <c r="H122" i="8" s="1"/>
  <c r="H123" i="8" s="1"/>
  <c r="H124" i="8" s="1"/>
  <c r="H125" i="8" s="1"/>
  <c r="H126" i="8" s="1"/>
  <c r="H127" i="8" s="1"/>
  <c r="H128" i="8" s="1"/>
  <c r="H129" i="8" s="1"/>
  <c r="H130" i="8" s="1"/>
  <c r="H131" i="8" s="1"/>
  <c r="H132" i="8" s="1"/>
  <c r="H133" i="8" s="1"/>
  <c r="H134" i="8" s="1"/>
  <c r="H135" i="8" s="1"/>
  <c r="H136" i="8" s="1"/>
  <c r="H137" i="8" s="1"/>
  <c r="H138" i="8" s="1"/>
  <c r="H139" i="8" s="1"/>
  <c r="H140" i="8" s="1"/>
  <c r="H141" i="8" s="1"/>
  <c r="H142" i="8" s="1"/>
  <c r="H143" i="8" s="1"/>
  <c r="H144" i="8" s="1"/>
  <c r="H145" i="8" s="1"/>
  <c r="H146" i="8" s="1"/>
  <c r="H147" i="8" s="1"/>
  <c r="M62" i="8"/>
  <c r="V61" i="8"/>
  <c r="L29" i="19"/>
  <c r="C100" i="6" s="1"/>
  <c r="G100" i="6" s="1"/>
  <c r="G84" i="6"/>
  <c r="S15" i="3"/>
  <c r="U15" i="3" s="1"/>
  <c r="Q22" i="3"/>
  <c r="G33" i="8"/>
  <c r="G96" i="6"/>
  <c r="H98" i="6" s="1"/>
  <c r="L40" i="8"/>
  <c r="D388" i="8"/>
  <c r="F103" i="8"/>
  <c r="F233" i="8" s="1"/>
  <c r="F232" i="8"/>
  <c r="E232" i="8" s="1"/>
  <c r="D503" i="8" s="1"/>
  <c r="C61" i="8"/>
  <c r="H112" i="3"/>
  <c r="I112" i="3"/>
  <c r="Q31" i="3" l="1"/>
  <c r="C73" i="6" s="1"/>
  <c r="Q33" i="3"/>
  <c r="C81" i="6" s="1"/>
  <c r="C133" i="6" s="1"/>
  <c r="D151" i="8"/>
  <c r="Q39" i="8"/>
  <c r="C40" i="8"/>
  <c r="L33" i="19"/>
  <c r="M63" i="8"/>
  <c r="V62" i="8"/>
  <c r="E76" i="6"/>
  <c r="S22" i="3"/>
  <c r="U22" i="3" s="1"/>
  <c r="D389" i="8"/>
  <c r="F104" i="8"/>
  <c r="E233" i="8"/>
  <c r="D504" i="8" s="1"/>
  <c r="C62" i="8"/>
  <c r="E133" i="6" l="1"/>
  <c r="G133" i="6"/>
  <c r="E73" i="6"/>
  <c r="G73" i="6"/>
  <c r="M64" i="8"/>
  <c r="V63" i="8"/>
  <c r="G77" i="6"/>
  <c r="E77" i="6"/>
  <c r="G76" i="6"/>
  <c r="D390" i="8"/>
  <c r="F105" i="8"/>
  <c r="F234" i="8"/>
  <c r="E234" i="8" s="1"/>
  <c r="D505" i="8" s="1"/>
  <c r="C63" i="8"/>
  <c r="M65" i="8" l="1"/>
  <c r="V64" i="8"/>
  <c r="D391" i="8"/>
  <c r="F106" i="8"/>
  <c r="F235" i="8"/>
  <c r="E235" i="8" s="1"/>
  <c r="D506" i="8" s="1"/>
  <c r="C64" i="8"/>
  <c r="M66" i="8" l="1"/>
  <c r="V65" i="8"/>
  <c r="D392" i="8"/>
  <c r="F107" i="8"/>
  <c r="F237" i="8" s="1"/>
  <c r="F236" i="8"/>
  <c r="E236" i="8" s="1"/>
  <c r="D507" i="8" s="1"/>
  <c r="C65" i="8"/>
  <c r="M67" i="8" l="1"/>
  <c r="V66" i="8"/>
  <c r="D393" i="8"/>
  <c r="E237" i="8"/>
  <c r="D508" i="8" s="1"/>
  <c r="F108" i="8"/>
  <c r="C66" i="8"/>
  <c r="V67" i="8" l="1"/>
  <c r="D394" i="8"/>
  <c r="F109" i="8"/>
  <c r="F238" i="8"/>
  <c r="E238" i="8" s="1"/>
  <c r="D509" i="8" s="1"/>
  <c r="C67" i="8"/>
  <c r="D395" i="8" l="1"/>
  <c r="F110" i="8"/>
  <c r="F239" i="8"/>
  <c r="E239" i="8" s="1"/>
  <c r="D510" i="8" s="1"/>
  <c r="C68" i="8"/>
  <c r="D396" i="8" l="1"/>
  <c r="F111" i="8"/>
  <c r="F240" i="8"/>
  <c r="E240" i="8" s="1"/>
  <c r="D511" i="8" s="1"/>
  <c r="C69" i="8"/>
  <c r="D397" i="8" l="1"/>
  <c r="F112" i="8"/>
  <c r="F241" i="8"/>
  <c r="E241" i="8" s="1"/>
  <c r="D512" i="8" s="1"/>
  <c r="C70" i="8"/>
  <c r="D398" i="8" l="1"/>
  <c r="F113" i="8"/>
  <c r="F243" i="8" s="1"/>
  <c r="F242" i="8"/>
  <c r="E242" i="8" s="1"/>
  <c r="D513" i="8" s="1"/>
  <c r="C71" i="8"/>
  <c r="E243" i="8" l="1"/>
  <c r="D514" i="8" s="1"/>
  <c r="D399" i="8"/>
  <c r="F114" i="8"/>
  <c r="C72" i="8"/>
  <c r="D400" i="8" l="1"/>
  <c r="F115" i="8"/>
  <c r="F244" i="8"/>
  <c r="E244" i="8" s="1"/>
  <c r="D515" i="8" s="1"/>
  <c r="C73" i="8"/>
  <c r="D401" i="8" l="1"/>
  <c r="F116" i="8"/>
  <c r="F246" i="8" s="1"/>
  <c r="F245" i="8"/>
  <c r="E245" i="8" s="1"/>
  <c r="D516" i="8" s="1"/>
  <c r="C74" i="8"/>
  <c r="E246" i="8" l="1"/>
  <c r="D517" i="8" s="1"/>
  <c r="D402" i="8"/>
  <c r="F117" i="8"/>
  <c r="C75" i="8"/>
  <c r="D403" i="8" l="1"/>
  <c r="F118" i="8"/>
  <c r="F248" i="8" s="1"/>
  <c r="F247" i="8"/>
  <c r="E247" i="8" s="1"/>
  <c r="D518" i="8" s="1"/>
  <c r="C76" i="8"/>
  <c r="E248" i="8" l="1"/>
  <c r="D519" i="8" s="1"/>
  <c r="D404" i="8"/>
  <c r="F119" i="8"/>
  <c r="C77" i="8"/>
  <c r="D405" i="8" l="1"/>
  <c r="F120" i="8"/>
  <c r="F250" i="8" s="1"/>
  <c r="F249" i="8"/>
  <c r="E249" i="8" s="1"/>
  <c r="D520" i="8" s="1"/>
  <c r="C78" i="8"/>
  <c r="D406" i="8" l="1"/>
  <c r="E250" i="8"/>
  <c r="D521" i="8" s="1"/>
  <c r="F121" i="8"/>
  <c r="C79" i="8"/>
  <c r="D407" i="8" l="1"/>
  <c r="F122" i="8"/>
  <c r="F252" i="8" s="1"/>
  <c r="F251" i="8"/>
  <c r="E251" i="8" s="1"/>
  <c r="D522" i="8" s="1"/>
  <c r="C80" i="8"/>
  <c r="D408" i="8" l="1"/>
  <c r="F123" i="8"/>
  <c r="E252" i="8"/>
  <c r="D523" i="8" s="1"/>
  <c r="C81" i="8"/>
  <c r="D409" i="8" l="1"/>
  <c r="F124" i="8"/>
  <c r="D410" i="8" s="1"/>
  <c r="F253" i="8"/>
  <c r="E253" i="8" s="1"/>
  <c r="D524" i="8" s="1"/>
  <c r="C82" i="8"/>
  <c r="F125" i="8" l="1"/>
  <c r="F254" i="8"/>
  <c r="E254" i="8" s="1"/>
  <c r="D525" i="8" s="1"/>
  <c r="C83" i="8"/>
  <c r="F255" i="8" l="1"/>
  <c r="E255" i="8" s="1"/>
  <c r="D526" i="8" s="1"/>
  <c r="D411" i="8"/>
  <c r="F126" i="8"/>
  <c r="C84" i="8"/>
  <c r="D412" i="8" l="1"/>
  <c r="F127" i="8"/>
  <c r="D413" i="8" s="1"/>
  <c r="F256" i="8"/>
  <c r="E256" i="8" s="1"/>
  <c r="D527" i="8" s="1"/>
  <c r="C85" i="8"/>
  <c r="F128" i="8" l="1"/>
  <c r="F258" i="8" s="1"/>
  <c r="F257" i="8"/>
  <c r="E257" i="8" s="1"/>
  <c r="D528" i="8" s="1"/>
  <c r="C86" i="8"/>
  <c r="E258" i="8" l="1"/>
  <c r="D529" i="8" s="1"/>
  <c r="D414" i="8"/>
  <c r="F129" i="8"/>
  <c r="C87" i="8"/>
  <c r="D415" i="8" l="1"/>
  <c r="F259" i="8"/>
  <c r="E259" i="8" s="1"/>
  <c r="D530" i="8" s="1"/>
  <c r="F130" i="8"/>
  <c r="C88" i="8"/>
  <c r="D416" i="8" l="1"/>
  <c r="F131" i="8"/>
  <c r="F260" i="8"/>
  <c r="E260" i="8" s="1"/>
  <c r="D531" i="8" s="1"/>
  <c r="C89" i="8"/>
  <c r="D417" i="8" l="1"/>
  <c r="F132" i="8"/>
  <c r="F261" i="8"/>
  <c r="E261" i="8" s="1"/>
  <c r="D532" i="8" s="1"/>
  <c r="C90" i="8"/>
  <c r="D418" i="8" l="1"/>
  <c r="F133" i="8"/>
  <c r="F262" i="8"/>
  <c r="E262" i="8" s="1"/>
  <c r="D533" i="8" s="1"/>
  <c r="C91" i="8"/>
  <c r="D419" i="8" l="1"/>
  <c r="F134" i="8"/>
  <c r="F263" i="8"/>
  <c r="E263" i="8" s="1"/>
  <c r="D534" i="8" s="1"/>
  <c r="C92" i="8"/>
  <c r="D420" i="8" l="1"/>
  <c r="F135" i="8"/>
  <c r="F264" i="8"/>
  <c r="E264" i="8" s="1"/>
  <c r="D535" i="8" s="1"/>
  <c r="C93" i="8"/>
  <c r="D421" i="8" l="1"/>
  <c r="F136" i="8"/>
  <c r="F266" i="8" s="1"/>
  <c r="F265" i="8"/>
  <c r="E265" i="8" s="1"/>
  <c r="D536" i="8" s="1"/>
  <c r="C94" i="8"/>
  <c r="E266" i="8" l="1"/>
  <c r="D537" i="8" s="1"/>
  <c r="D422" i="8"/>
  <c r="F137" i="8"/>
  <c r="C95" i="8"/>
  <c r="D423" i="8" l="1"/>
  <c r="F138" i="8"/>
  <c r="F267" i="8"/>
  <c r="E267" i="8" s="1"/>
  <c r="D538" i="8" s="1"/>
  <c r="C96" i="8"/>
  <c r="C97" i="8" s="1"/>
  <c r="C98" i="8" l="1"/>
  <c r="D228" i="8" s="1"/>
  <c r="D424" i="8"/>
  <c r="F268" i="8"/>
  <c r="E268" i="8" s="1"/>
  <c r="D539" i="8" s="1"/>
  <c r="F139" i="8"/>
  <c r="F269" i="8" s="1"/>
  <c r="C384" i="8" l="1"/>
  <c r="E384" i="8" s="1"/>
  <c r="F384" i="8" s="1"/>
  <c r="G385" i="8" s="1"/>
  <c r="D425" i="8"/>
  <c r="E269" i="8"/>
  <c r="D540" i="8" s="1"/>
  <c r="F140" i="8"/>
  <c r="C99" i="8"/>
  <c r="C228" i="8" l="1"/>
  <c r="D426" i="8"/>
  <c r="C385" i="8"/>
  <c r="E385" i="8" s="1"/>
  <c r="F385" i="8" s="1"/>
  <c r="G386" i="8" s="1"/>
  <c r="F141" i="8"/>
  <c r="F271" i="8" s="1"/>
  <c r="F270" i="8"/>
  <c r="E270" i="8" s="1"/>
  <c r="D541" i="8" s="1"/>
  <c r="C100" i="8"/>
  <c r="D229" i="8"/>
  <c r="E271" i="8" l="1"/>
  <c r="D542" i="8" s="1"/>
  <c r="D427" i="8"/>
  <c r="D230" i="8"/>
  <c r="F142" i="8"/>
  <c r="D428" i="8" s="1"/>
  <c r="C386" i="8"/>
  <c r="E386" i="8" s="1"/>
  <c r="F386" i="8" s="1"/>
  <c r="G387" i="8" s="1"/>
  <c r="C101" i="8"/>
  <c r="C387" i="8" s="1"/>
  <c r="E387" i="8" s="1"/>
  <c r="C229" i="8"/>
  <c r="C230" i="8" l="1"/>
  <c r="C500" i="8" s="1"/>
  <c r="E500" i="8" s="1"/>
  <c r="C499" i="8"/>
  <c r="E499" i="8" s="1"/>
  <c r="F499" i="8" s="1"/>
  <c r="G500" i="8" s="1"/>
  <c r="F143" i="8"/>
  <c r="F272" i="8"/>
  <c r="E272" i="8" s="1"/>
  <c r="D543" i="8" s="1"/>
  <c r="F387" i="8"/>
  <c r="G388" i="8" s="1"/>
  <c r="D231" i="8"/>
  <c r="C102" i="8"/>
  <c r="C388" i="8" s="1"/>
  <c r="E388" i="8" s="1"/>
  <c r="F388" i="8" s="1"/>
  <c r="G389" i="8" s="1"/>
  <c r="C231" i="8" l="1"/>
  <c r="C501" i="8" s="1"/>
  <c r="E501" i="8" s="1"/>
  <c r="F501" i="8" s="1"/>
  <c r="G502" i="8" s="1"/>
  <c r="F500" i="8"/>
  <c r="G501" i="8" s="1"/>
  <c r="D429" i="8"/>
  <c r="F144" i="8"/>
  <c r="F273" i="8"/>
  <c r="E273" i="8" s="1"/>
  <c r="D544" i="8" s="1"/>
  <c r="D232" i="8"/>
  <c r="C103" i="8"/>
  <c r="C232" i="8" l="1"/>
  <c r="C502" i="8" s="1"/>
  <c r="E502" i="8" s="1"/>
  <c r="F502" i="8" s="1"/>
  <c r="G503" i="8" s="1"/>
  <c r="D430" i="8"/>
  <c r="D233" i="8"/>
  <c r="C389" i="8"/>
  <c r="E389" i="8" s="1"/>
  <c r="F389" i="8" s="1"/>
  <c r="G390" i="8" s="1"/>
  <c r="F145" i="8"/>
  <c r="F274" i="8"/>
  <c r="E274" i="8" s="1"/>
  <c r="D545" i="8" s="1"/>
  <c r="C104" i="8"/>
  <c r="C390" i="8" s="1"/>
  <c r="E390" i="8" s="1"/>
  <c r="C233" i="8" l="1"/>
  <c r="C503" i="8" s="1"/>
  <c r="E503" i="8" s="1"/>
  <c r="F503" i="8" s="1"/>
  <c r="G504" i="8" s="1"/>
  <c r="D431" i="8"/>
  <c r="F390" i="8"/>
  <c r="G391" i="8" s="1"/>
  <c r="F146" i="8"/>
  <c r="F147" i="8" s="1"/>
  <c r="D150" i="8" s="1"/>
  <c r="F275" i="8"/>
  <c r="E275" i="8" s="1"/>
  <c r="D546" i="8" s="1"/>
  <c r="D234" i="8"/>
  <c r="C105" i="8"/>
  <c r="C391" i="8" s="1"/>
  <c r="E391" i="8" s="1"/>
  <c r="F391" i="8" s="1"/>
  <c r="G392" i="8" s="1"/>
  <c r="C234" i="8" l="1"/>
  <c r="C504" i="8" s="1"/>
  <c r="E504" i="8" s="1"/>
  <c r="F504" i="8" s="1"/>
  <c r="G505" i="8" s="1"/>
  <c r="D154" i="8"/>
  <c r="F276" i="8"/>
  <c r="E276" i="8" s="1"/>
  <c r="D547" i="8" s="1"/>
  <c r="D432" i="8"/>
  <c r="D433" i="8" s="1"/>
  <c r="D235" i="8"/>
  <c r="C106" i="8"/>
  <c r="C392" i="8" s="1"/>
  <c r="E392" i="8" s="1"/>
  <c r="F392" i="8" s="1"/>
  <c r="G393" i="8" s="1"/>
  <c r="D164" i="8" l="1"/>
  <c r="D160" i="8"/>
  <c r="C235" i="8"/>
  <c r="C505" i="8" s="1"/>
  <c r="E505" i="8" s="1"/>
  <c r="F505" i="8" s="1"/>
  <c r="G506" i="8" s="1"/>
  <c r="D168" i="8"/>
  <c r="D169" i="8" s="1"/>
  <c r="F277" i="8"/>
  <c r="D284" i="8" s="1"/>
  <c r="D236" i="8"/>
  <c r="C107" i="8"/>
  <c r="F161" i="8" l="1"/>
  <c r="F160" i="8"/>
  <c r="N284" i="8"/>
  <c r="N285" i="8"/>
  <c r="D165" i="8"/>
  <c r="F164" i="8"/>
  <c r="C236" i="8"/>
  <c r="C506" i="8" s="1"/>
  <c r="E506" i="8" s="1"/>
  <c r="F506" i="8" s="1"/>
  <c r="G507" i="8" s="1"/>
  <c r="F168" i="8"/>
  <c r="E277" i="8"/>
  <c r="D281" i="8" s="1"/>
  <c r="D286" i="8" s="1"/>
  <c r="D237" i="8"/>
  <c r="C393" i="8"/>
  <c r="E393" i="8" s="1"/>
  <c r="F393" i="8" s="1"/>
  <c r="G394" i="8" s="1"/>
  <c r="C108" i="8"/>
  <c r="C394" i="8" s="1"/>
  <c r="E394" i="8" s="1"/>
  <c r="C237" i="8" l="1"/>
  <c r="C507" i="8" s="1"/>
  <c r="E507" i="8" s="1"/>
  <c r="F507" i="8" s="1"/>
  <c r="G508" i="8" s="1"/>
  <c r="D548" i="8"/>
  <c r="F394" i="8"/>
  <c r="G395" i="8" s="1"/>
  <c r="D238" i="8"/>
  <c r="C109" i="8"/>
  <c r="C395" i="8" s="1"/>
  <c r="E395" i="8" s="1"/>
  <c r="F395" i="8" s="1"/>
  <c r="G396" i="8" s="1"/>
  <c r="F68" i="14" l="1"/>
  <c r="E66" i="14" s="1"/>
  <c r="C238" i="8"/>
  <c r="C508" i="8" s="1"/>
  <c r="E508" i="8" s="1"/>
  <c r="F508" i="8" s="1"/>
  <c r="G509" i="8" s="1"/>
  <c r="F65" i="14"/>
  <c r="E63" i="14" s="1"/>
  <c r="D296" i="8"/>
  <c r="D298" i="8"/>
  <c r="D239" i="8"/>
  <c r="C110" i="8"/>
  <c r="D297" i="8" l="1"/>
  <c r="E73" i="14" s="1"/>
  <c r="D299" i="8"/>
  <c r="E71" i="14" s="1"/>
  <c r="C239" i="8"/>
  <c r="C509" i="8" s="1"/>
  <c r="E509" i="8" s="1"/>
  <c r="F509" i="8" s="1"/>
  <c r="G510" i="8" s="1"/>
  <c r="E64" i="14"/>
  <c r="D240" i="8"/>
  <c r="C396" i="8"/>
  <c r="E396" i="8" s="1"/>
  <c r="F396" i="8" s="1"/>
  <c r="G397" i="8" s="1"/>
  <c r="C111" i="8"/>
  <c r="C240" i="8" l="1"/>
  <c r="C510" i="8" s="1"/>
  <c r="E510" i="8" s="1"/>
  <c r="F510" i="8" s="1"/>
  <c r="G511" i="8" s="1"/>
  <c r="D241" i="8"/>
  <c r="C397" i="8"/>
  <c r="E397" i="8" s="1"/>
  <c r="F397" i="8" s="1"/>
  <c r="G398" i="8" s="1"/>
  <c r="C112" i="8"/>
  <c r="C398" i="8" s="1"/>
  <c r="E398" i="8" s="1"/>
  <c r="C241" i="8" l="1"/>
  <c r="C511" i="8" s="1"/>
  <c r="E511" i="8" s="1"/>
  <c r="F511" i="8" s="1"/>
  <c r="G512" i="8" s="1"/>
  <c r="F398" i="8"/>
  <c r="G399" i="8" s="1"/>
  <c r="D242" i="8"/>
  <c r="C113" i="8"/>
  <c r="C242" i="8" l="1"/>
  <c r="C512" i="8" s="1"/>
  <c r="E512" i="8" s="1"/>
  <c r="F512" i="8" s="1"/>
  <c r="G513" i="8" s="1"/>
  <c r="D243" i="8"/>
  <c r="C399" i="8"/>
  <c r="E399" i="8" s="1"/>
  <c r="F399" i="8" s="1"/>
  <c r="G400" i="8" s="1"/>
  <c r="C114" i="8"/>
  <c r="C243" i="8" l="1"/>
  <c r="C513" i="8" s="1"/>
  <c r="E513" i="8" s="1"/>
  <c r="F513" i="8" s="1"/>
  <c r="G514" i="8" s="1"/>
  <c r="D244" i="8"/>
  <c r="C400" i="8"/>
  <c r="E400" i="8" s="1"/>
  <c r="F400" i="8" s="1"/>
  <c r="G401" i="8" s="1"/>
  <c r="C115" i="8"/>
  <c r="C244" i="8" l="1"/>
  <c r="C514" i="8" s="1"/>
  <c r="E514" i="8" s="1"/>
  <c r="F514" i="8" s="1"/>
  <c r="G515" i="8" s="1"/>
  <c r="D245" i="8"/>
  <c r="C401" i="8"/>
  <c r="E401" i="8" s="1"/>
  <c r="F401" i="8" s="1"/>
  <c r="G402" i="8" s="1"/>
  <c r="C116" i="8"/>
  <c r="C245" i="8" l="1"/>
  <c r="C515" i="8" s="1"/>
  <c r="E515" i="8" s="1"/>
  <c r="F515" i="8" s="1"/>
  <c r="G516" i="8" s="1"/>
  <c r="D246" i="8"/>
  <c r="C402" i="8"/>
  <c r="E402" i="8" s="1"/>
  <c r="F402" i="8" s="1"/>
  <c r="G403" i="8" s="1"/>
  <c r="C117" i="8"/>
  <c r="C246" i="8" l="1"/>
  <c r="C516" i="8" s="1"/>
  <c r="E516" i="8" s="1"/>
  <c r="F516" i="8" s="1"/>
  <c r="G517" i="8" s="1"/>
  <c r="D247" i="8"/>
  <c r="C403" i="8"/>
  <c r="E403" i="8" s="1"/>
  <c r="F403" i="8" s="1"/>
  <c r="G404" i="8" s="1"/>
  <c r="C118" i="8"/>
  <c r="C247" i="8" l="1"/>
  <c r="C517" i="8" s="1"/>
  <c r="E517" i="8" s="1"/>
  <c r="F517" i="8" s="1"/>
  <c r="G518" i="8" s="1"/>
  <c r="D248" i="8"/>
  <c r="C404" i="8"/>
  <c r="E404" i="8" s="1"/>
  <c r="F404" i="8" s="1"/>
  <c r="G405" i="8" s="1"/>
  <c r="C119" i="8"/>
  <c r="C248" i="8" l="1"/>
  <c r="C518" i="8" s="1"/>
  <c r="E518" i="8" s="1"/>
  <c r="F518" i="8" s="1"/>
  <c r="G519" i="8" s="1"/>
  <c r="D249" i="8"/>
  <c r="C405" i="8"/>
  <c r="E405" i="8" s="1"/>
  <c r="F405" i="8" s="1"/>
  <c r="G406" i="8" s="1"/>
  <c r="C120" i="8"/>
  <c r="C249" i="8" l="1"/>
  <c r="C519" i="8" s="1"/>
  <c r="E519" i="8" s="1"/>
  <c r="F519" i="8" s="1"/>
  <c r="G520" i="8" s="1"/>
  <c r="C406" i="8"/>
  <c r="E406" i="8" s="1"/>
  <c r="F406" i="8" s="1"/>
  <c r="G407" i="8" s="1"/>
  <c r="C121" i="8"/>
  <c r="D250" i="8"/>
  <c r="C250" i="8" l="1"/>
  <c r="C520" i="8" s="1"/>
  <c r="E520" i="8" s="1"/>
  <c r="F520" i="8" s="1"/>
  <c r="G521" i="8" s="1"/>
  <c r="D251" i="8"/>
  <c r="C407" i="8"/>
  <c r="E407" i="8" s="1"/>
  <c r="F407" i="8" s="1"/>
  <c r="G408" i="8" s="1"/>
  <c r="C122" i="8"/>
  <c r="C251" i="8" l="1"/>
  <c r="C521" i="8" s="1"/>
  <c r="E521" i="8" s="1"/>
  <c r="F521" i="8" s="1"/>
  <c r="G522" i="8" s="1"/>
  <c r="D252" i="8"/>
  <c r="C408" i="8"/>
  <c r="E408" i="8" s="1"/>
  <c r="F408" i="8" s="1"/>
  <c r="G409" i="8" s="1"/>
  <c r="C123" i="8"/>
  <c r="C252" i="8" l="1"/>
  <c r="C522" i="8" s="1"/>
  <c r="E522" i="8" s="1"/>
  <c r="F522" i="8" s="1"/>
  <c r="G523" i="8" s="1"/>
  <c r="D253" i="8"/>
  <c r="C409" i="8"/>
  <c r="E409" i="8" s="1"/>
  <c r="F409" i="8" s="1"/>
  <c r="G410" i="8" s="1"/>
  <c r="C124" i="8"/>
  <c r="C253" i="8" l="1"/>
  <c r="C523" i="8" s="1"/>
  <c r="E523" i="8" s="1"/>
  <c r="F523" i="8" s="1"/>
  <c r="G524" i="8" s="1"/>
  <c r="D254" i="8"/>
  <c r="C410" i="8"/>
  <c r="E410" i="8" s="1"/>
  <c r="F410" i="8" s="1"/>
  <c r="G411" i="8" s="1"/>
  <c r="C125" i="8"/>
  <c r="C254" i="8" l="1"/>
  <c r="C524" i="8" s="1"/>
  <c r="E524" i="8" s="1"/>
  <c r="F524" i="8" s="1"/>
  <c r="G525" i="8" s="1"/>
  <c r="D255" i="8"/>
  <c r="C411" i="8"/>
  <c r="E411" i="8" s="1"/>
  <c r="F411" i="8" s="1"/>
  <c r="G412" i="8" s="1"/>
  <c r="C126" i="8"/>
  <c r="C255" i="8" l="1"/>
  <c r="C525" i="8" s="1"/>
  <c r="E525" i="8" s="1"/>
  <c r="F525" i="8" s="1"/>
  <c r="G526" i="8" s="1"/>
  <c r="D256" i="8"/>
  <c r="C412" i="8"/>
  <c r="E412" i="8" s="1"/>
  <c r="F412" i="8" s="1"/>
  <c r="G413" i="8" s="1"/>
  <c r="C127" i="8"/>
  <c r="C256" i="8" l="1"/>
  <c r="C526" i="8" s="1"/>
  <c r="E526" i="8" s="1"/>
  <c r="D257" i="8"/>
  <c r="C413" i="8"/>
  <c r="E413" i="8" s="1"/>
  <c r="F413" i="8" s="1"/>
  <c r="G414" i="8" s="1"/>
  <c r="C128" i="8"/>
  <c r="C257" i="8" l="1"/>
  <c r="C527" i="8" s="1"/>
  <c r="E527" i="8" s="1"/>
  <c r="F527" i="8" s="1"/>
  <c r="G528" i="8" s="1"/>
  <c r="F526" i="8"/>
  <c r="G527" i="8" s="1"/>
  <c r="D258" i="8"/>
  <c r="C414" i="8"/>
  <c r="E414" i="8" s="1"/>
  <c r="F414" i="8" s="1"/>
  <c r="G415" i="8" s="1"/>
  <c r="C129" i="8"/>
  <c r="C415" i="8" s="1"/>
  <c r="E415" i="8" s="1"/>
  <c r="C258" i="8" l="1"/>
  <c r="C528" i="8" s="1"/>
  <c r="E528" i="8" s="1"/>
  <c r="F528" i="8" s="1"/>
  <c r="G529" i="8" s="1"/>
  <c r="F415" i="8"/>
  <c r="G416" i="8" s="1"/>
  <c r="D259" i="8"/>
  <c r="C259" i="8" s="1"/>
  <c r="C130" i="8"/>
  <c r="C529" i="8" l="1"/>
  <c r="E529" i="8" s="1"/>
  <c r="F529" i="8" s="1"/>
  <c r="G530" i="8" s="1"/>
  <c r="D260" i="8"/>
  <c r="C260" i="8" s="1"/>
  <c r="C416" i="8"/>
  <c r="E416" i="8" s="1"/>
  <c r="F416" i="8" s="1"/>
  <c r="G417" i="8" s="1"/>
  <c r="C131" i="8"/>
  <c r="C530" i="8" l="1"/>
  <c r="E530" i="8" s="1"/>
  <c r="D261" i="8"/>
  <c r="C261" i="8" s="1"/>
  <c r="C531" i="8" s="1"/>
  <c r="E531" i="8" s="1"/>
  <c r="C417" i="8"/>
  <c r="E417" i="8" s="1"/>
  <c r="F417" i="8" s="1"/>
  <c r="G418" i="8" s="1"/>
  <c r="C132" i="8"/>
  <c r="C418" i="8" s="1"/>
  <c r="E418" i="8" s="1"/>
  <c r="F531" i="8" l="1"/>
  <c r="G532" i="8" s="1"/>
  <c r="F530" i="8"/>
  <c r="G531" i="8" s="1"/>
  <c r="F418" i="8"/>
  <c r="G419" i="8" s="1"/>
  <c r="D262" i="8"/>
  <c r="C262" i="8" s="1"/>
  <c r="C532" i="8" s="1"/>
  <c r="E532" i="8" s="1"/>
  <c r="F532" i="8" s="1"/>
  <c r="G533" i="8" s="1"/>
  <c r="C133" i="8"/>
  <c r="D263" i="8" l="1"/>
  <c r="C263" i="8" s="1"/>
  <c r="C419" i="8"/>
  <c r="E419" i="8" s="1"/>
  <c r="F419" i="8" s="1"/>
  <c r="G420" i="8" s="1"/>
  <c r="C134" i="8"/>
  <c r="C533" i="8" l="1"/>
  <c r="E533" i="8" s="1"/>
  <c r="F533" i="8" s="1"/>
  <c r="G534" i="8" s="1"/>
  <c r="D264" i="8"/>
  <c r="C264" i="8" s="1"/>
  <c r="C420" i="8"/>
  <c r="E420" i="8" s="1"/>
  <c r="F420" i="8" s="1"/>
  <c r="G421" i="8" s="1"/>
  <c r="C135" i="8"/>
  <c r="C534" i="8" l="1"/>
  <c r="E534" i="8" s="1"/>
  <c r="D265" i="8"/>
  <c r="C265" i="8" s="1"/>
  <c r="C535" i="8" s="1"/>
  <c r="E535" i="8" s="1"/>
  <c r="C421" i="8"/>
  <c r="E421" i="8" s="1"/>
  <c r="F421" i="8" s="1"/>
  <c r="G422" i="8" s="1"/>
  <c r="C136" i="8"/>
  <c r="F535" i="8" l="1"/>
  <c r="G536" i="8" s="1"/>
  <c r="F534" i="8"/>
  <c r="G535" i="8" s="1"/>
  <c r="D266" i="8"/>
  <c r="C266" i="8" s="1"/>
  <c r="C536" i="8" s="1"/>
  <c r="E536" i="8" s="1"/>
  <c r="F536" i="8" s="1"/>
  <c r="G537" i="8" s="1"/>
  <c r="C422" i="8"/>
  <c r="E422" i="8" s="1"/>
  <c r="F422" i="8" s="1"/>
  <c r="G423" i="8" s="1"/>
  <c r="C137" i="8"/>
  <c r="C423" i="8" l="1"/>
  <c r="E423" i="8" s="1"/>
  <c r="F423" i="8" s="1"/>
  <c r="G424" i="8" s="1"/>
  <c r="C138" i="8"/>
  <c r="D267" i="8"/>
  <c r="C267" i="8" s="1"/>
  <c r="C537" i="8" s="1"/>
  <c r="E537" i="8" s="1"/>
  <c r="F537" i="8" s="1"/>
  <c r="G538" i="8" s="1"/>
  <c r="D268" i="8" l="1"/>
  <c r="C268" i="8" s="1"/>
  <c r="C424" i="8"/>
  <c r="E424" i="8" s="1"/>
  <c r="F424" i="8" s="1"/>
  <c r="G425" i="8" s="1"/>
  <c r="C139" i="8"/>
  <c r="G122" i="6" l="1"/>
  <c r="C538" i="8"/>
  <c r="E538" i="8" s="1"/>
  <c r="D269" i="8"/>
  <c r="C269" i="8" s="1"/>
  <c r="C425" i="8"/>
  <c r="E425" i="8" s="1"/>
  <c r="F425" i="8" s="1"/>
  <c r="G426" i="8" s="1"/>
  <c r="C140" i="8"/>
  <c r="F538" i="8" l="1"/>
  <c r="G539" i="8" s="1"/>
  <c r="C539" i="8"/>
  <c r="E539" i="8" s="1"/>
  <c r="F539" i="8" s="1"/>
  <c r="G540" i="8" s="1"/>
  <c r="D270" i="8"/>
  <c r="C270" i="8" s="1"/>
  <c r="C540" i="8" s="1"/>
  <c r="E540" i="8" s="1"/>
  <c r="C426" i="8"/>
  <c r="E426" i="8" s="1"/>
  <c r="F426" i="8" s="1"/>
  <c r="G427" i="8" s="1"/>
  <c r="C141" i="8"/>
  <c r="F540" i="8" l="1"/>
  <c r="G541" i="8" s="1"/>
  <c r="D271" i="8"/>
  <c r="C271" i="8" s="1"/>
  <c r="C427" i="8"/>
  <c r="E427" i="8" s="1"/>
  <c r="F427" i="8" s="1"/>
  <c r="G428" i="8" s="1"/>
  <c r="C142" i="8"/>
  <c r="C541" i="8" l="1"/>
  <c r="E541" i="8" s="1"/>
  <c r="F541" i="8" s="1"/>
  <c r="G542" i="8" s="1"/>
  <c r="D272" i="8"/>
  <c r="C272" i="8" s="1"/>
  <c r="C428" i="8"/>
  <c r="E428" i="8" s="1"/>
  <c r="F428" i="8" s="1"/>
  <c r="G429" i="8" s="1"/>
  <c r="C143" i="8"/>
  <c r="C542" i="8" l="1"/>
  <c r="E542" i="8" s="1"/>
  <c r="D273" i="8"/>
  <c r="C273" i="8" s="1"/>
  <c r="C429" i="8"/>
  <c r="E429" i="8" s="1"/>
  <c r="F429" i="8" s="1"/>
  <c r="G430" i="8" s="1"/>
  <c r="C144" i="8"/>
  <c r="F542" i="8" l="1"/>
  <c r="G543" i="8" s="1"/>
  <c r="C543" i="8"/>
  <c r="E543" i="8" s="1"/>
  <c r="F543" i="8" s="1"/>
  <c r="G544" i="8" s="1"/>
  <c r="D274" i="8"/>
  <c r="C274" i="8" s="1"/>
  <c r="C430" i="8"/>
  <c r="E430" i="8" s="1"/>
  <c r="F430" i="8" s="1"/>
  <c r="G431" i="8" s="1"/>
  <c r="C145" i="8"/>
  <c r="C544" i="8" l="1"/>
  <c r="E544" i="8" s="1"/>
  <c r="F544" i="8" s="1"/>
  <c r="G545" i="8" s="1"/>
  <c r="D275" i="8"/>
  <c r="C275" i="8" s="1"/>
  <c r="C431" i="8"/>
  <c r="E431" i="8" s="1"/>
  <c r="F431" i="8" s="1"/>
  <c r="G432" i="8" s="1"/>
  <c r="C146" i="8"/>
  <c r="C147" i="8" s="1"/>
  <c r="D149" i="8" s="1"/>
  <c r="D153" i="8" l="1"/>
  <c r="C545" i="8"/>
  <c r="E545" i="8" s="1"/>
  <c r="F545" i="8" s="1"/>
  <c r="G546" i="8" s="1"/>
  <c r="C432" i="8"/>
  <c r="D276" i="8"/>
  <c r="D162" i="8" l="1"/>
  <c r="D157" i="8"/>
  <c r="D158" i="8" s="1"/>
  <c r="D159" i="8" s="1"/>
  <c r="D277" i="8"/>
  <c r="D282" i="8" s="1"/>
  <c r="C433" i="8"/>
  <c r="E433" i="8" s="1"/>
  <c r="E432" i="8"/>
  <c r="F432" i="8" s="1"/>
  <c r="G433" i="8" s="1"/>
  <c r="F437" i="8" s="1"/>
  <c r="C276" i="8"/>
  <c r="N283" i="8" l="1"/>
  <c r="N282" i="8"/>
  <c r="D155" i="8"/>
  <c r="D166" i="8"/>
  <c r="F166" i="8" s="1"/>
  <c r="F162" i="8"/>
  <c r="C12" i="22" s="1"/>
  <c r="F157" i="8"/>
  <c r="C277" i="8"/>
  <c r="D280" i="8" s="1"/>
  <c r="D285" i="8" s="1"/>
  <c r="D287" i="8" s="1"/>
  <c r="D289" i="8" s="1"/>
  <c r="C546" i="8"/>
  <c r="E546" i="8" s="1"/>
  <c r="F546" i="8" s="1"/>
  <c r="G547" i="8" s="1"/>
  <c r="F433" i="8"/>
  <c r="F435" i="8" s="1"/>
  <c r="F436" i="8" s="1"/>
  <c r="F440" i="8"/>
  <c r="F438" i="8"/>
  <c r="F439" i="8" s="1"/>
  <c r="C10" i="22" l="1"/>
  <c r="F155" i="8"/>
  <c r="F43" i="14" s="1"/>
  <c r="F163" i="8"/>
  <c r="C9" i="9"/>
  <c r="F9" i="9" s="1"/>
  <c r="F156" i="8"/>
  <c r="E42" i="14" s="1"/>
  <c r="D163" i="8"/>
  <c r="D167" i="8"/>
  <c r="C547" i="8"/>
  <c r="E547" i="8" s="1"/>
  <c r="F547" i="8" s="1"/>
  <c r="G548" i="8" s="1"/>
  <c r="F552" i="8" s="1"/>
  <c r="F555" i="8" s="1"/>
  <c r="C548" i="8"/>
  <c r="E548" i="8" s="1"/>
  <c r="F441" i="8"/>
  <c r="F442" i="8" s="1"/>
  <c r="E38" i="14" l="1"/>
  <c r="E39" i="14"/>
  <c r="E37" i="14"/>
  <c r="D292" i="8"/>
  <c r="D300" i="8" s="1"/>
  <c r="D294" i="8"/>
  <c r="D295" i="8" s="1"/>
  <c r="E70" i="14" s="1"/>
  <c r="E9" i="9"/>
  <c r="E69" i="14"/>
  <c r="F548" i="8"/>
  <c r="F550" i="8" s="1"/>
  <c r="F551" i="8" s="1"/>
  <c r="F553" i="8"/>
  <c r="F554" i="8" s="1"/>
  <c r="F556" i="8" s="1"/>
  <c r="F557" i="8" s="1"/>
  <c r="C11" i="9" l="1"/>
  <c r="E11" i="9" s="1"/>
  <c r="F300" i="8"/>
  <c r="C13" i="22" s="1"/>
  <c r="D293" i="8"/>
  <c r="E72" i="14" s="1"/>
  <c r="D301" i="8"/>
  <c r="D302" i="8" s="1"/>
  <c r="F11" i="9" l="1"/>
  <c r="D290" i="8"/>
  <c r="D288" i="8"/>
  <c r="C11" i="22" l="1"/>
  <c r="F74" i="14"/>
  <c r="E77" i="14"/>
  <c r="F54" i="14"/>
  <c r="F59" i="14" l="1"/>
  <c r="E55" i="14" s="1"/>
  <c r="F75" i="14"/>
  <c r="E53" i="14"/>
  <c r="E51" i="14" l="1"/>
  <c r="E56" i="14"/>
  <c r="E50" i="14"/>
  <c r="C73" i="18" l="1"/>
  <c r="C74" i="18"/>
  <c r="G123" i="6" l="1"/>
  <c r="H123" i="6" s="1"/>
  <c r="G114" i="6"/>
  <c r="G109" i="6"/>
  <c r="Q40" i="8"/>
  <c r="C30" i="6" l="1"/>
  <c r="E30" i="6" s="1"/>
  <c r="N10" i="6" s="1"/>
  <c r="C24" i="6"/>
  <c r="E24" i="6" s="1"/>
  <c r="N8" i="6" s="1"/>
  <c r="C17" i="6"/>
  <c r="G17" i="6" s="1"/>
  <c r="O6" i="6" s="1"/>
  <c r="T6" i="6" s="1"/>
  <c r="C15" i="6"/>
  <c r="E15" i="6" s="1"/>
  <c r="N5" i="6" s="1"/>
  <c r="S5" i="6" s="1"/>
  <c r="C22" i="6"/>
  <c r="E22" i="6" s="1"/>
  <c r="C28" i="6"/>
  <c r="E28" i="6" s="1"/>
  <c r="E41" i="3"/>
  <c r="K109" i="7"/>
  <c r="C20" i="6" s="1"/>
  <c r="G20" i="6" s="1"/>
  <c r="H20" i="6" s="1"/>
  <c r="E13" i="6"/>
  <c r="G15" i="6" l="1"/>
  <c r="O5" i="6" s="1"/>
  <c r="T5" i="6" s="1"/>
  <c r="E17" i="6"/>
  <c r="N6" i="6" s="1"/>
  <c r="S6" i="6" s="1"/>
  <c r="G28" i="6"/>
  <c r="G30" i="6"/>
  <c r="O10" i="6" s="1"/>
  <c r="AF82" i="3"/>
  <c r="D8" i="22"/>
  <c r="J28" i="19"/>
  <c r="AF89" i="3"/>
  <c r="C78" i="6" s="1"/>
  <c r="D6" i="22"/>
  <c r="D41" i="18"/>
  <c r="N4" i="6"/>
  <c r="S4" i="6" s="1"/>
  <c r="E7" i="3"/>
  <c r="J10" i="8"/>
  <c r="J14" i="8"/>
  <c r="N31" i="8" s="1"/>
  <c r="G13" i="6"/>
  <c r="Y116" i="7"/>
  <c r="K108" i="7"/>
  <c r="G11" i="14"/>
  <c r="N9" i="6"/>
  <c r="F31" i="6"/>
  <c r="G22" i="6"/>
  <c r="F25" i="6"/>
  <c r="N7" i="6"/>
  <c r="G24" i="6"/>
  <c r="O8" i="6" s="1"/>
  <c r="O9" i="6" l="1"/>
  <c r="T7" i="6" s="1"/>
  <c r="F18" i="6"/>
  <c r="H31" i="6"/>
  <c r="AA116" i="7"/>
  <c r="Z116" i="7"/>
  <c r="C41" i="3"/>
  <c r="X82" i="3" s="1"/>
  <c r="N36" i="8"/>
  <c r="N35" i="8"/>
  <c r="N32" i="8"/>
  <c r="N37" i="8"/>
  <c r="N39" i="8"/>
  <c r="N33" i="8"/>
  <c r="N38" i="8"/>
  <c r="I27" i="8"/>
  <c r="C138" i="6" s="1"/>
  <c r="N34" i="8"/>
  <c r="N41" i="8" s="1"/>
  <c r="S7" i="6"/>
  <c r="W4" i="6" s="1"/>
  <c r="P39" i="8"/>
  <c r="P33" i="8"/>
  <c r="P38" i="8"/>
  <c r="T68" i="8" s="1"/>
  <c r="T69" i="8" s="1"/>
  <c r="T70" i="8" s="1"/>
  <c r="T71" i="8" s="1"/>
  <c r="T72" i="8" s="1"/>
  <c r="T73" i="8" s="1"/>
  <c r="T74" i="8" s="1"/>
  <c r="T75" i="8" s="1"/>
  <c r="T76" i="8" s="1"/>
  <c r="T77" i="8" s="1"/>
  <c r="T78" i="8" s="1"/>
  <c r="T79" i="8" s="1"/>
  <c r="T80" i="8" s="1"/>
  <c r="T81" i="8" s="1"/>
  <c r="T82" i="8" s="1"/>
  <c r="T83" i="8" s="1"/>
  <c r="T84" i="8" s="1"/>
  <c r="T85" i="8" s="1"/>
  <c r="T86" i="8" s="1"/>
  <c r="T87" i="8" s="1"/>
  <c r="T88" i="8" s="1"/>
  <c r="T89" i="8" s="1"/>
  <c r="T90" i="8" s="1"/>
  <c r="T91" i="8" s="1"/>
  <c r="T92" i="8" s="1"/>
  <c r="T93" i="8" s="1"/>
  <c r="T94" i="8" s="1"/>
  <c r="T95" i="8" s="1"/>
  <c r="T96" i="8" s="1"/>
  <c r="P36" i="8"/>
  <c r="R68" i="8" s="1"/>
  <c r="R69" i="8" s="1"/>
  <c r="R70" i="8" s="1"/>
  <c r="R71" i="8" s="1"/>
  <c r="R72" i="8" s="1"/>
  <c r="R73" i="8" s="1"/>
  <c r="R74" i="8" s="1"/>
  <c r="R75" i="8" s="1"/>
  <c r="R76" i="8" s="1"/>
  <c r="R77" i="8" s="1"/>
  <c r="R78" i="8" s="1"/>
  <c r="R79" i="8" s="1"/>
  <c r="R80" i="8" s="1"/>
  <c r="R81" i="8" s="1"/>
  <c r="R82" i="8" s="1"/>
  <c r="R83" i="8" s="1"/>
  <c r="R84" i="8" s="1"/>
  <c r="R85" i="8" s="1"/>
  <c r="R86" i="8" s="1"/>
  <c r="R87" i="8" s="1"/>
  <c r="R88" i="8" s="1"/>
  <c r="R89" i="8" s="1"/>
  <c r="R90" i="8" s="1"/>
  <c r="R91" i="8" s="1"/>
  <c r="R92" i="8" s="1"/>
  <c r="R93" i="8" s="1"/>
  <c r="R94" i="8" s="1"/>
  <c r="R95" i="8" s="1"/>
  <c r="R96" i="8" s="1"/>
  <c r="R97" i="8" s="1"/>
  <c r="P37" i="8"/>
  <c r="S68" i="8" s="1"/>
  <c r="S69" i="8" s="1"/>
  <c r="S70" i="8" s="1"/>
  <c r="S71" i="8" s="1"/>
  <c r="S72" i="8" s="1"/>
  <c r="S73" i="8" s="1"/>
  <c r="S74" i="8" s="1"/>
  <c r="S75" i="8" s="1"/>
  <c r="S76" i="8" s="1"/>
  <c r="S77" i="8" s="1"/>
  <c r="S78" i="8" s="1"/>
  <c r="S79" i="8" s="1"/>
  <c r="S80" i="8" s="1"/>
  <c r="S81" i="8" s="1"/>
  <c r="S82" i="8" s="1"/>
  <c r="S83" i="8" s="1"/>
  <c r="S84" i="8" s="1"/>
  <c r="S85" i="8" s="1"/>
  <c r="S86" i="8" s="1"/>
  <c r="S87" i="8" s="1"/>
  <c r="S88" i="8" s="1"/>
  <c r="S89" i="8" s="1"/>
  <c r="S90" i="8" s="1"/>
  <c r="S91" i="8" s="1"/>
  <c r="S92" i="8" s="1"/>
  <c r="S93" i="8" s="1"/>
  <c r="S94" i="8" s="1"/>
  <c r="S95" i="8" s="1"/>
  <c r="S96" i="8" s="1"/>
  <c r="P35" i="8"/>
  <c r="Q68" i="8" s="1"/>
  <c r="Q69" i="8" s="1"/>
  <c r="Q70" i="8" s="1"/>
  <c r="Q71" i="8" s="1"/>
  <c r="Q72" i="8" s="1"/>
  <c r="Q73" i="8" s="1"/>
  <c r="Q74" i="8" s="1"/>
  <c r="Q75" i="8" s="1"/>
  <c r="Q76" i="8" s="1"/>
  <c r="Q77" i="8" s="1"/>
  <c r="Q78" i="8" s="1"/>
  <c r="Q79" i="8" s="1"/>
  <c r="Q80" i="8" s="1"/>
  <c r="Q81" i="8" s="1"/>
  <c r="Q82" i="8" s="1"/>
  <c r="Q83" i="8" s="1"/>
  <c r="Q84" i="8" s="1"/>
  <c r="Q85" i="8" s="1"/>
  <c r="Q86" i="8" s="1"/>
  <c r="Q87" i="8" s="1"/>
  <c r="Q88" i="8" s="1"/>
  <c r="Q89" i="8" s="1"/>
  <c r="Q90" i="8" s="1"/>
  <c r="Q91" i="8" s="1"/>
  <c r="Q92" i="8" s="1"/>
  <c r="Q93" i="8" s="1"/>
  <c r="Q94" i="8" s="1"/>
  <c r="Q95" i="8" s="1"/>
  <c r="Q96" i="8" s="1"/>
  <c r="P32" i="8"/>
  <c r="N68" i="8" s="1"/>
  <c r="N69" i="8" s="1"/>
  <c r="N70" i="8" s="1"/>
  <c r="N71" i="8" s="1"/>
  <c r="N72" i="8" s="1"/>
  <c r="N73" i="8" s="1"/>
  <c r="N74" i="8" s="1"/>
  <c r="N75" i="8" s="1"/>
  <c r="N76" i="8" s="1"/>
  <c r="N77" i="8" s="1"/>
  <c r="N78" i="8" s="1"/>
  <c r="N79" i="8" s="1"/>
  <c r="N80" i="8" s="1"/>
  <c r="N81" i="8" s="1"/>
  <c r="N82" i="8" s="1"/>
  <c r="N83" i="8" s="1"/>
  <c r="N84" i="8" s="1"/>
  <c r="N85" i="8" s="1"/>
  <c r="N86" i="8" s="1"/>
  <c r="N87" i="8" s="1"/>
  <c r="N88" i="8" s="1"/>
  <c r="N89" i="8" s="1"/>
  <c r="N90" i="8" s="1"/>
  <c r="N91" i="8" s="1"/>
  <c r="N92" i="8" s="1"/>
  <c r="N93" i="8" s="1"/>
  <c r="N94" i="8" s="1"/>
  <c r="N95" i="8" s="1"/>
  <c r="N96" i="8" s="1"/>
  <c r="P34" i="8"/>
  <c r="P31" i="8"/>
  <c r="M68" i="8" s="1"/>
  <c r="E78" i="6"/>
  <c r="G78" i="6"/>
  <c r="C134" i="6"/>
  <c r="O4" i="6"/>
  <c r="T4" i="6" s="1"/>
  <c r="H18" i="6"/>
  <c r="Q24" i="3"/>
  <c r="I27" i="19"/>
  <c r="Q26" i="3"/>
  <c r="D4" i="22" s="1"/>
  <c r="K28" i="19"/>
  <c r="L28" i="19"/>
  <c r="C101" i="6" s="1"/>
  <c r="G101" i="6" s="1"/>
  <c r="H25" i="6"/>
  <c r="AB116" i="7"/>
  <c r="C7" i="3"/>
  <c r="D7" i="3" s="1"/>
  <c r="F68" i="18"/>
  <c r="D43" i="18"/>
  <c r="Q97" i="8" l="1"/>
  <c r="S97" i="8"/>
  <c r="Y4" i="6"/>
  <c r="X4" i="6"/>
  <c r="N97" i="8"/>
  <c r="T97" i="8"/>
  <c r="R98" i="8"/>
  <c r="R99" i="8" s="1"/>
  <c r="R100" i="8" s="1"/>
  <c r="R101" i="8" s="1"/>
  <c r="R102" i="8" s="1"/>
  <c r="R103" i="8" s="1"/>
  <c r="R104" i="8" s="1"/>
  <c r="R105" i="8" s="1"/>
  <c r="R106" i="8" s="1"/>
  <c r="R107" i="8" s="1"/>
  <c r="R108" i="8" s="1"/>
  <c r="R109" i="8" s="1"/>
  <c r="R110" i="8" s="1"/>
  <c r="R111" i="8" s="1"/>
  <c r="R112" i="8" s="1"/>
  <c r="R113" i="8" s="1"/>
  <c r="R114" i="8" s="1"/>
  <c r="R115" i="8" s="1"/>
  <c r="R116" i="8" s="1"/>
  <c r="R117" i="8" s="1"/>
  <c r="R118" i="8" s="1"/>
  <c r="R119" i="8" s="1"/>
  <c r="R120" i="8" s="1"/>
  <c r="R121" i="8" s="1"/>
  <c r="R122" i="8" s="1"/>
  <c r="R123" i="8" s="1"/>
  <c r="R124" i="8" s="1"/>
  <c r="R125" i="8" s="1"/>
  <c r="R126" i="8" s="1"/>
  <c r="R127" i="8" s="1"/>
  <c r="R128" i="8" s="1"/>
  <c r="R129" i="8" s="1"/>
  <c r="R130" i="8" s="1"/>
  <c r="R131" i="8" s="1"/>
  <c r="R132" i="8" s="1"/>
  <c r="R133" i="8" s="1"/>
  <c r="R134" i="8" s="1"/>
  <c r="R135" i="8" s="1"/>
  <c r="R136" i="8" s="1"/>
  <c r="R137" i="8" s="1"/>
  <c r="R138" i="8" s="1"/>
  <c r="R139" i="8" s="1"/>
  <c r="R140" i="8" s="1"/>
  <c r="R141" i="8" s="1"/>
  <c r="R142" i="8" s="1"/>
  <c r="R143" i="8" s="1"/>
  <c r="R144" i="8" s="1"/>
  <c r="R145" i="8" s="1"/>
  <c r="R146" i="8" s="1"/>
  <c r="R147" i="8" s="1"/>
  <c r="P40" i="8"/>
  <c r="R120" i="7"/>
  <c r="H10" i="8"/>
  <c r="B7" i="3"/>
  <c r="C33" i="6" s="1"/>
  <c r="L32" i="19"/>
  <c r="P41" i="8"/>
  <c r="N152" i="8" s="1"/>
  <c r="P68" i="8"/>
  <c r="E134" i="6"/>
  <c r="G134" i="6"/>
  <c r="G138" i="6"/>
  <c r="E138" i="6"/>
  <c r="I75" i="3"/>
  <c r="C70" i="6" s="1"/>
  <c r="AF94" i="3"/>
  <c r="G76" i="14"/>
  <c r="F52" i="18"/>
  <c r="F50" i="18"/>
  <c r="D50" i="18"/>
  <c r="D52" i="18"/>
  <c r="F48" i="18"/>
  <c r="E130" i="6" s="1"/>
  <c r="F131" i="6" s="1"/>
  <c r="D48" i="18"/>
  <c r="G130" i="6" s="1"/>
  <c r="T21" i="6" s="1"/>
  <c r="D18" i="3"/>
  <c r="C68" i="6" s="1"/>
  <c r="Q28" i="3"/>
  <c r="J27" i="19"/>
  <c r="R28" i="19" s="1"/>
  <c r="L27" i="19"/>
  <c r="L31" i="19" s="1"/>
  <c r="K27" i="19"/>
  <c r="R29" i="19" s="1"/>
  <c r="R27" i="19"/>
  <c r="N40" i="8"/>
  <c r="N151" i="8" s="1"/>
  <c r="T120" i="7"/>
  <c r="H14" i="8"/>
  <c r="B41" i="3"/>
  <c r="G68" i="18"/>
  <c r="T98" i="8" l="1"/>
  <c r="T99" i="8" s="1"/>
  <c r="T100" i="8" s="1"/>
  <c r="T101" i="8" s="1"/>
  <c r="T102" i="8" s="1"/>
  <c r="T103" i="8" s="1"/>
  <c r="T104" i="8" s="1"/>
  <c r="T105" i="8" s="1"/>
  <c r="T106" i="8" s="1"/>
  <c r="T107" i="8" s="1"/>
  <c r="T108" i="8" s="1"/>
  <c r="T109" i="8" s="1"/>
  <c r="T110" i="8" s="1"/>
  <c r="T111" i="8" s="1"/>
  <c r="T112" i="8" s="1"/>
  <c r="T113" i="8" s="1"/>
  <c r="T114" i="8" s="1"/>
  <c r="T115" i="8" s="1"/>
  <c r="T116" i="8" s="1"/>
  <c r="T117" i="8" s="1"/>
  <c r="T118" i="8" s="1"/>
  <c r="T119" i="8" s="1"/>
  <c r="T120" i="8" s="1"/>
  <c r="T121" i="8" s="1"/>
  <c r="T122" i="8" s="1"/>
  <c r="T123" i="8" s="1"/>
  <c r="T124" i="8" s="1"/>
  <c r="T125" i="8" s="1"/>
  <c r="T126" i="8" s="1"/>
  <c r="T127" i="8" s="1"/>
  <c r="T128" i="8" s="1"/>
  <c r="T129" i="8" s="1"/>
  <c r="T130" i="8" s="1"/>
  <c r="T131" i="8" s="1"/>
  <c r="T132" i="8" s="1"/>
  <c r="T133" i="8" s="1"/>
  <c r="T134" i="8" s="1"/>
  <c r="T135" i="8" s="1"/>
  <c r="T136" i="8" s="1"/>
  <c r="T137" i="8" s="1"/>
  <c r="T138" i="8" s="1"/>
  <c r="T139" i="8" s="1"/>
  <c r="T140" i="8" s="1"/>
  <c r="T141" i="8" s="1"/>
  <c r="T142" i="8" s="1"/>
  <c r="T143" i="8" s="1"/>
  <c r="T144" i="8" s="1"/>
  <c r="T145" i="8" s="1"/>
  <c r="T146" i="8" s="1"/>
  <c r="T147" i="8" s="1"/>
  <c r="S98" i="8"/>
  <c r="S99" i="8" s="1"/>
  <c r="S100" i="8" s="1"/>
  <c r="S101" i="8" s="1"/>
  <c r="S102" i="8" s="1"/>
  <c r="S103" i="8" s="1"/>
  <c r="S104" i="8" s="1"/>
  <c r="S105" i="8" s="1"/>
  <c r="S106" i="8" s="1"/>
  <c r="S107" i="8" s="1"/>
  <c r="S108" i="8" s="1"/>
  <c r="S109" i="8" s="1"/>
  <c r="S110" i="8" s="1"/>
  <c r="S111" i="8" s="1"/>
  <c r="S112" i="8" s="1"/>
  <c r="S113" i="8" s="1"/>
  <c r="S114" i="8" s="1"/>
  <c r="S115" i="8" s="1"/>
  <c r="S116" i="8" s="1"/>
  <c r="S117" i="8" s="1"/>
  <c r="S118" i="8" s="1"/>
  <c r="S119" i="8" s="1"/>
  <c r="S120" i="8" s="1"/>
  <c r="S121" i="8" s="1"/>
  <c r="S122" i="8" s="1"/>
  <c r="S123" i="8" s="1"/>
  <c r="S124" i="8" s="1"/>
  <c r="S125" i="8" s="1"/>
  <c r="S126" i="8" s="1"/>
  <c r="S127" i="8" s="1"/>
  <c r="S128" i="8" s="1"/>
  <c r="S129" i="8" s="1"/>
  <c r="S130" i="8" s="1"/>
  <c r="S131" i="8" s="1"/>
  <c r="S132" i="8" s="1"/>
  <c r="S133" i="8" s="1"/>
  <c r="S134" i="8" s="1"/>
  <c r="S135" i="8" s="1"/>
  <c r="S136" i="8" s="1"/>
  <c r="S137" i="8" s="1"/>
  <c r="S138" i="8" s="1"/>
  <c r="S139" i="8" s="1"/>
  <c r="S140" i="8" s="1"/>
  <c r="S141" i="8" s="1"/>
  <c r="S142" i="8" s="1"/>
  <c r="S143" i="8" s="1"/>
  <c r="S144" i="8" s="1"/>
  <c r="S145" i="8" s="1"/>
  <c r="S146" i="8" s="1"/>
  <c r="S147" i="8" s="1"/>
  <c r="N98" i="8"/>
  <c r="N99" i="8" s="1"/>
  <c r="N100" i="8" s="1"/>
  <c r="N101" i="8" s="1"/>
  <c r="N102" i="8" s="1"/>
  <c r="N103" i="8" s="1"/>
  <c r="N104" i="8" s="1"/>
  <c r="N105" i="8" s="1"/>
  <c r="N106" i="8" s="1"/>
  <c r="N107" i="8" s="1"/>
  <c r="N108" i="8" s="1"/>
  <c r="N109" i="8" s="1"/>
  <c r="N110" i="8" s="1"/>
  <c r="N111" i="8" s="1"/>
  <c r="N112" i="8" s="1"/>
  <c r="N113" i="8" s="1"/>
  <c r="N114" i="8" s="1"/>
  <c r="N115" i="8" s="1"/>
  <c r="N116" i="8" s="1"/>
  <c r="N117" i="8" s="1"/>
  <c r="N118" i="8" s="1"/>
  <c r="N119" i="8" s="1"/>
  <c r="N120" i="8" s="1"/>
  <c r="N121" i="8" s="1"/>
  <c r="N122" i="8" s="1"/>
  <c r="N123" i="8" s="1"/>
  <c r="N124" i="8" s="1"/>
  <c r="N125" i="8" s="1"/>
  <c r="N126" i="8" s="1"/>
  <c r="N127" i="8" s="1"/>
  <c r="N128" i="8" s="1"/>
  <c r="N129" i="8" s="1"/>
  <c r="N130" i="8" s="1"/>
  <c r="N131" i="8" s="1"/>
  <c r="N132" i="8" s="1"/>
  <c r="N133" i="8" s="1"/>
  <c r="N134" i="8" s="1"/>
  <c r="N135" i="8" s="1"/>
  <c r="N136" i="8" s="1"/>
  <c r="N137" i="8" s="1"/>
  <c r="N138" i="8" s="1"/>
  <c r="N139" i="8" s="1"/>
  <c r="N140" i="8" s="1"/>
  <c r="N141" i="8" s="1"/>
  <c r="N142" i="8" s="1"/>
  <c r="N143" i="8" s="1"/>
  <c r="N144" i="8" s="1"/>
  <c r="N145" i="8" s="1"/>
  <c r="N146" i="8" s="1"/>
  <c r="N147" i="8" s="1"/>
  <c r="Q98" i="8"/>
  <c r="Q99" i="8" s="1"/>
  <c r="Q100" i="8" s="1"/>
  <c r="Q101" i="8" s="1"/>
  <c r="Q102" i="8" s="1"/>
  <c r="Q103" i="8" s="1"/>
  <c r="Q104" i="8" s="1"/>
  <c r="Q105" i="8" s="1"/>
  <c r="Q106" i="8" s="1"/>
  <c r="Q107" i="8" s="1"/>
  <c r="Q108" i="8" s="1"/>
  <c r="Q109" i="8" s="1"/>
  <c r="Q110" i="8" s="1"/>
  <c r="Q111" i="8" s="1"/>
  <c r="Q112" i="8" s="1"/>
  <c r="Q113" i="8" s="1"/>
  <c r="Q114" i="8" s="1"/>
  <c r="Q115" i="8" s="1"/>
  <c r="Q116" i="8" s="1"/>
  <c r="Q117" i="8" s="1"/>
  <c r="Q118" i="8" s="1"/>
  <c r="Q119" i="8" s="1"/>
  <c r="Q120" i="8" s="1"/>
  <c r="Q121" i="8" s="1"/>
  <c r="Q122" i="8" s="1"/>
  <c r="Q123" i="8" s="1"/>
  <c r="Q124" i="8" s="1"/>
  <c r="Q125" i="8" s="1"/>
  <c r="Q126" i="8" s="1"/>
  <c r="Q127" i="8" s="1"/>
  <c r="Q128" i="8" s="1"/>
  <c r="Q129" i="8" s="1"/>
  <c r="Q130" i="8" s="1"/>
  <c r="Q131" i="8" s="1"/>
  <c r="Q132" i="8" s="1"/>
  <c r="Q133" i="8" s="1"/>
  <c r="Q134" i="8" s="1"/>
  <c r="Q135" i="8" s="1"/>
  <c r="Q136" i="8" s="1"/>
  <c r="Q137" i="8" s="1"/>
  <c r="Q138" i="8" s="1"/>
  <c r="Q139" i="8" s="1"/>
  <c r="Q140" i="8" s="1"/>
  <c r="Q141" i="8" s="1"/>
  <c r="Q142" i="8" s="1"/>
  <c r="Q143" i="8" s="1"/>
  <c r="Q144" i="8" s="1"/>
  <c r="Q145" i="8" s="1"/>
  <c r="Q146" i="8" s="1"/>
  <c r="Q147" i="8" s="1"/>
  <c r="G68" i="6"/>
  <c r="E68" i="6"/>
  <c r="AC98" i="8"/>
  <c r="AC99" i="8" s="1"/>
  <c r="Z4" i="6"/>
  <c r="O42" i="8"/>
  <c r="J37" i="8"/>
  <c r="J32" i="8"/>
  <c r="J36" i="8"/>
  <c r="J31" i="8"/>
  <c r="J35" i="8"/>
  <c r="J39" i="8"/>
  <c r="J38" i="8"/>
  <c r="J34" i="8"/>
  <c r="J33" i="8"/>
  <c r="C74" i="6"/>
  <c r="AF96" i="3"/>
  <c r="C82" i="6" s="1"/>
  <c r="C135" i="6" s="1"/>
  <c r="V120" i="7"/>
  <c r="V68" i="8"/>
  <c r="M69" i="8"/>
  <c r="Q30" i="3"/>
  <c r="C72" i="6" s="1"/>
  <c r="Q32" i="3"/>
  <c r="C80" i="6" s="1"/>
  <c r="C132" i="6" s="1"/>
  <c r="H131" i="6"/>
  <c r="G70" i="6"/>
  <c r="O25" i="6" s="1"/>
  <c r="E70" i="6"/>
  <c r="N25" i="6" s="1"/>
  <c r="P69" i="8"/>
  <c r="K355" i="8" s="1"/>
  <c r="G40" i="14"/>
  <c r="R16" i="3"/>
  <c r="T16" i="3" s="1"/>
  <c r="R17" i="3"/>
  <c r="T17" i="3" s="1"/>
  <c r="G47" i="14"/>
  <c r="R12" i="3"/>
  <c r="R13" i="3"/>
  <c r="T13" i="3" s="1"/>
  <c r="G57" i="14"/>
  <c r="R15" i="3"/>
  <c r="T15" i="3" s="1"/>
  <c r="R20" i="3"/>
  <c r="T20" i="3" s="1"/>
  <c r="R19" i="3"/>
  <c r="T19" i="3" s="1"/>
  <c r="R18" i="3"/>
  <c r="T18" i="3" s="1"/>
  <c r="R21" i="3"/>
  <c r="T21" i="3" s="1"/>
  <c r="G52" i="14"/>
  <c r="F33" i="8"/>
  <c r="F34" i="8"/>
  <c r="F32" i="8"/>
  <c r="F39" i="8"/>
  <c r="F37" i="8"/>
  <c r="F31" i="8"/>
  <c r="F36" i="8"/>
  <c r="F35" i="8"/>
  <c r="F38" i="8"/>
  <c r="G58" i="14"/>
  <c r="AI67" i="3"/>
  <c r="AM67" i="3" s="1"/>
  <c r="AI63" i="3"/>
  <c r="AM63" i="3" s="1"/>
  <c r="AI61" i="3"/>
  <c r="AM61" i="3" s="1"/>
  <c r="G48" i="14"/>
  <c r="AI62" i="3"/>
  <c r="AM62" i="3" s="1"/>
  <c r="AI69" i="3"/>
  <c r="AM69" i="3" s="1"/>
  <c r="AI64" i="3"/>
  <c r="AM64" i="3" s="1"/>
  <c r="G41" i="14"/>
  <c r="AI68" i="3"/>
  <c r="AM68" i="3" s="1"/>
  <c r="AI65" i="3"/>
  <c r="AM65" i="3" s="1"/>
  <c r="AI60" i="3"/>
  <c r="AM60" i="3" s="1"/>
  <c r="H24" i="14"/>
  <c r="H31" i="14" s="1"/>
  <c r="AI66" i="3"/>
  <c r="AM66" i="3" s="1"/>
  <c r="O30" i="19"/>
  <c r="C99" i="6"/>
  <c r="G99" i="6" s="1"/>
  <c r="H102" i="6" s="1"/>
  <c r="R30" i="19"/>
  <c r="AB98" i="8" l="1"/>
  <c r="AB99" i="8" s="1"/>
  <c r="AD98" i="8"/>
  <c r="AD99" i="8" s="1"/>
  <c r="AA98" i="8"/>
  <c r="AA99" i="8" s="1"/>
  <c r="AE98" i="8"/>
  <c r="AE99" i="8" s="1"/>
  <c r="J199" i="8"/>
  <c r="I199" i="8" s="1"/>
  <c r="H199" i="8"/>
  <c r="E72" i="6"/>
  <c r="N26" i="6" s="1"/>
  <c r="G72" i="6"/>
  <c r="O26" i="6" s="1"/>
  <c r="E135" i="6"/>
  <c r="G135" i="6"/>
  <c r="H12" i="14"/>
  <c r="I14" i="8"/>
  <c r="G67" i="14"/>
  <c r="G22" i="14"/>
  <c r="G14" i="14"/>
  <c r="G61" i="14"/>
  <c r="M87" i="3"/>
  <c r="C92" i="6" s="1"/>
  <c r="AF75" i="3"/>
  <c r="AF80" i="3" s="1"/>
  <c r="C63" i="6" s="1"/>
  <c r="X86" i="3"/>
  <c r="C54" i="6" s="1"/>
  <c r="M83" i="3"/>
  <c r="C40" i="6" s="1"/>
  <c r="H23" i="14"/>
  <c r="X84" i="3"/>
  <c r="C49" i="6" s="1"/>
  <c r="C90" i="6"/>
  <c r="AF73" i="3"/>
  <c r="AF77" i="3" s="1"/>
  <c r="AM55" i="3"/>
  <c r="AI70" i="3"/>
  <c r="AM70" i="3" s="1"/>
  <c r="O24" i="6"/>
  <c r="P70" i="8"/>
  <c r="G199" i="8"/>
  <c r="E74" i="6"/>
  <c r="N27" i="6" s="1"/>
  <c r="G74" i="6"/>
  <c r="O27" i="6" s="1"/>
  <c r="E35" i="6"/>
  <c r="N12" i="6" s="1"/>
  <c r="G35" i="6"/>
  <c r="N24" i="6"/>
  <c r="G35" i="14"/>
  <c r="I10" i="8"/>
  <c r="H18" i="14"/>
  <c r="G34" i="14"/>
  <c r="H17" i="14"/>
  <c r="J22" i="3"/>
  <c r="J26" i="3"/>
  <c r="J30" i="3" s="1"/>
  <c r="J20" i="3"/>
  <c r="C38" i="6" s="1"/>
  <c r="J24" i="3"/>
  <c r="J28" i="3" s="1"/>
  <c r="C56" i="6" s="1"/>
  <c r="V69" i="8"/>
  <c r="M70" i="8"/>
  <c r="G13" i="14"/>
  <c r="E33" i="6"/>
  <c r="G33" i="6"/>
  <c r="T12" i="3"/>
  <c r="R22" i="3"/>
  <c r="T22" i="3" s="1"/>
  <c r="E132" i="6"/>
  <c r="F139" i="6" s="1"/>
  <c r="G132" i="6"/>
  <c r="J355" i="8"/>
  <c r="L355" i="8" s="1"/>
  <c r="M355" i="8" s="1"/>
  <c r="N356" i="8" s="1"/>
  <c r="S16" i="6" l="1"/>
  <c r="AF99" i="8"/>
  <c r="AF100" i="8" s="1"/>
  <c r="O78" i="6" s="1"/>
  <c r="T22" i="6" s="1"/>
  <c r="X10" i="6" s="1"/>
  <c r="AA9" i="6"/>
  <c r="X9" i="6" s="1"/>
  <c r="F87" i="6"/>
  <c r="V70" i="8"/>
  <c r="M71" i="8"/>
  <c r="H200" i="8"/>
  <c r="G200" i="8" s="1"/>
  <c r="J470" i="8" s="1"/>
  <c r="H36" i="14"/>
  <c r="C52" i="6"/>
  <c r="P71" i="8"/>
  <c r="C43" i="6"/>
  <c r="C46" i="6"/>
  <c r="G54" i="6"/>
  <c r="O19" i="6" s="1"/>
  <c r="E54" i="6"/>
  <c r="N19" i="6" s="1"/>
  <c r="O11" i="6"/>
  <c r="H36" i="6"/>
  <c r="J356" i="8"/>
  <c r="E56" i="6"/>
  <c r="G56" i="6"/>
  <c r="G16" i="14"/>
  <c r="G15" i="14"/>
  <c r="J200" i="8"/>
  <c r="I200" i="8" s="1"/>
  <c r="K470" i="8" s="1"/>
  <c r="T16" i="6"/>
  <c r="X8" i="6" s="1"/>
  <c r="G49" i="6"/>
  <c r="E49" i="6"/>
  <c r="E63" i="6"/>
  <c r="N23" i="6" s="1"/>
  <c r="G63" i="6"/>
  <c r="O23" i="6" s="1"/>
  <c r="H139" i="6"/>
  <c r="N11" i="6"/>
  <c r="S8" i="6" s="1"/>
  <c r="W5" i="6" s="1"/>
  <c r="F36" i="6"/>
  <c r="G38" i="6"/>
  <c r="E38" i="6"/>
  <c r="K356" i="8"/>
  <c r="H87" i="6"/>
  <c r="C58" i="6"/>
  <c r="G19" i="14"/>
  <c r="G21" i="14"/>
  <c r="G20" i="14"/>
  <c r="G26" i="14"/>
  <c r="H27" i="14" s="1"/>
  <c r="G92" i="6"/>
  <c r="O29" i="6" s="1"/>
  <c r="E92" i="6"/>
  <c r="N29" i="6" s="1"/>
  <c r="H49" i="14"/>
  <c r="C61" i="6"/>
  <c r="O12" i="6"/>
  <c r="K199" i="8"/>
  <c r="H62" i="14"/>
  <c r="G60" i="14" s="1"/>
  <c r="E90" i="6"/>
  <c r="G90" i="6"/>
  <c r="E40" i="6"/>
  <c r="N14" i="6" s="1"/>
  <c r="G40" i="6"/>
  <c r="O14" i="6" s="1"/>
  <c r="O80" i="6" l="1"/>
  <c r="L470" i="8"/>
  <c r="M470" i="8" s="1"/>
  <c r="N471" i="8" s="1"/>
  <c r="L356" i="8"/>
  <c r="M356" i="8" s="1"/>
  <c r="N357" i="8" s="1"/>
  <c r="N28" i="6"/>
  <c r="F93" i="6"/>
  <c r="K200" i="8"/>
  <c r="E58" i="6"/>
  <c r="N21" i="6" s="1"/>
  <c r="G58" i="6"/>
  <c r="O21" i="6" s="1"/>
  <c r="N13" i="6"/>
  <c r="S9" i="6" s="1"/>
  <c r="F41" i="6"/>
  <c r="E46" i="6"/>
  <c r="G46" i="6"/>
  <c r="J357" i="8"/>
  <c r="H41" i="6"/>
  <c r="O13" i="6"/>
  <c r="T9" i="6" s="1"/>
  <c r="N17" i="6"/>
  <c r="S12" i="6" s="1"/>
  <c r="F50" i="6"/>
  <c r="O20" i="6"/>
  <c r="E43" i="6"/>
  <c r="G43" i="6"/>
  <c r="P72" i="8"/>
  <c r="E52" i="6"/>
  <c r="G52" i="6"/>
  <c r="E61" i="6"/>
  <c r="G61" i="6"/>
  <c r="O17" i="6"/>
  <c r="T12" i="6" s="1"/>
  <c r="H50" i="6"/>
  <c r="N20" i="6"/>
  <c r="F59" i="6"/>
  <c r="J201" i="8"/>
  <c r="I201" i="8" s="1"/>
  <c r="G32" i="14"/>
  <c r="G33" i="14"/>
  <c r="H93" i="6"/>
  <c r="O28" i="6"/>
  <c r="G45" i="14"/>
  <c r="G46" i="14"/>
  <c r="G25" i="14"/>
  <c r="G29" i="14"/>
  <c r="H30" i="14" s="1"/>
  <c r="G28" i="14" s="1"/>
  <c r="T8" i="6"/>
  <c r="K357" i="8"/>
  <c r="V71" i="8"/>
  <c r="M72" i="8"/>
  <c r="H201" i="8"/>
  <c r="X5" i="6" l="1"/>
  <c r="Y5" i="6"/>
  <c r="H59" i="6"/>
  <c r="K471" i="8"/>
  <c r="V72" i="8"/>
  <c r="M73" i="8"/>
  <c r="J358" i="8"/>
  <c r="O18" i="6"/>
  <c r="T13" i="6" s="1"/>
  <c r="H55" i="6"/>
  <c r="O15" i="6"/>
  <c r="T10" i="6" s="1"/>
  <c r="H44" i="6"/>
  <c r="L357" i="8"/>
  <c r="M357" i="8" s="1"/>
  <c r="N358" i="8" s="1"/>
  <c r="H47" i="6"/>
  <c r="O16" i="6"/>
  <c r="T11" i="6" s="1"/>
  <c r="G201" i="8"/>
  <c r="O22" i="6"/>
  <c r="H64" i="6"/>
  <c r="N18" i="6"/>
  <c r="S13" i="6" s="1"/>
  <c r="F55" i="6"/>
  <c r="P73" i="8"/>
  <c r="J203" i="8" s="1"/>
  <c r="F44" i="6"/>
  <c r="N15" i="6"/>
  <c r="S10" i="6" s="1"/>
  <c r="N16" i="6"/>
  <c r="S11" i="6" s="1"/>
  <c r="F47" i="6"/>
  <c r="N22" i="6"/>
  <c r="F64" i="6"/>
  <c r="J202" i="8"/>
  <c r="I202" i="8" s="1"/>
  <c r="H202" i="8"/>
  <c r="K358" i="8"/>
  <c r="W6" i="6" l="1"/>
  <c r="Y6" i="6"/>
  <c r="X6" i="6"/>
  <c r="K359" i="8"/>
  <c r="I203" i="8"/>
  <c r="K473" i="8" s="1"/>
  <c r="K472" i="8"/>
  <c r="J359" i="8"/>
  <c r="L358" i="8"/>
  <c r="M358" i="8" s="1"/>
  <c r="N359" i="8" s="1"/>
  <c r="P74" i="8"/>
  <c r="K360" i="8" s="1"/>
  <c r="K201" i="8"/>
  <c r="G202" i="8"/>
  <c r="J472" i="8" s="1"/>
  <c r="L472" i="8" s="1"/>
  <c r="J471" i="8"/>
  <c r="L471" i="8" s="1"/>
  <c r="M471" i="8" s="1"/>
  <c r="N472" i="8" s="1"/>
  <c r="V73" i="8"/>
  <c r="M74" i="8"/>
  <c r="H203" i="8"/>
  <c r="Z6" i="6" l="1"/>
  <c r="L359" i="8"/>
  <c r="M359" i="8" s="1"/>
  <c r="N360" i="8" s="1"/>
  <c r="J360" i="8"/>
  <c r="L360" i="8" s="1"/>
  <c r="M360" i="8" s="1"/>
  <c r="N361" i="8" s="1"/>
  <c r="M472" i="8"/>
  <c r="N473" i="8" s="1"/>
  <c r="P75" i="8"/>
  <c r="J205" i="8" s="1"/>
  <c r="V74" i="8"/>
  <c r="M75" i="8"/>
  <c r="H204" i="8"/>
  <c r="K202" i="8"/>
  <c r="G203" i="8"/>
  <c r="J473" i="8" s="1"/>
  <c r="L473" i="8" s="1"/>
  <c r="M473" i="8" s="1"/>
  <c r="N474" i="8" s="1"/>
  <c r="J204" i="8"/>
  <c r="I204" i="8" s="1"/>
  <c r="K361" i="8" l="1"/>
  <c r="J361" i="8"/>
  <c r="I205" i="8"/>
  <c r="K475" i="8" s="1"/>
  <c r="K474" i="8"/>
  <c r="K203" i="8"/>
  <c r="G204" i="8"/>
  <c r="J474" i="8" s="1"/>
  <c r="V75" i="8"/>
  <c r="M76" i="8"/>
  <c r="H205" i="8"/>
  <c r="P76" i="8"/>
  <c r="J206" i="8" s="1"/>
  <c r="L474" i="8" l="1"/>
  <c r="M474" i="8" s="1"/>
  <c r="N475" i="8" s="1"/>
  <c r="L361" i="8"/>
  <c r="M361" i="8" s="1"/>
  <c r="N362" i="8" s="1"/>
  <c r="K362" i="8"/>
  <c r="K204" i="8"/>
  <c r="G205" i="8"/>
  <c r="V76" i="8"/>
  <c r="M77" i="8"/>
  <c r="J362" i="8"/>
  <c r="P77" i="8"/>
  <c r="J207" i="8" s="1"/>
  <c r="H206" i="8"/>
  <c r="I206" i="8"/>
  <c r="L362" i="8" l="1"/>
  <c r="M362" i="8" s="1"/>
  <c r="N363" i="8" s="1"/>
  <c r="K363" i="8"/>
  <c r="J363" i="8"/>
  <c r="L363" i="8" s="1"/>
  <c r="M363" i="8" s="1"/>
  <c r="N364" i="8" s="1"/>
  <c r="K205" i="8"/>
  <c r="G206" i="8"/>
  <c r="J476" i="8" s="1"/>
  <c r="I207" i="8"/>
  <c r="K477" i="8" s="1"/>
  <c r="K476" i="8"/>
  <c r="P78" i="8"/>
  <c r="K364" i="8" s="1"/>
  <c r="J475" i="8"/>
  <c r="L475" i="8" s="1"/>
  <c r="M475" i="8" s="1"/>
  <c r="N476" i="8" s="1"/>
  <c r="V77" i="8"/>
  <c r="M78" i="8"/>
  <c r="H207" i="8"/>
  <c r="K206" i="8" l="1"/>
  <c r="G207" i="8"/>
  <c r="J477" i="8" s="1"/>
  <c r="L477" i="8" s="1"/>
  <c r="V78" i="8"/>
  <c r="M79" i="8"/>
  <c r="H208" i="8"/>
  <c r="P79" i="8"/>
  <c r="K365" i="8" s="1"/>
  <c r="L476" i="8"/>
  <c r="M476" i="8" s="1"/>
  <c r="N477" i="8" s="1"/>
  <c r="J364" i="8"/>
  <c r="L364" i="8" s="1"/>
  <c r="M364" i="8" s="1"/>
  <c r="N365" i="8" s="1"/>
  <c r="J208" i="8"/>
  <c r="I208" i="8" s="1"/>
  <c r="J209" i="8" l="1"/>
  <c r="I209" i="8"/>
  <c r="K478" i="8"/>
  <c r="V79" i="8"/>
  <c r="M80" i="8"/>
  <c r="J365" i="8"/>
  <c r="L365" i="8" s="1"/>
  <c r="M365" i="8" s="1"/>
  <c r="N366" i="8" s="1"/>
  <c r="P80" i="8"/>
  <c r="J210" i="8" s="1"/>
  <c r="H209" i="8"/>
  <c r="K207" i="8"/>
  <c r="G208" i="8"/>
  <c r="J478" i="8" s="1"/>
  <c r="M477" i="8"/>
  <c r="N478" i="8" s="1"/>
  <c r="L478" i="8" l="1"/>
  <c r="M478" i="8" s="1"/>
  <c r="N479" i="8" s="1"/>
  <c r="J366" i="8"/>
  <c r="K208" i="8"/>
  <c r="G209" i="8"/>
  <c r="V80" i="8"/>
  <c r="M81" i="8"/>
  <c r="H210" i="8"/>
  <c r="P81" i="8"/>
  <c r="J211" i="8" s="1"/>
  <c r="I210" i="8"/>
  <c r="K480" i="8" s="1"/>
  <c r="K366" i="8"/>
  <c r="K479" i="8"/>
  <c r="L366" i="8" l="1"/>
  <c r="M366" i="8" s="1"/>
  <c r="N367" i="8" s="1"/>
  <c r="K209" i="8"/>
  <c r="G210" i="8"/>
  <c r="V81" i="8"/>
  <c r="M82" i="8"/>
  <c r="H211" i="8"/>
  <c r="J479" i="8"/>
  <c r="L479" i="8" s="1"/>
  <c r="M479" i="8" s="1"/>
  <c r="N480" i="8" s="1"/>
  <c r="P82" i="8"/>
  <c r="K368" i="8" s="1"/>
  <c r="J367" i="8"/>
  <c r="I211" i="8"/>
  <c r="K481" i="8" s="1"/>
  <c r="K367" i="8"/>
  <c r="J212" i="8" l="1"/>
  <c r="I212" i="8" s="1"/>
  <c r="K482" i="8" s="1"/>
  <c r="K210" i="8"/>
  <c r="G211" i="8"/>
  <c r="P83" i="8"/>
  <c r="K369" i="8" s="1"/>
  <c r="V82" i="8"/>
  <c r="M83" i="8"/>
  <c r="J368" i="8"/>
  <c r="L368" i="8" s="1"/>
  <c r="J480" i="8"/>
  <c r="L480" i="8" s="1"/>
  <c r="M480" i="8" s="1"/>
  <c r="N481" i="8" s="1"/>
  <c r="L367" i="8"/>
  <c r="M367" i="8" s="1"/>
  <c r="N368" i="8" s="1"/>
  <c r="H212" i="8"/>
  <c r="J213" i="8" l="1"/>
  <c r="M368" i="8"/>
  <c r="N369" i="8" s="1"/>
  <c r="V83" i="8"/>
  <c r="M84" i="8"/>
  <c r="H213" i="8"/>
  <c r="J369" i="8"/>
  <c r="L369" i="8" s="1"/>
  <c r="M369" i="8" s="1"/>
  <c r="N370" i="8" s="1"/>
  <c r="K211" i="8"/>
  <c r="G212" i="8"/>
  <c r="J482" i="8" s="1"/>
  <c r="L482" i="8" s="1"/>
  <c r="P84" i="8"/>
  <c r="J214" i="8" s="1"/>
  <c r="I213" i="8"/>
  <c r="K483" i="8" s="1"/>
  <c r="J481" i="8"/>
  <c r="L481" i="8" s="1"/>
  <c r="M481" i="8" s="1"/>
  <c r="N482" i="8" s="1"/>
  <c r="K370" i="8" l="1"/>
  <c r="I214" i="8"/>
  <c r="K484" i="8" s="1"/>
  <c r="P85" i="8"/>
  <c r="K371" i="8" s="1"/>
  <c r="K212" i="8"/>
  <c r="G213" i="8"/>
  <c r="J483" i="8" s="1"/>
  <c r="L483" i="8" s="1"/>
  <c r="M483" i="8" s="1"/>
  <c r="N484" i="8" s="1"/>
  <c r="J370" i="8"/>
  <c r="L370" i="8" s="1"/>
  <c r="M370" i="8" s="1"/>
  <c r="N371" i="8" s="1"/>
  <c r="M482" i="8"/>
  <c r="N483" i="8" s="1"/>
  <c r="V84" i="8"/>
  <c r="M85" i="8"/>
  <c r="J371" i="8" s="1"/>
  <c r="H214" i="8"/>
  <c r="J215" i="8" l="1"/>
  <c r="L371" i="8"/>
  <c r="M371" i="8" s="1"/>
  <c r="N372" i="8" s="1"/>
  <c r="K213" i="8"/>
  <c r="G214" i="8"/>
  <c r="P86" i="8"/>
  <c r="K372" i="8" s="1"/>
  <c r="V85" i="8"/>
  <c r="M86" i="8"/>
  <c r="H215" i="8"/>
  <c r="I215" i="8"/>
  <c r="J216" i="8" l="1"/>
  <c r="V86" i="8"/>
  <c r="M87" i="8"/>
  <c r="J372" i="8"/>
  <c r="L372" i="8" s="1"/>
  <c r="M372" i="8" s="1"/>
  <c r="N373" i="8" s="1"/>
  <c r="I216" i="8"/>
  <c r="K486" i="8" s="1"/>
  <c r="H216" i="8"/>
  <c r="K485" i="8"/>
  <c r="K214" i="8"/>
  <c r="G215" i="8"/>
  <c r="J485" i="8" s="1"/>
  <c r="L485" i="8" s="1"/>
  <c r="P87" i="8"/>
  <c r="K373" i="8" s="1"/>
  <c r="J484" i="8"/>
  <c r="L484" i="8" s="1"/>
  <c r="M484" i="8" s="1"/>
  <c r="N485" i="8" s="1"/>
  <c r="J217" i="8" l="1"/>
  <c r="K215" i="8"/>
  <c r="G216" i="8"/>
  <c r="V87" i="8"/>
  <c r="M88" i="8"/>
  <c r="H217" i="8"/>
  <c r="P88" i="8"/>
  <c r="M485" i="8"/>
  <c r="N486" i="8" s="1"/>
  <c r="I217" i="8"/>
  <c r="J373" i="8"/>
  <c r="L373" i="8" s="1"/>
  <c r="M373" i="8" s="1"/>
  <c r="N374" i="8" s="1"/>
  <c r="P89" i="8" l="1"/>
  <c r="K375" i="8" s="1"/>
  <c r="J218" i="8"/>
  <c r="I218" i="8" s="1"/>
  <c r="V88" i="8"/>
  <c r="M89" i="8"/>
  <c r="J374" i="8"/>
  <c r="K487" i="8"/>
  <c r="K374" i="8"/>
  <c r="H218" i="8"/>
  <c r="K216" i="8"/>
  <c r="G217" i="8"/>
  <c r="J486" i="8"/>
  <c r="L486" i="8" s="1"/>
  <c r="M486" i="8" s="1"/>
  <c r="N487" i="8" s="1"/>
  <c r="J375" i="8" l="1"/>
  <c r="L375" i="8" s="1"/>
  <c r="K488" i="8"/>
  <c r="K217" i="8"/>
  <c r="G218" i="8"/>
  <c r="J488" i="8" s="1"/>
  <c r="L488" i="8" s="1"/>
  <c r="J487" i="8"/>
  <c r="L487" i="8" s="1"/>
  <c r="M487" i="8" s="1"/>
  <c r="N488" i="8" s="1"/>
  <c r="L374" i="8"/>
  <c r="M374" i="8" s="1"/>
  <c r="N375" i="8" s="1"/>
  <c r="V89" i="8"/>
  <c r="M90" i="8"/>
  <c r="H219" i="8"/>
  <c r="P90" i="8"/>
  <c r="J220" i="8" s="1"/>
  <c r="J219" i="8"/>
  <c r="I219" i="8" s="1"/>
  <c r="M488" i="8" l="1"/>
  <c r="N489" i="8" s="1"/>
  <c r="K376" i="8"/>
  <c r="M375" i="8"/>
  <c r="N376" i="8" s="1"/>
  <c r="I220" i="8"/>
  <c r="K490" i="8" s="1"/>
  <c r="K489" i="8"/>
  <c r="V90" i="8"/>
  <c r="M91" i="8"/>
  <c r="J377" i="8" s="1"/>
  <c r="H220" i="8"/>
  <c r="P91" i="8"/>
  <c r="J376" i="8"/>
  <c r="L376" i="8" s="1"/>
  <c r="M376" i="8" s="1"/>
  <c r="N377" i="8" s="1"/>
  <c r="K218" i="8"/>
  <c r="G219" i="8"/>
  <c r="J489" i="8" s="1"/>
  <c r="L489" i="8" s="1"/>
  <c r="M489" i="8" s="1"/>
  <c r="N490" i="8" s="1"/>
  <c r="P92" i="8" l="1"/>
  <c r="K378" i="8" s="1"/>
  <c r="K219" i="8"/>
  <c r="G220" i="8"/>
  <c r="J490" i="8" s="1"/>
  <c r="L490" i="8" s="1"/>
  <c r="M490" i="8" s="1"/>
  <c r="N491" i="8" s="1"/>
  <c r="J221" i="8"/>
  <c r="V91" i="8"/>
  <c r="M92" i="8"/>
  <c r="H221" i="8"/>
  <c r="K377" i="8"/>
  <c r="L377" i="8" s="1"/>
  <c r="M377" i="8" s="1"/>
  <c r="N378" i="8" s="1"/>
  <c r="I221" i="8"/>
  <c r="K491" i="8" s="1"/>
  <c r="V92" i="8" l="1"/>
  <c r="M93" i="8"/>
  <c r="H222" i="8"/>
  <c r="K220" i="8"/>
  <c r="G221" i="8"/>
  <c r="J491" i="8" s="1"/>
  <c r="L491" i="8" s="1"/>
  <c r="M491" i="8" s="1"/>
  <c r="N492" i="8" s="1"/>
  <c r="J378" i="8"/>
  <c r="L378" i="8" s="1"/>
  <c r="M378" i="8" s="1"/>
  <c r="N379" i="8" s="1"/>
  <c r="P93" i="8"/>
  <c r="J223" i="8" s="1"/>
  <c r="J222" i="8"/>
  <c r="I222" i="8" s="1"/>
  <c r="K379" i="8" l="1"/>
  <c r="I223" i="8"/>
  <c r="K493" i="8" s="1"/>
  <c r="K492" i="8"/>
  <c r="P94" i="8"/>
  <c r="H223" i="8"/>
  <c r="K221" i="8"/>
  <c r="G222" i="8"/>
  <c r="J492" i="8" s="1"/>
  <c r="V93" i="8"/>
  <c r="M94" i="8"/>
  <c r="J379" i="8"/>
  <c r="L379" i="8" s="1"/>
  <c r="M379" i="8" s="1"/>
  <c r="N380" i="8" s="1"/>
  <c r="L492" i="8" l="1"/>
  <c r="M492" i="8" s="1"/>
  <c r="N493" i="8" s="1"/>
  <c r="J380" i="8"/>
  <c r="P95" i="8"/>
  <c r="K381" i="8" s="1"/>
  <c r="K222" i="8"/>
  <c r="G223" i="8"/>
  <c r="J493" i="8" s="1"/>
  <c r="L493" i="8" s="1"/>
  <c r="M493" i="8" s="1"/>
  <c r="N494" i="8" s="1"/>
  <c r="K380" i="8"/>
  <c r="V94" i="8"/>
  <c r="M95" i="8"/>
  <c r="H224" i="8"/>
  <c r="J224" i="8"/>
  <c r="I224" i="8" s="1"/>
  <c r="K494" i="8" l="1"/>
  <c r="V95" i="8"/>
  <c r="M96" i="8"/>
  <c r="J381" i="8"/>
  <c r="L381" i="8" s="1"/>
  <c r="K223" i="8"/>
  <c r="G224" i="8"/>
  <c r="J494" i="8" s="1"/>
  <c r="L494" i="8" s="1"/>
  <c r="M494" i="8" s="1"/>
  <c r="N495" i="8" s="1"/>
  <c r="P96" i="8"/>
  <c r="P97" i="8" s="1"/>
  <c r="H225" i="8"/>
  <c r="J225" i="8"/>
  <c r="I225" i="8" s="1"/>
  <c r="L380" i="8"/>
  <c r="M380" i="8" s="1"/>
  <c r="N381" i="8" s="1"/>
  <c r="M97" i="8" l="1"/>
  <c r="J226" i="8"/>
  <c r="J227" i="8" s="1"/>
  <c r="K382" i="8"/>
  <c r="K383" i="8" s="1"/>
  <c r="K495" i="8"/>
  <c r="P98" i="8"/>
  <c r="J228" i="8" s="1"/>
  <c r="K224" i="8"/>
  <c r="G225" i="8"/>
  <c r="J495" i="8" s="1"/>
  <c r="L495" i="8" s="1"/>
  <c r="M495" i="8" s="1"/>
  <c r="N496" i="8" s="1"/>
  <c r="M381" i="8"/>
  <c r="N382" i="8" s="1"/>
  <c r="V96" i="8"/>
  <c r="H226" i="8"/>
  <c r="J382" i="8"/>
  <c r="I226" i="8" l="1"/>
  <c r="K225" i="8"/>
  <c r="G226" i="8"/>
  <c r="J496" i="8" s="1"/>
  <c r="K384" i="8"/>
  <c r="H227" i="8"/>
  <c r="L382" i="8"/>
  <c r="M382" i="8" s="1"/>
  <c r="N383" i="8" s="1"/>
  <c r="J383" i="8"/>
  <c r="L383" i="8" s="1"/>
  <c r="V97" i="8"/>
  <c r="M98" i="8"/>
  <c r="I227" i="8"/>
  <c r="P99" i="8"/>
  <c r="J229" i="8" s="1"/>
  <c r="K496" i="8"/>
  <c r="H228" i="8" l="1"/>
  <c r="K385" i="8"/>
  <c r="J384" i="8"/>
  <c r="L384" i="8" s="1"/>
  <c r="M384" i="8" s="1"/>
  <c r="N385" i="8" s="1"/>
  <c r="I228" i="8"/>
  <c r="P100" i="8"/>
  <c r="J230" i="8" s="1"/>
  <c r="K497" i="8"/>
  <c r="V98" i="8"/>
  <c r="M99" i="8"/>
  <c r="M383" i="8"/>
  <c r="N384" i="8" s="1"/>
  <c r="K226" i="8"/>
  <c r="G227" i="8"/>
  <c r="J497" i="8" s="1"/>
  <c r="L496" i="8"/>
  <c r="M496" i="8" s="1"/>
  <c r="N497" i="8" s="1"/>
  <c r="L497" i="8" l="1"/>
  <c r="M497" i="8"/>
  <c r="N498" i="8" s="1"/>
  <c r="J385" i="8"/>
  <c r="L385" i="8" s="1"/>
  <c r="M385" i="8" s="1"/>
  <c r="N386" i="8" s="1"/>
  <c r="K386" i="8"/>
  <c r="K227" i="8"/>
  <c r="G228" i="8"/>
  <c r="J498" i="8" s="1"/>
  <c r="V99" i="8"/>
  <c r="M100" i="8"/>
  <c r="H229" i="8"/>
  <c r="I229" i="8"/>
  <c r="K499" i="8" s="1"/>
  <c r="P101" i="8"/>
  <c r="J231" i="8" s="1"/>
  <c r="K498" i="8"/>
  <c r="J386" i="8" l="1"/>
  <c r="L386" i="8" s="1"/>
  <c r="M386" i="8" s="1"/>
  <c r="N387" i="8" s="1"/>
  <c r="I230" i="8"/>
  <c r="K500" i="8" s="1"/>
  <c r="V100" i="8"/>
  <c r="M101" i="8"/>
  <c r="J387" i="8" s="1"/>
  <c r="H230" i="8"/>
  <c r="P102" i="8"/>
  <c r="K388" i="8" s="1"/>
  <c r="K387" i="8"/>
  <c r="K228" i="8"/>
  <c r="G229" i="8"/>
  <c r="L498" i="8"/>
  <c r="M498" i="8" s="1"/>
  <c r="N499" i="8" s="1"/>
  <c r="P103" i="8" l="1"/>
  <c r="V101" i="8"/>
  <c r="M102" i="8"/>
  <c r="H231" i="8"/>
  <c r="L387" i="8"/>
  <c r="M387" i="8" s="1"/>
  <c r="N388" i="8" s="1"/>
  <c r="K229" i="8"/>
  <c r="G230" i="8"/>
  <c r="J500" i="8" s="1"/>
  <c r="L500" i="8" s="1"/>
  <c r="J499" i="8"/>
  <c r="L499" i="8" s="1"/>
  <c r="M499" i="8" s="1"/>
  <c r="N500" i="8" s="1"/>
  <c r="J232" i="8"/>
  <c r="I231" i="8"/>
  <c r="K501" i="8" s="1"/>
  <c r="I232" i="8" l="1"/>
  <c r="K502" i="8" s="1"/>
  <c r="K230" i="8"/>
  <c r="G231" i="8"/>
  <c r="J501" i="8" s="1"/>
  <c r="L501" i="8" s="1"/>
  <c r="M501" i="8" s="1"/>
  <c r="N502" i="8" s="1"/>
  <c r="P104" i="8"/>
  <c r="J234" i="8" s="1"/>
  <c r="M500" i="8"/>
  <c r="N501" i="8" s="1"/>
  <c r="V102" i="8"/>
  <c r="M103" i="8"/>
  <c r="J389" i="8" s="1"/>
  <c r="H232" i="8"/>
  <c r="K389" i="8"/>
  <c r="J388" i="8"/>
  <c r="L388" i="8" s="1"/>
  <c r="M388" i="8" s="1"/>
  <c r="N389" i="8" s="1"/>
  <c r="J233" i="8"/>
  <c r="K390" i="8" l="1"/>
  <c r="V103" i="8"/>
  <c r="M104" i="8"/>
  <c r="H233" i="8"/>
  <c r="L389" i="8"/>
  <c r="M389" i="8" s="1"/>
  <c r="N390" i="8" s="1"/>
  <c r="P105" i="8"/>
  <c r="J235" i="8" s="1"/>
  <c r="K231" i="8"/>
  <c r="G232" i="8"/>
  <c r="J502" i="8" s="1"/>
  <c r="L502" i="8" s="1"/>
  <c r="M502" i="8" s="1"/>
  <c r="N503" i="8" s="1"/>
  <c r="I233" i="8"/>
  <c r="K503" i="8" s="1"/>
  <c r="H234" i="8" l="1"/>
  <c r="P106" i="8"/>
  <c r="J236" i="8" s="1"/>
  <c r="I234" i="8"/>
  <c r="K504" i="8" s="1"/>
  <c r="K232" i="8"/>
  <c r="G233" i="8"/>
  <c r="J503" i="8" s="1"/>
  <c r="L503" i="8" s="1"/>
  <c r="M503" i="8" s="1"/>
  <c r="N504" i="8" s="1"/>
  <c r="K391" i="8"/>
  <c r="M105" i="8"/>
  <c r="J391" i="8" s="1"/>
  <c r="V104" i="8"/>
  <c r="J390" i="8"/>
  <c r="L390" i="8" s="1"/>
  <c r="M390" i="8" s="1"/>
  <c r="N391" i="8" s="1"/>
  <c r="L391" i="8" l="1"/>
  <c r="M391" i="8" s="1"/>
  <c r="N392" i="8" s="1"/>
  <c r="K392" i="8"/>
  <c r="V105" i="8"/>
  <c r="M106" i="8"/>
  <c r="H235" i="8"/>
  <c r="I235" i="8"/>
  <c r="P107" i="8"/>
  <c r="K393" i="8" s="1"/>
  <c r="K233" i="8"/>
  <c r="G234" i="8"/>
  <c r="J504" i="8" s="1"/>
  <c r="L504" i="8" s="1"/>
  <c r="M504" i="8" s="1"/>
  <c r="N505" i="8" s="1"/>
  <c r="V106" i="8" l="1"/>
  <c r="M107" i="8"/>
  <c r="H236" i="8"/>
  <c r="K234" i="8"/>
  <c r="G235" i="8"/>
  <c r="I236" i="8"/>
  <c r="K506" i="8" s="1"/>
  <c r="J392" i="8"/>
  <c r="L392" i="8" s="1"/>
  <c r="M392" i="8" s="1"/>
  <c r="N393" i="8" s="1"/>
  <c r="P108" i="8"/>
  <c r="K394" i="8" s="1"/>
  <c r="K505" i="8"/>
  <c r="J237" i="8"/>
  <c r="H237" i="8" l="1"/>
  <c r="K235" i="8"/>
  <c r="G236" i="8"/>
  <c r="J506" i="8" s="1"/>
  <c r="L506" i="8" s="1"/>
  <c r="P109" i="8"/>
  <c r="K395" i="8" s="1"/>
  <c r="J238" i="8"/>
  <c r="J505" i="8"/>
  <c r="L505" i="8" s="1"/>
  <c r="M505" i="8" s="1"/>
  <c r="N506" i="8" s="1"/>
  <c r="I237" i="8"/>
  <c r="K507" i="8" s="1"/>
  <c r="V107" i="8"/>
  <c r="M108" i="8"/>
  <c r="J394" i="8" s="1"/>
  <c r="L394" i="8" s="1"/>
  <c r="J393" i="8"/>
  <c r="L393" i="8" s="1"/>
  <c r="M393" i="8" s="1"/>
  <c r="N394" i="8" s="1"/>
  <c r="M394" i="8" l="1"/>
  <c r="N395" i="8" s="1"/>
  <c r="V108" i="8"/>
  <c r="M109" i="8"/>
  <c r="H238" i="8"/>
  <c r="I238" i="8"/>
  <c r="P110" i="8"/>
  <c r="K396" i="8" s="1"/>
  <c r="K236" i="8"/>
  <c r="G237" i="8"/>
  <c r="M506" i="8"/>
  <c r="N507" i="8" s="1"/>
  <c r="J239" i="8"/>
  <c r="J240" i="8" l="1"/>
  <c r="K237" i="8"/>
  <c r="G238" i="8"/>
  <c r="J508" i="8" s="1"/>
  <c r="I239" i="8"/>
  <c r="K509" i="8" s="1"/>
  <c r="H239" i="8"/>
  <c r="J507" i="8"/>
  <c r="L507" i="8" s="1"/>
  <c r="M507" i="8" s="1"/>
  <c r="N508" i="8" s="1"/>
  <c r="P111" i="8"/>
  <c r="J241" i="8" s="1"/>
  <c r="K508" i="8"/>
  <c r="V109" i="8"/>
  <c r="M110" i="8"/>
  <c r="J395" i="8"/>
  <c r="L395" i="8" s="1"/>
  <c r="M395" i="8" s="1"/>
  <c r="N396" i="8" s="1"/>
  <c r="V110" i="8" l="1"/>
  <c r="M111" i="8"/>
  <c r="J396" i="8"/>
  <c r="L396" i="8" s="1"/>
  <c r="M396" i="8" s="1"/>
  <c r="N397" i="8" s="1"/>
  <c r="K238" i="8"/>
  <c r="G239" i="8"/>
  <c r="J509" i="8" s="1"/>
  <c r="L509" i="8" s="1"/>
  <c r="H240" i="8"/>
  <c r="L508" i="8"/>
  <c r="M508" i="8" s="1"/>
  <c r="N509" i="8" s="1"/>
  <c r="P112" i="8"/>
  <c r="K397" i="8"/>
  <c r="I240" i="8"/>
  <c r="K510" i="8" s="1"/>
  <c r="M509" i="8" l="1"/>
  <c r="N510" i="8" s="1"/>
  <c r="P113" i="8"/>
  <c r="K399" i="8" s="1"/>
  <c r="J242" i="8"/>
  <c r="V111" i="8"/>
  <c r="M112" i="8"/>
  <c r="H242" i="8" s="1"/>
  <c r="H241" i="8"/>
  <c r="K398" i="8"/>
  <c r="J397" i="8"/>
  <c r="L397" i="8" s="1"/>
  <c r="M397" i="8" s="1"/>
  <c r="N398" i="8" s="1"/>
  <c r="I241" i="8"/>
  <c r="K511" i="8" s="1"/>
  <c r="K239" i="8"/>
  <c r="G240" i="8"/>
  <c r="J510" i="8" s="1"/>
  <c r="L510" i="8" s="1"/>
  <c r="M510" i="8" s="1"/>
  <c r="N511" i="8" s="1"/>
  <c r="J243" i="8" l="1"/>
  <c r="K240" i="8"/>
  <c r="G241" i="8"/>
  <c r="J511" i="8" s="1"/>
  <c r="L511" i="8" s="1"/>
  <c r="M511" i="8" s="1"/>
  <c r="N512" i="8" s="1"/>
  <c r="I242" i="8"/>
  <c r="V112" i="8"/>
  <c r="M113" i="8"/>
  <c r="J398" i="8"/>
  <c r="L398" i="8" s="1"/>
  <c r="M398" i="8" s="1"/>
  <c r="N399" i="8" s="1"/>
  <c r="P114" i="8"/>
  <c r="K400" i="8" s="1"/>
  <c r="V113" i="8" l="1"/>
  <c r="M114" i="8"/>
  <c r="H243" i="8"/>
  <c r="J399" i="8"/>
  <c r="L399" i="8" s="1"/>
  <c r="M399" i="8" s="1"/>
  <c r="N400" i="8" s="1"/>
  <c r="I243" i="8"/>
  <c r="K513" i="8" s="1"/>
  <c r="P115" i="8"/>
  <c r="J245" i="8" s="1"/>
  <c r="J244" i="8"/>
  <c r="K512" i="8"/>
  <c r="K241" i="8"/>
  <c r="G242" i="8"/>
  <c r="J512" i="8" s="1"/>
  <c r="L512" i="8" l="1"/>
  <c r="M512" i="8" s="1"/>
  <c r="N513" i="8" s="1"/>
  <c r="K401" i="8"/>
  <c r="K242" i="8"/>
  <c r="G243" i="8"/>
  <c r="J513" i="8" s="1"/>
  <c r="L513" i="8" s="1"/>
  <c r="P116" i="8"/>
  <c r="K402" i="8" s="1"/>
  <c r="I244" i="8"/>
  <c r="V114" i="8"/>
  <c r="M115" i="8"/>
  <c r="H244" i="8"/>
  <c r="J400" i="8"/>
  <c r="L400" i="8" s="1"/>
  <c r="M400" i="8" s="1"/>
  <c r="N401" i="8" s="1"/>
  <c r="M513" i="8" l="1"/>
  <c r="N514" i="8" s="1"/>
  <c r="J246" i="8"/>
  <c r="H245" i="8"/>
  <c r="I245" i="8"/>
  <c r="K515" i="8" s="1"/>
  <c r="P117" i="8"/>
  <c r="J247" i="8" s="1"/>
  <c r="V115" i="8"/>
  <c r="M116" i="8"/>
  <c r="J402" i="8" s="1"/>
  <c r="L402" i="8" s="1"/>
  <c r="J401" i="8"/>
  <c r="L401" i="8" s="1"/>
  <c r="M401" i="8" s="1"/>
  <c r="N402" i="8" s="1"/>
  <c r="K514" i="8"/>
  <c r="K243" i="8"/>
  <c r="G244" i="8"/>
  <c r="M402" i="8" l="1"/>
  <c r="N403" i="8" s="1"/>
  <c r="K244" i="8"/>
  <c r="G245" i="8"/>
  <c r="J515" i="8" s="1"/>
  <c r="L515" i="8" s="1"/>
  <c r="K403" i="8"/>
  <c r="K404" i="8" s="1"/>
  <c r="V116" i="8"/>
  <c r="M117" i="8"/>
  <c r="J514" i="8"/>
  <c r="L514" i="8" s="1"/>
  <c r="M514" i="8" s="1"/>
  <c r="N515" i="8" s="1"/>
  <c r="I246" i="8"/>
  <c r="K516" i="8" s="1"/>
  <c r="H246" i="8"/>
  <c r="P118" i="8"/>
  <c r="J248" i="8" s="1"/>
  <c r="V117" i="8" l="1"/>
  <c r="M118" i="8"/>
  <c r="H247" i="8"/>
  <c r="J403" i="8"/>
  <c r="K245" i="8"/>
  <c r="G246" i="8"/>
  <c r="J516" i="8" s="1"/>
  <c r="L516" i="8" s="1"/>
  <c r="M516" i="8" s="1"/>
  <c r="N517" i="8" s="1"/>
  <c r="M515" i="8"/>
  <c r="N516" i="8" s="1"/>
  <c r="P119" i="8"/>
  <c r="K405" i="8" s="1"/>
  <c r="I247" i="8"/>
  <c r="K517" i="8" s="1"/>
  <c r="K246" i="8" l="1"/>
  <c r="G247" i="8"/>
  <c r="J517" i="8" s="1"/>
  <c r="L517" i="8" s="1"/>
  <c r="M517" i="8" s="1"/>
  <c r="N518" i="8" s="1"/>
  <c r="I248" i="8"/>
  <c r="K518" i="8" s="1"/>
  <c r="P120" i="8"/>
  <c r="J250" i="8" s="1"/>
  <c r="J249" i="8"/>
  <c r="L403" i="8"/>
  <c r="M403" i="8" s="1"/>
  <c r="N404" i="8" s="1"/>
  <c r="J404" i="8"/>
  <c r="L404" i="8" s="1"/>
  <c r="H248" i="8"/>
  <c r="V118" i="8"/>
  <c r="M119" i="8"/>
  <c r="J405" i="8" s="1"/>
  <c r="L405" i="8" s="1"/>
  <c r="M405" i="8" l="1"/>
  <c r="N406" i="8" s="1"/>
  <c r="M404" i="8"/>
  <c r="N405" i="8" s="1"/>
  <c r="P121" i="8"/>
  <c r="K407" i="8" s="1"/>
  <c r="K247" i="8"/>
  <c r="G248" i="8"/>
  <c r="J518" i="8" s="1"/>
  <c r="L518" i="8" s="1"/>
  <c r="M518" i="8" s="1"/>
  <c r="N519" i="8" s="1"/>
  <c r="K406" i="8"/>
  <c r="V119" i="8"/>
  <c r="M120" i="8"/>
  <c r="H250" i="8" s="1"/>
  <c r="H249" i="8"/>
  <c r="I249" i="8"/>
  <c r="K519" i="8" s="1"/>
  <c r="J406" i="8" l="1"/>
  <c r="L406" i="8" s="1"/>
  <c r="M406" i="8" s="1"/>
  <c r="N407" i="8" s="1"/>
  <c r="K248" i="8"/>
  <c r="G249" i="8"/>
  <c r="J251" i="8"/>
  <c r="I250" i="8"/>
  <c r="K520" i="8" s="1"/>
  <c r="V120" i="8"/>
  <c r="M121" i="8"/>
  <c r="P122" i="8"/>
  <c r="J252" i="8" s="1"/>
  <c r="K408" i="8" l="1"/>
  <c r="P123" i="8"/>
  <c r="K409" i="8" s="1"/>
  <c r="K249" i="8"/>
  <c r="G250" i="8"/>
  <c r="J520" i="8" s="1"/>
  <c r="L520" i="8" s="1"/>
  <c r="I251" i="8"/>
  <c r="J519" i="8"/>
  <c r="L519" i="8" s="1"/>
  <c r="M519" i="8" s="1"/>
  <c r="N520" i="8" s="1"/>
  <c r="V121" i="8"/>
  <c r="M122" i="8"/>
  <c r="J408" i="8" s="1"/>
  <c r="L408" i="8" s="1"/>
  <c r="H251" i="8"/>
  <c r="J407" i="8"/>
  <c r="L407" i="8" s="1"/>
  <c r="M407" i="8" s="1"/>
  <c r="N408" i="8" s="1"/>
  <c r="M408" i="8" l="1"/>
  <c r="N409" i="8" s="1"/>
  <c r="J253" i="8"/>
  <c r="V122" i="8"/>
  <c r="M123" i="8"/>
  <c r="I252" i="8"/>
  <c r="K522" i="8" s="1"/>
  <c r="K521" i="8"/>
  <c r="K250" i="8"/>
  <c r="G251" i="8"/>
  <c r="J521" i="8" s="1"/>
  <c r="H252" i="8"/>
  <c r="M520" i="8"/>
  <c r="N521" i="8" s="1"/>
  <c r="P124" i="8"/>
  <c r="J254" i="8" s="1"/>
  <c r="L521" i="8" l="1"/>
  <c r="M521" i="8" s="1"/>
  <c r="N522" i="8" s="1"/>
  <c r="K410" i="8"/>
  <c r="I253" i="8"/>
  <c r="J409" i="8"/>
  <c r="L409" i="8" s="1"/>
  <c r="M409" i="8" s="1"/>
  <c r="N410" i="8" s="1"/>
  <c r="P125" i="8"/>
  <c r="J255" i="8" s="1"/>
  <c r="K251" i="8"/>
  <c r="G252" i="8"/>
  <c r="J522" i="8" s="1"/>
  <c r="L522" i="8" s="1"/>
  <c r="M522" i="8" s="1"/>
  <c r="N523" i="8" s="1"/>
  <c r="V123" i="8"/>
  <c r="M124" i="8"/>
  <c r="H253" i="8"/>
  <c r="K411" i="8" l="1"/>
  <c r="V124" i="8"/>
  <c r="M125" i="8"/>
  <c r="K252" i="8"/>
  <c r="G253" i="8"/>
  <c r="J523" i="8" s="1"/>
  <c r="P126" i="8"/>
  <c r="K412" i="8" s="1"/>
  <c r="I254" i="8"/>
  <c r="K524" i="8" s="1"/>
  <c r="J410" i="8"/>
  <c r="L410" i="8" s="1"/>
  <c r="M410" i="8" s="1"/>
  <c r="N411" i="8" s="1"/>
  <c r="K523" i="8"/>
  <c r="H254" i="8"/>
  <c r="J256" i="8" l="1"/>
  <c r="L523" i="8"/>
  <c r="M523" i="8" s="1"/>
  <c r="N524" i="8" s="1"/>
  <c r="I255" i="8"/>
  <c r="K525" i="8" s="1"/>
  <c r="P127" i="8"/>
  <c r="K413" i="8" s="1"/>
  <c r="V125" i="8"/>
  <c r="M126" i="8"/>
  <c r="H255" i="8"/>
  <c r="K253" i="8"/>
  <c r="G254" i="8"/>
  <c r="J411" i="8"/>
  <c r="L411" i="8" s="1"/>
  <c r="M411" i="8" s="1"/>
  <c r="N412" i="8" s="1"/>
  <c r="J257" i="8" l="1"/>
  <c r="K254" i="8"/>
  <c r="G255" i="8"/>
  <c r="J525" i="8" s="1"/>
  <c r="L525" i="8" s="1"/>
  <c r="V126" i="8"/>
  <c r="M127" i="8"/>
  <c r="J524" i="8"/>
  <c r="L524" i="8" s="1"/>
  <c r="M524" i="8" s="1"/>
  <c r="N525" i="8" s="1"/>
  <c r="P128" i="8"/>
  <c r="J258" i="8" s="1"/>
  <c r="I256" i="8"/>
  <c r="K526" i="8" s="1"/>
  <c r="H256" i="8"/>
  <c r="J412" i="8"/>
  <c r="L412" i="8" s="1"/>
  <c r="M412" i="8" s="1"/>
  <c r="N413" i="8" s="1"/>
  <c r="J413" i="8" l="1"/>
  <c r="L413" i="8" s="1"/>
  <c r="M413" i="8" s="1"/>
  <c r="N414" i="8" s="1"/>
  <c r="K414" i="8"/>
  <c r="I257" i="8"/>
  <c r="K527" i="8" s="1"/>
  <c r="V127" i="8"/>
  <c r="M128" i="8"/>
  <c r="H257" i="8"/>
  <c r="K255" i="8"/>
  <c r="G256" i="8"/>
  <c r="J526" i="8" s="1"/>
  <c r="L526" i="8" s="1"/>
  <c r="M526" i="8" s="1"/>
  <c r="N527" i="8" s="1"/>
  <c r="P129" i="8"/>
  <c r="J259" i="8" s="1"/>
  <c r="M525" i="8"/>
  <c r="N526" i="8" s="1"/>
  <c r="V128" i="8" l="1"/>
  <c r="M129" i="8"/>
  <c r="P130" i="8"/>
  <c r="J260" i="8" s="1"/>
  <c r="K415" i="8"/>
  <c r="K256" i="8"/>
  <c r="G257" i="8"/>
  <c r="H258" i="8"/>
  <c r="I258" i="8"/>
  <c r="K528" i="8" s="1"/>
  <c r="J414" i="8"/>
  <c r="L414" i="8" s="1"/>
  <c r="M414" i="8" s="1"/>
  <c r="N415" i="8" s="1"/>
  <c r="K416" i="8" l="1"/>
  <c r="I259" i="8"/>
  <c r="K529" i="8" s="1"/>
  <c r="P131" i="8"/>
  <c r="J261" i="8" s="1"/>
  <c r="J415" i="8"/>
  <c r="L415" i="8" s="1"/>
  <c r="M415" i="8" s="1"/>
  <c r="N416" i="8" s="1"/>
  <c r="K257" i="8"/>
  <c r="G258" i="8"/>
  <c r="J528" i="8" s="1"/>
  <c r="L528" i="8" s="1"/>
  <c r="J527" i="8"/>
  <c r="L527" i="8" s="1"/>
  <c r="M527" i="8" s="1"/>
  <c r="N528" i="8" s="1"/>
  <c r="V129" i="8"/>
  <c r="M130" i="8"/>
  <c r="J416" i="8" s="1"/>
  <c r="L416" i="8" s="1"/>
  <c r="H259" i="8"/>
  <c r="M416" i="8" l="1"/>
  <c r="N417" i="8" s="1"/>
  <c r="K417" i="8"/>
  <c r="M528" i="8"/>
  <c r="N529" i="8" s="1"/>
  <c r="H260" i="8"/>
  <c r="P132" i="8"/>
  <c r="K418" i="8" s="1"/>
  <c r="V130" i="8"/>
  <c r="M131" i="8"/>
  <c r="J417" i="8" s="1"/>
  <c r="I260" i="8"/>
  <c r="K530" i="8" s="1"/>
  <c r="K258" i="8"/>
  <c r="G259" i="8"/>
  <c r="J529" i="8" s="1"/>
  <c r="L529" i="8" s="1"/>
  <c r="M529" i="8" s="1"/>
  <c r="N530" i="8" s="1"/>
  <c r="L417" i="8" l="1"/>
  <c r="M417" i="8" s="1"/>
  <c r="N418" i="8" s="1"/>
  <c r="K259" i="8"/>
  <c r="G260" i="8"/>
  <c r="J530" i="8" s="1"/>
  <c r="L530" i="8" s="1"/>
  <c r="M530" i="8" s="1"/>
  <c r="N531" i="8" s="1"/>
  <c r="I261" i="8"/>
  <c r="K531" i="8" s="1"/>
  <c r="V131" i="8"/>
  <c r="M132" i="8"/>
  <c r="H262" i="8" s="1"/>
  <c r="H261" i="8"/>
  <c r="J262" i="8"/>
  <c r="P133" i="8"/>
  <c r="J263" i="8" s="1"/>
  <c r="J418" i="8" l="1"/>
  <c r="L418" i="8" s="1"/>
  <c r="M418" i="8" s="1"/>
  <c r="N419" i="8" s="1"/>
  <c r="K419" i="8"/>
  <c r="K260" i="8"/>
  <c r="G261" i="8"/>
  <c r="J531" i="8" s="1"/>
  <c r="L531" i="8" s="1"/>
  <c r="M531" i="8" s="1"/>
  <c r="N532" i="8" s="1"/>
  <c r="V132" i="8"/>
  <c r="M133" i="8"/>
  <c r="P134" i="8"/>
  <c r="K420" i="8" s="1"/>
  <c r="I262" i="8"/>
  <c r="J264" i="8" l="1"/>
  <c r="P135" i="8"/>
  <c r="J265" i="8" s="1"/>
  <c r="J419" i="8"/>
  <c r="L419" i="8" s="1"/>
  <c r="M419" i="8" s="1"/>
  <c r="N420" i="8" s="1"/>
  <c r="I263" i="8"/>
  <c r="K533" i="8" s="1"/>
  <c r="K261" i="8"/>
  <c r="G262" i="8"/>
  <c r="J532" i="8" s="1"/>
  <c r="K532" i="8"/>
  <c r="V133" i="8"/>
  <c r="M134" i="8"/>
  <c r="H263" i="8"/>
  <c r="V134" i="8" l="1"/>
  <c r="M135" i="8"/>
  <c r="L532" i="8"/>
  <c r="M532" i="8" s="1"/>
  <c r="N533" i="8" s="1"/>
  <c r="I264" i="8"/>
  <c r="K534" i="8" s="1"/>
  <c r="P136" i="8"/>
  <c r="J266" i="8" s="1"/>
  <c r="J420" i="8"/>
  <c r="L420" i="8" s="1"/>
  <c r="M420" i="8" s="1"/>
  <c r="N421" i="8" s="1"/>
  <c r="K421" i="8"/>
  <c r="H264" i="8"/>
  <c r="K262" i="8"/>
  <c r="G263" i="8"/>
  <c r="K263" i="8" l="1"/>
  <c r="G264" i="8"/>
  <c r="J533" i="8"/>
  <c r="L533" i="8" s="1"/>
  <c r="M533" i="8" s="1"/>
  <c r="N534" i="8" s="1"/>
  <c r="I265" i="8"/>
  <c r="K535" i="8" s="1"/>
  <c r="P137" i="8"/>
  <c r="K423" i="8" s="1"/>
  <c r="V135" i="8"/>
  <c r="M136" i="8"/>
  <c r="H265" i="8"/>
  <c r="K422" i="8"/>
  <c r="J421" i="8"/>
  <c r="L421" i="8" s="1"/>
  <c r="M421" i="8" s="1"/>
  <c r="N422" i="8" s="1"/>
  <c r="J422" i="8" l="1"/>
  <c r="L422" i="8" s="1"/>
  <c r="M422" i="8" s="1"/>
  <c r="N423" i="8" s="1"/>
  <c r="V136" i="8"/>
  <c r="M137" i="8"/>
  <c r="K264" i="8"/>
  <c r="G265" i="8"/>
  <c r="P138" i="8"/>
  <c r="K424" i="8" s="1"/>
  <c r="I266" i="8"/>
  <c r="K536" i="8" s="1"/>
  <c r="J534" i="8"/>
  <c r="L534" i="8" s="1"/>
  <c r="M534" i="8" s="1"/>
  <c r="N535" i="8" s="1"/>
  <c r="H266" i="8"/>
  <c r="J267" i="8"/>
  <c r="J268" i="8" l="1"/>
  <c r="K265" i="8"/>
  <c r="G266" i="8"/>
  <c r="J536" i="8" s="1"/>
  <c r="L536" i="8" s="1"/>
  <c r="V137" i="8"/>
  <c r="M138" i="8"/>
  <c r="J423" i="8"/>
  <c r="L423" i="8" s="1"/>
  <c r="M423" i="8" s="1"/>
  <c r="N424" i="8" s="1"/>
  <c r="P139" i="8"/>
  <c r="J269" i="8" s="1"/>
  <c r="J535" i="8"/>
  <c r="L535" i="8" s="1"/>
  <c r="M535" i="8" s="1"/>
  <c r="N536" i="8" s="1"/>
  <c r="H267" i="8"/>
  <c r="I267" i="8"/>
  <c r="K537" i="8" s="1"/>
  <c r="K425" i="8" l="1"/>
  <c r="J424" i="8"/>
  <c r="L424" i="8" s="1"/>
  <c r="M424" i="8" s="1"/>
  <c r="N425" i="8" s="1"/>
  <c r="M536" i="8"/>
  <c r="N537" i="8" s="1"/>
  <c r="H268" i="8"/>
  <c r="P140" i="8"/>
  <c r="K426" i="8" s="1"/>
  <c r="V138" i="8"/>
  <c r="M139" i="8"/>
  <c r="I268" i="8"/>
  <c r="K538" i="8" s="1"/>
  <c r="K266" i="8"/>
  <c r="G267" i="8"/>
  <c r="J537" i="8" s="1"/>
  <c r="L537" i="8" s="1"/>
  <c r="M537" i="8" s="1"/>
  <c r="N538" i="8" s="1"/>
  <c r="J425" i="8" l="1"/>
  <c r="L425" i="8" s="1"/>
  <c r="M425" i="8" s="1"/>
  <c r="N426" i="8" s="1"/>
  <c r="J270" i="8"/>
  <c r="V139" i="8"/>
  <c r="M140" i="8"/>
  <c r="H270" i="8" s="1"/>
  <c r="H269" i="8"/>
  <c r="K267" i="8"/>
  <c r="G268" i="8"/>
  <c r="J538" i="8" s="1"/>
  <c r="L538" i="8" s="1"/>
  <c r="M538" i="8" s="1"/>
  <c r="N539" i="8" s="1"/>
  <c r="I269" i="8"/>
  <c r="K539" i="8" s="1"/>
  <c r="P141" i="8"/>
  <c r="K427" i="8" s="1"/>
  <c r="K268" i="8" l="1"/>
  <c r="G269" i="8"/>
  <c r="J539" i="8" s="1"/>
  <c r="L539" i="8" s="1"/>
  <c r="M539" i="8" s="1"/>
  <c r="N540" i="8" s="1"/>
  <c r="J426" i="8"/>
  <c r="L426" i="8" s="1"/>
  <c r="M426" i="8" s="1"/>
  <c r="N427" i="8" s="1"/>
  <c r="P142" i="8"/>
  <c r="K428" i="8" s="1"/>
  <c r="J271" i="8"/>
  <c r="I270" i="8"/>
  <c r="V140" i="8"/>
  <c r="M141" i="8"/>
  <c r="H271" i="8" l="1"/>
  <c r="I271" i="8"/>
  <c r="K540" i="8"/>
  <c r="J272" i="8"/>
  <c r="V141" i="8"/>
  <c r="M142" i="8"/>
  <c r="J428" i="8" s="1"/>
  <c r="L428" i="8" s="1"/>
  <c r="J427" i="8"/>
  <c r="L427" i="8" s="1"/>
  <c r="M427" i="8" s="1"/>
  <c r="N428" i="8" s="1"/>
  <c r="K269" i="8"/>
  <c r="G270" i="8"/>
  <c r="P143" i="8"/>
  <c r="K429" i="8" s="1"/>
  <c r="M428" i="8" l="1"/>
  <c r="N429" i="8" s="1"/>
  <c r="J273" i="8"/>
  <c r="H272" i="8"/>
  <c r="P144" i="8"/>
  <c r="J274" i="8" s="1"/>
  <c r="K270" i="8"/>
  <c r="G271" i="8"/>
  <c r="I272" i="8"/>
  <c r="K542" i="8" s="1"/>
  <c r="J540" i="8"/>
  <c r="L540" i="8" s="1"/>
  <c r="M540" i="8" s="1"/>
  <c r="N541" i="8" s="1"/>
  <c r="V142" i="8"/>
  <c r="M143" i="8"/>
  <c r="K541" i="8"/>
  <c r="H273" i="8" l="1"/>
  <c r="V143" i="8"/>
  <c r="M144" i="8"/>
  <c r="H274" i="8" s="1"/>
  <c r="J429" i="8"/>
  <c r="L429" i="8" s="1"/>
  <c r="M429" i="8" s="1"/>
  <c r="N430" i="8" s="1"/>
  <c r="I273" i="8"/>
  <c r="K543" i="8" s="1"/>
  <c r="K430" i="8"/>
  <c r="K271" i="8"/>
  <c r="G272" i="8"/>
  <c r="J542" i="8" s="1"/>
  <c r="L542" i="8" s="1"/>
  <c r="J541" i="8"/>
  <c r="L541" i="8" s="1"/>
  <c r="M541" i="8" s="1"/>
  <c r="N542" i="8" s="1"/>
  <c r="P145" i="8"/>
  <c r="J275" i="8" s="1"/>
  <c r="K431" i="8" l="1"/>
  <c r="M542" i="8"/>
  <c r="N543" i="8" s="1"/>
  <c r="P146" i="8"/>
  <c r="P147" i="8" s="1"/>
  <c r="N150" i="8" s="1"/>
  <c r="N154" i="8" s="1"/>
  <c r="J430" i="8"/>
  <c r="L430" i="8" s="1"/>
  <c r="M430" i="8" s="1"/>
  <c r="N431" i="8" s="1"/>
  <c r="I274" i="8"/>
  <c r="K544" i="8" s="1"/>
  <c r="V144" i="8"/>
  <c r="M145" i="8"/>
  <c r="K272" i="8"/>
  <c r="G273" i="8"/>
  <c r="J276" i="8" l="1"/>
  <c r="J277" i="8" s="1"/>
  <c r="K284" i="8" s="1"/>
  <c r="O285" i="8" s="1"/>
  <c r="K432" i="8"/>
  <c r="K433" i="8" s="1"/>
  <c r="K273" i="8"/>
  <c r="G274" i="8"/>
  <c r="J544" i="8" s="1"/>
  <c r="L544" i="8" s="1"/>
  <c r="J543" i="8"/>
  <c r="L543" i="8" s="1"/>
  <c r="M543" i="8" s="1"/>
  <c r="N544" i="8" s="1"/>
  <c r="V145" i="8"/>
  <c r="M146" i="8"/>
  <c r="J431" i="8"/>
  <c r="L431" i="8" s="1"/>
  <c r="M431" i="8" s="1"/>
  <c r="N432" i="8" s="1"/>
  <c r="N168" i="8"/>
  <c r="N164" i="8"/>
  <c r="N160" i="8"/>
  <c r="H275" i="8"/>
  <c r="I275" i="8"/>
  <c r="H276" i="8" l="1"/>
  <c r="Z98" i="8"/>
  <c r="O284" i="8"/>
  <c r="M544" i="8"/>
  <c r="N545" i="8" s="1"/>
  <c r="H277" i="8"/>
  <c r="N169" i="8"/>
  <c r="P168" i="8"/>
  <c r="V146" i="8"/>
  <c r="M147" i="8"/>
  <c r="N149" i="8" s="1"/>
  <c r="I276" i="8"/>
  <c r="K546" i="8" s="1"/>
  <c r="K545" i="8"/>
  <c r="P160" i="8"/>
  <c r="C117" i="6" s="1"/>
  <c r="P161" i="8"/>
  <c r="C118" i="6" s="1"/>
  <c r="P164" i="8"/>
  <c r="N165" i="8"/>
  <c r="J432" i="8"/>
  <c r="K274" i="8"/>
  <c r="G275" i="8"/>
  <c r="J545" i="8" s="1"/>
  <c r="L545" i="8" s="1"/>
  <c r="M545" i="8" s="1"/>
  <c r="N546" i="8" s="1"/>
  <c r="AF98" i="8" l="1"/>
  <c r="Z99" i="8"/>
  <c r="K275" i="8"/>
  <c r="G276" i="8"/>
  <c r="J546" i="8" s="1"/>
  <c r="L546" i="8" s="1"/>
  <c r="M546" i="8" s="1"/>
  <c r="N547" i="8" s="1"/>
  <c r="I277" i="8"/>
  <c r="K547" i="8" s="1"/>
  <c r="V147" i="8"/>
  <c r="P149" i="8" s="1"/>
  <c r="G118" i="6"/>
  <c r="O34" i="6" s="1"/>
  <c r="E118" i="6"/>
  <c r="N34" i="6" s="1"/>
  <c r="H68" i="14"/>
  <c r="G66" i="14" s="1"/>
  <c r="L432" i="8"/>
  <c r="M432" i="8" s="1"/>
  <c r="N433" i="8" s="1"/>
  <c r="M437" i="8" s="1"/>
  <c r="J433" i="8"/>
  <c r="L433" i="8" s="1"/>
  <c r="H65" i="14"/>
  <c r="E117" i="6"/>
  <c r="G117" i="6"/>
  <c r="K282" i="8"/>
  <c r="M433" i="8" l="1"/>
  <c r="M435" i="8" s="1"/>
  <c r="M436" i="8" s="1"/>
  <c r="C126" i="6" s="1"/>
  <c r="G126" i="6" s="1"/>
  <c r="N33" i="6"/>
  <c r="F118" i="6"/>
  <c r="M438" i="8"/>
  <c r="M439" i="8" s="1"/>
  <c r="M440" i="8"/>
  <c r="O283" i="8"/>
  <c r="O282" i="8"/>
  <c r="G63" i="14"/>
  <c r="G64" i="14"/>
  <c r="H118" i="6"/>
  <c r="O33" i="6"/>
  <c r="C153" i="6"/>
  <c r="N153" i="8"/>
  <c r="K281" i="8"/>
  <c r="K286" i="8" s="1"/>
  <c r="K548" i="8"/>
  <c r="K276" i="8"/>
  <c r="G277" i="8"/>
  <c r="J547" i="8" s="1"/>
  <c r="L547" i="8" s="1"/>
  <c r="M547" i="8" s="1"/>
  <c r="N548" i="8" s="1"/>
  <c r="M552" i="8" s="1"/>
  <c r="M553" i="8" l="1"/>
  <c r="M554" i="8" s="1"/>
  <c r="M555" i="8"/>
  <c r="K277" i="8"/>
  <c r="M280" i="8" s="1"/>
  <c r="K280" i="8"/>
  <c r="J548" i="8"/>
  <c r="L548" i="8" s="1"/>
  <c r="M548" i="8" s="1"/>
  <c r="M550" i="8" s="1"/>
  <c r="M551" i="8" s="1"/>
  <c r="C127" i="6" s="1"/>
  <c r="G127" i="6" s="1"/>
  <c r="H127" i="6" s="1"/>
  <c r="K298" i="8"/>
  <c r="K299" i="8" s="1"/>
  <c r="G71" i="14" s="1"/>
  <c r="K296" i="8"/>
  <c r="K297" i="8" s="1"/>
  <c r="G73" i="14" s="1"/>
  <c r="N166" i="8"/>
  <c r="N155" i="8"/>
  <c r="N157" i="8"/>
  <c r="N162" i="8"/>
  <c r="G153" i="6"/>
  <c r="H153" i="6" s="1"/>
  <c r="M441" i="8"/>
  <c r="M442" i="8" s="1"/>
  <c r="C124" i="6" s="1"/>
  <c r="G124" i="6" s="1"/>
  <c r="M556" i="8" l="1"/>
  <c r="M557" i="8" s="1"/>
  <c r="C125" i="6" s="1"/>
  <c r="G125" i="6" s="1"/>
  <c r="H125" i="6" s="1"/>
  <c r="P157" i="8"/>
  <c r="D10" i="22" s="1"/>
  <c r="N158" i="8"/>
  <c r="P156" i="8"/>
  <c r="G42" i="14" s="1"/>
  <c r="P155" i="8"/>
  <c r="N167" i="8"/>
  <c r="P166" i="8"/>
  <c r="N163" i="8"/>
  <c r="P162" i="8"/>
  <c r="D12" i="22" s="1"/>
  <c r="P163" i="8"/>
  <c r="C10" i="9"/>
  <c r="C155" i="6"/>
  <c r="K285" i="8"/>
  <c r="G155" i="6" l="1"/>
  <c r="H155" i="6" s="1"/>
  <c r="G69" i="14"/>
  <c r="N159" i="8"/>
  <c r="C108" i="6" s="1"/>
  <c r="C107" i="6"/>
  <c r="K294" i="8"/>
  <c r="K292" i="8"/>
  <c r="K287" i="8"/>
  <c r="F10" i="9"/>
  <c r="C147" i="6" s="1"/>
  <c r="E10" i="9"/>
  <c r="C146" i="6" s="1"/>
  <c r="C104" i="6"/>
  <c r="H43" i="14"/>
  <c r="G104" i="6" l="1"/>
  <c r="E104" i="6"/>
  <c r="K289" i="8"/>
  <c r="K288" i="8"/>
  <c r="D11" i="22" s="1"/>
  <c r="C143" i="6"/>
  <c r="K293" i="8"/>
  <c r="G72" i="14" s="1"/>
  <c r="K300" i="8"/>
  <c r="E146" i="6"/>
  <c r="G146" i="6"/>
  <c r="K295" i="8"/>
  <c r="G70" i="14" s="1"/>
  <c r="K301" i="8"/>
  <c r="K302" i="8" s="1"/>
  <c r="G38" i="14"/>
  <c r="G39" i="14"/>
  <c r="G37" i="14"/>
  <c r="G147" i="6"/>
  <c r="E147" i="6"/>
  <c r="G107" i="6"/>
  <c r="E107" i="6"/>
  <c r="M300" i="8" l="1"/>
  <c r="D13" i="22" s="1"/>
  <c r="C12" i="9"/>
  <c r="E143" i="6"/>
  <c r="G143" i="6"/>
  <c r="K290" i="8"/>
  <c r="C113" i="6" s="1"/>
  <c r="C112" i="6"/>
  <c r="N30" i="6"/>
  <c r="F104" i="6"/>
  <c r="N31" i="6"/>
  <c r="F109" i="6"/>
  <c r="H109" i="6"/>
  <c r="O31" i="6"/>
  <c r="H104" i="6"/>
  <c r="O30" i="6"/>
  <c r="C145" i="6" l="1"/>
  <c r="H59" i="14"/>
  <c r="H55" i="14" s="1"/>
  <c r="E12" i="9"/>
  <c r="C148" i="6" s="1"/>
  <c r="F12" i="9"/>
  <c r="C149" i="6" s="1"/>
  <c r="E112" i="6"/>
  <c r="G112" i="6"/>
  <c r="G53" i="14"/>
  <c r="H54" i="14"/>
  <c r="F114" i="6" l="1"/>
  <c r="N32" i="6"/>
  <c r="W8" i="6" s="1"/>
  <c r="E149" i="6"/>
  <c r="G149" i="6"/>
  <c r="H74" i="14"/>
  <c r="G50" i="14"/>
  <c r="G51" i="14"/>
  <c r="G56" i="14"/>
  <c r="E148" i="6"/>
  <c r="G148" i="6"/>
  <c r="G77" i="14"/>
  <c r="H75" i="14"/>
  <c r="G145" i="6"/>
  <c r="H145" i="6" s="1"/>
  <c r="E145" i="6"/>
  <c r="F145" i="6" s="1"/>
  <c r="O32" i="6"/>
  <c r="H114" i="6"/>
  <c r="F150" i="6" l="1"/>
  <c r="Y8" i="6"/>
  <c r="Y11" i="6" s="1"/>
  <c r="H150" i="6"/>
  <c r="AD8" i="6" l="1"/>
  <c r="AD7" i="6"/>
  <c r="AD4" i="6"/>
  <c r="X11" i="6"/>
  <c r="AD5" i="6"/>
  <c r="AD6" i="6"/>
  <c r="AA4" i="6"/>
  <c r="AD9" i="6" l="1"/>
  <c r="D74" i="18"/>
  <c r="D73" i="18" l="1"/>
  <c r="E73" i="18" s="1"/>
</calcChain>
</file>

<file path=xl/comments1.xml><?xml version="1.0" encoding="utf-8"?>
<comments xmlns="http://schemas.openxmlformats.org/spreadsheetml/2006/main">
  <authors>
    <author>Eilidh Jane Forster</author>
  </authors>
  <commentList>
    <comment ref="U9" authorId="0" shapeId="0">
      <text>
        <r>
          <rPr>
            <b/>
            <sz val="9"/>
            <color indexed="81"/>
            <rFont val="Tahoma"/>
            <family val="2"/>
          </rPr>
          <t>Eilidh Jane Forster:</t>
        </r>
        <r>
          <rPr>
            <sz val="9"/>
            <color indexed="81"/>
            <rFont val="Tahoma"/>
            <family val="2"/>
          </rPr>
          <t xml:space="preserve">
FC blue book p134</t>
        </r>
      </text>
    </comment>
    <comment ref="A12" authorId="0" shapeId="0">
      <text>
        <r>
          <rPr>
            <b/>
            <sz val="9"/>
            <color indexed="81"/>
            <rFont val="Tahoma"/>
            <family val="2"/>
          </rPr>
          <t>Eilidh Jane Forster:</t>
        </r>
        <r>
          <rPr>
            <sz val="9"/>
            <color indexed="81"/>
            <rFont val="Tahoma"/>
            <family val="2"/>
          </rPr>
          <t xml:space="preserve">
In the absence of other information, and given that this split is depending on local market conditions at the time of harvest, assume an equal split between panel, fuel and fencing logs.</t>
        </r>
      </text>
    </comment>
    <comment ref="C16"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I16"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I22" authorId="0" shapeId="0">
      <text>
        <r>
          <rPr>
            <b/>
            <sz val="9"/>
            <color indexed="81"/>
            <rFont val="Tahoma"/>
            <family val="2"/>
          </rPr>
          <t>Eilidh Jane Forster:</t>
        </r>
        <r>
          <rPr>
            <sz val="9"/>
            <color indexed="81"/>
            <rFont val="Tahoma"/>
            <family val="2"/>
          </rPr>
          <t xml:space="preserve">
assume only fencing material and fence poles are chemically treated.</t>
        </r>
      </text>
    </comment>
    <comment ref="A43" authorId="0" shapeId="0">
      <text>
        <r>
          <rPr>
            <b/>
            <sz val="9"/>
            <color indexed="81"/>
            <rFont val="Tahoma"/>
            <family val="2"/>
          </rPr>
          <t>Eilidh Jane Forster:</t>
        </r>
        <r>
          <rPr>
            <sz val="9"/>
            <color indexed="81"/>
            <rFont val="Tahoma"/>
            <family val="2"/>
          </rPr>
          <t xml:space="preserve">
global database of wood density it has an EU source for SS at 0.36162 (g/cm^3), oven dry mass/fresh volume https://datadryad.org/handle/10255/dryad.235</t>
        </r>
      </text>
    </comment>
    <comment ref="B43" authorId="0" shapeId="0">
      <text>
        <r>
          <rPr>
            <b/>
            <sz val="9"/>
            <color indexed="81"/>
            <rFont val="Tahoma"/>
            <family val="2"/>
          </rPr>
          <t>Eilidh Jane Forster:</t>
        </r>
        <r>
          <rPr>
            <sz val="9"/>
            <color indexed="81"/>
            <rFont val="Tahoma"/>
            <family val="2"/>
          </rPr>
          <t xml:space="preserve">
global database of wood density it has an EU source for SS at 0.36162 (g/cm^3), oven dry mass/fresh volume https://datadryad.org/handle/10255/dryad.235</t>
        </r>
      </text>
    </comment>
    <comment ref="A44" authorId="0" shapeId="0">
      <text>
        <r>
          <rPr>
            <b/>
            <sz val="9"/>
            <color indexed="81"/>
            <rFont val="Tahoma"/>
            <family val="2"/>
          </rPr>
          <t>Eilidh Jane Forster:</t>
        </r>
        <r>
          <rPr>
            <sz val="9"/>
            <color indexed="81"/>
            <rFont val="Tahoma"/>
            <family val="2"/>
          </rPr>
          <t xml:space="preserve">
engineering toolbox.</t>
        </r>
      </text>
    </comment>
    <comment ref="A45"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A48"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A49"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B50" authorId="0" shapeId="0">
      <text>
        <r>
          <rPr>
            <b/>
            <sz val="9"/>
            <color indexed="81"/>
            <rFont val="Tahoma"/>
            <family val="2"/>
          </rPr>
          <t>Eilidh Jane Forster:</t>
        </r>
        <r>
          <rPr>
            <sz val="9"/>
            <color indexed="81"/>
            <rFont val="Tahoma"/>
            <family val="2"/>
          </rPr>
          <t xml:space="preserve">
ecoinvent: kg of dry wood chips that produces 1kW of electricity in a cogen plant. (heat and power co-generation, wood chips, 6667 kW, state-of-the-art 2014 | electricity, high voltage | APOS, S)</t>
        </r>
      </text>
    </comment>
    <comment ref="B52" authorId="0" shapeId="0">
      <text>
        <r>
          <rPr>
            <b/>
            <sz val="9"/>
            <color indexed="81"/>
            <rFont val="Tahoma"/>
            <family val="2"/>
          </rPr>
          <t>Eilidh Jane Forster:</t>
        </r>
        <r>
          <rPr>
            <sz val="9"/>
            <color indexed="81"/>
            <rFont val="Tahoma"/>
            <family val="2"/>
          </rPr>
          <t xml:space="preserve">
from ecoinvent process for woodchips to heat in industrial boiler. 'heat production, softwood chips from forest, at furnace 1000kW | heat, district or industrial, other than natural gas | APOS, U'</t>
        </r>
      </text>
    </comment>
    <comment ref="B53" authorId="0" shapeId="0">
      <text>
        <r>
          <rPr>
            <b/>
            <sz val="9"/>
            <color indexed="81"/>
            <rFont val="Tahoma"/>
            <family val="2"/>
          </rPr>
          <t>Eilidh Jane Forster:</t>
        </r>
        <r>
          <rPr>
            <sz val="9"/>
            <color indexed="81"/>
            <rFont val="Tahoma"/>
            <family val="2"/>
          </rPr>
          <t xml:space="preserve">
Assumptioni from Ecoinvent - treatment of municipal solid waste, incineration | electricity, for reuse in municipal waste incineration only | APOS, U (within the text description of the process) This is average for the municial waste mix assumed in Ecoinvent so is probably an underestimate for the wood component. "Net energy production: 1.39MJ/kg electric energy and 2.85MJ/kg thermal energy."</t>
        </r>
      </text>
    </comment>
    <comment ref="B54" authorId="0" shapeId="0">
      <text>
        <r>
          <rPr>
            <b/>
            <sz val="9"/>
            <color indexed="81"/>
            <rFont val="Tahoma"/>
            <family val="2"/>
          </rPr>
          <t>Eilidh Jane Forster:</t>
        </r>
        <r>
          <rPr>
            <sz val="9"/>
            <color indexed="81"/>
            <rFont val="Tahoma"/>
            <family val="2"/>
          </rPr>
          <t xml:space="preserve">
Assumptioni from Ecoinvent - treatment of municipal solid waste, incineration | electricity, for reuse in municipal waste incineration only | APOS, U (within the text description of the process) This is average for the municial waste mix assumed in Ecoinvent so is probably an underestimate for the wood component. "Net energy production: 1.39MJ/kg electric energy and 2.85MJ/kg thermal energy."</t>
        </r>
      </text>
    </comment>
    <comment ref="A55" authorId="0" shapeId="0">
      <text>
        <r>
          <rPr>
            <b/>
            <sz val="9"/>
            <color indexed="81"/>
            <rFont val="Tahoma"/>
            <family val="2"/>
          </rPr>
          <t>Eilidh Jane Forster:</t>
        </r>
        <r>
          <rPr>
            <sz val="9"/>
            <color indexed="81"/>
            <rFont val="Tahoma"/>
            <family val="2"/>
          </rPr>
          <t xml:space="preserve">
Forestry Commission conversion factor for tonnes under bark to tonnes to over bark.
https://www.forestresearch.gov.uk/tools-and-resources/statistics/forestry-statistics/forestry-statistics-2016-introduction/sources/timber/conversion-factors/</t>
        </r>
      </text>
    </comment>
    <comment ref="B57" authorId="0" shapeId="0">
      <text>
        <r>
          <rPr>
            <b/>
            <sz val="9"/>
            <color indexed="81"/>
            <rFont val="Tahoma"/>
            <family val="2"/>
          </rPr>
          <t>Eilidh Jane Forster:</t>
        </r>
        <r>
          <rPr>
            <sz val="9"/>
            <color indexed="81"/>
            <rFont val="Tahoma"/>
            <family val="2"/>
          </rPr>
          <t xml:space="preserve">
From Ecoinvent process: 'heat production, natural gas, at industrial furnace &gt;100kW | heat, district or industrial, natural gas | APOS, U'</t>
        </r>
      </text>
    </comment>
    <comment ref="B59" authorId="0" shapeId="0">
      <text>
        <r>
          <rPr>
            <b/>
            <sz val="9"/>
            <color indexed="81"/>
            <rFont val="Tahoma"/>
            <family val="2"/>
          </rPr>
          <t>Eilidh Jane Forster:</t>
        </r>
        <r>
          <rPr>
            <sz val="9"/>
            <color indexed="81"/>
            <rFont val="Tahoma"/>
            <family val="2"/>
          </rPr>
          <t xml:space="preserve">
These figures are pasted from the GH data calcs spreadsheet.</t>
        </r>
      </text>
    </comment>
    <comment ref="A60" authorId="0" shapeId="0">
      <text>
        <r>
          <rPr>
            <b/>
            <sz val="9"/>
            <color indexed="81"/>
            <rFont val="Tahoma"/>
            <family val="2"/>
          </rPr>
          <t>Eilidh Jane Forster:</t>
        </r>
        <r>
          <rPr>
            <sz val="9"/>
            <color indexed="81"/>
            <rFont val="Tahoma"/>
            <family val="2"/>
          </rPr>
          <t xml:space="preserve">
According to Sankey diagram, 38.7% panel boards, 48.1% fuel, 13.1% pulp</t>
        </r>
      </text>
    </comment>
    <comment ref="F60" authorId="0" shapeId="0">
      <text>
        <r>
          <rPr>
            <b/>
            <sz val="9"/>
            <color indexed="81"/>
            <rFont val="Tahoma"/>
            <family val="2"/>
          </rPr>
          <t>Eilidh Jane Forster:</t>
        </r>
        <r>
          <rPr>
            <sz val="9"/>
            <color indexed="81"/>
            <rFont val="Tahoma"/>
            <family val="2"/>
          </rPr>
          <t xml:space="preserve">
according to sankey diagram over 75% of wood panels produced in UK are particle board. Rest is fibre board.</t>
        </r>
      </text>
    </comment>
    <comment ref="AD60" authorId="0" shapeId="0">
      <text>
        <r>
          <rPr>
            <b/>
            <sz val="9"/>
            <color indexed="81"/>
            <rFont val="Tahoma"/>
            <family val="2"/>
          </rPr>
          <t>Eilidh Jane Forster:</t>
        </r>
        <r>
          <rPr>
            <sz val="9"/>
            <color indexed="81"/>
            <rFont val="Tahoma"/>
            <family val="2"/>
          </rPr>
          <t xml:space="preserve">
These are collectively wood panels. The actual split between particle board and fibre board is calculated based on known data on recycled content of particle board and actual UK manufacturing. In Sheet '&gt;75%thin'. The actual split is around 50:50 i.e. aroun 14% fibre board and 13% particle board.</t>
        </r>
      </text>
    </comment>
    <comment ref="AP61" authorId="0" shapeId="0">
      <text>
        <r>
          <rPr>
            <b/>
            <sz val="9"/>
            <color indexed="81"/>
            <rFont val="Tahoma"/>
            <family val="2"/>
          </rPr>
          <t>Eilidh Jane Forster:</t>
        </r>
        <r>
          <rPr>
            <sz val="9"/>
            <color indexed="81"/>
            <rFont val="Tahoma"/>
            <family val="2"/>
          </rPr>
          <t xml:space="preserve">
This combined with the 7.3% rMDF takes the wood panel manufacturing back up to the baseline level.</t>
        </r>
      </text>
    </comment>
    <comment ref="A64"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A66" authorId="0" shapeId="0">
      <text>
        <r>
          <rPr>
            <b/>
            <sz val="9"/>
            <color indexed="81"/>
            <rFont val="Tahoma"/>
            <family val="2"/>
          </rPr>
          <t>Eilidh Jane Forster:</t>
        </r>
        <r>
          <rPr>
            <sz val="9"/>
            <color indexed="81"/>
            <rFont val="Tahoma"/>
            <family val="2"/>
          </rPr>
          <t xml:space="preserve">
Combined Reds with Bars/Pallets.</t>
        </r>
      </text>
    </comment>
    <comment ref="S66" authorId="0" shapeId="0">
      <text>
        <r>
          <rPr>
            <b/>
            <sz val="9"/>
            <color indexed="81"/>
            <rFont val="Tahoma"/>
            <family val="2"/>
          </rPr>
          <t>Eilidh Jane Forster:</t>
        </r>
        <r>
          <rPr>
            <sz val="9"/>
            <color indexed="81"/>
            <rFont val="Tahoma"/>
            <family val="2"/>
          </rPr>
          <t xml:space="preserve">
50% sawn timber, 50% chips and sawdust.
Sawn timber roughly:
85% p&amp;p
10% fencing
5% carcassing</t>
        </r>
      </text>
    </comment>
    <comment ref="S69" authorId="0" shapeId="0">
      <text>
        <r>
          <rPr>
            <b/>
            <sz val="9"/>
            <color indexed="81"/>
            <rFont val="Tahoma"/>
            <family val="2"/>
          </rPr>
          <t>Eilidh Jane Forster:</t>
        </r>
        <r>
          <rPr>
            <sz val="9"/>
            <color indexed="81"/>
            <rFont val="Tahoma"/>
            <family val="2"/>
          </rPr>
          <t xml:space="preserve">
70% chips
30% sawdust</t>
        </r>
      </text>
    </comment>
    <comment ref="Y69" authorId="0" shapeId="0">
      <text>
        <r>
          <rPr>
            <b/>
            <sz val="9"/>
            <color indexed="81"/>
            <rFont val="Tahoma"/>
            <family val="2"/>
          </rPr>
          <t>Eilidh Jane Forster:</t>
        </r>
        <r>
          <rPr>
            <sz val="9"/>
            <color indexed="81"/>
            <rFont val="Tahoma"/>
            <family val="2"/>
          </rPr>
          <t xml:space="preserve">
according to sankey diagram over 75% of wood panels produced in UK are particle board. Rest is fibre board.</t>
        </r>
      </text>
    </comment>
    <comment ref="Z71" authorId="0" shapeId="0">
      <text>
        <r>
          <rPr>
            <b/>
            <sz val="9"/>
            <color indexed="81"/>
            <rFont val="Tahoma"/>
            <family val="2"/>
          </rPr>
          <t>Eilidh Jane Forster:</t>
        </r>
        <r>
          <rPr>
            <sz val="9"/>
            <color indexed="81"/>
            <rFont val="Tahoma"/>
            <family val="2"/>
          </rPr>
          <t xml:space="preserve">
I made this estimation by looking at the % of sawdust/chips produced and used in ecoinvent unit processes for sawing and kiln drying. Fo 1m3 of sawn product 67.68369kg of chips/sawdust is produced. And For 1m3 of dried product 40.88793kg of chips/sawdust is used i.e. around 60% of the amount produced during sawing.</t>
        </r>
      </text>
    </comment>
    <comment ref="S73" authorId="0" shapeId="0">
      <text>
        <r>
          <rPr>
            <b/>
            <sz val="9"/>
            <color indexed="81"/>
            <rFont val="Tahoma"/>
            <family val="2"/>
          </rPr>
          <t>Eilidh Jane Forster:</t>
        </r>
        <r>
          <rPr>
            <sz val="9"/>
            <color indexed="81"/>
            <rFont val="Tahoma"/>
            <family val="2"/>
          </rPr>
          <t xml:space="preserve">
60% sawn timber, 40% chips and sawdust.
Sawn timber: 73% centre yield (70% of it ends up as carcassing, 25% as fencing and 5% as p&amp;p) and 27% side yield (to p&amp;p).
</t>
        </r>
      </text>
    </comment>
    <comment ref="G75" authorId="0" shapeId="0">
      <text>
        <r>
          <rPr>
            <b/>
            <sz val="9"/>
            <color indexed="81"/>
            <rFont val="Tahoma"/>
            <family val="2"/>
          </rPr>
          <t>Eilidh Jane Forster:</t>
        </r>
        <r>
          <rPr>
            <sz val="9"/>
            <color indexed="81"/>
            <rFont val="Tahoma"/>
            <family val="2"/>
          </rPr>
          <t xml:space="preserve">
Only chipping of green logs. Assumed to be a pre-step to pelletising.</t>
        </r>
      </text>
    </comment>
    <comment ref="Y76" authorId="0" shapeId="0">
      <text>
        <r>
          <rPr>
            <b/>
            <sz val="9"/>
            <color indexed="81"/>
            <rFont val="Tahoma"/>
            <family val="2"/>
          </rPr>
          <t>Eilidh Jane Forster:</t>
        </r>
        <r>
          <rPr>
            <sz val="9"/>
            <color indexed="81"/>
            <rFont val="Tahoma"/>
            <family val="2"/>
          </rPr>
          <t xml:space="preserve">
according to sankey diagram over 75% of wood panels produced in UK are particle board. Rest is fibre board.</t>
        </r>
      </text>
    </comment>
    <comment ref="Z79" authorId="0" shapeId="0">
      <text>
        <r>
          <rPr>
            <b/>
            <sz val="9"/>
            <color indexed="81"/>
            <rFont val="Tahoma"/>
            <family val="2"/>
          </rPr>
          <t>Eilidh Jane Forster:</t>
        </r>
        <r>
          <rPr>
            <sz val="9"/>
            <color indexed="81"/>
            <rFont val="Tahoma"/>
            <family val="2"/>
          </rPr>
          <t xml:space="preserve">
I made this estimation by looking at the % of sawdust/chips produced and used in ecoinvent unit processes for sawing and kiln drying. Fo 1m3 of sawn product 67.68369kg of chips/sawdust is produced. And For 1m3 of dried product 40.88793kg of chips/sawdust is used i.e. around 60% of the amount produced during sawing.</t>
        </r>
      </text>
    </comment>
    <comment ref="V84" authorId="0" shapeId="0">
      <text>
        <r>
          <rPr>
            <b/>
            <sz val="9"/>
            <color indexed="81"/>
            <rFont val="Tahoma"/>
            <family val="2"/>
          </rPr>
          <t>Eilidh Jane Forster:</t>
        </r>
        <r>
          <rPr>
            <sz val="9"/>
            <color indexed="81"/>
            <rFont val="Tahoma"/>
            <family val="2"/>
          </rPr>
          <t xml:space="preserve">
assume only carcassing is planed.</t>
        </r>
      </text>
    </comment>
    <comment ref="K85" authorId="0" shapeId="0">
      <text>
        <r>
          <rPr>
            <b/>
            <sz val="9"/>
            <color indexed="81"/>
            <rFont val="Tahoma"/>
            <family val="2"/>
          </rPr>
          <t>Eilidh Jane Forster:</t>
        </r>
        <r>
          <rPr>
            <sz val="9"/>
            <color indexed="81"/>
            <rFont val="Tahoma"/>
            <family val="2"/>
          </rPr>
          <t xml:space="preserve">
Assume 50% of pulp logs go to newsprint and 50% to paperboard.</t>
        </r>
      </text>
    </comment>
    <comment ref="V86" authorId="0" shapeId="0">
      <text>
        <r>
          <rPr>
            <b/>
            <sz val="9"/>
            <color indexed="81"/>
            <rFont val="Tahoma"/>
            <family val="2"/>
          </rPr>
          <t>Eilidh Jane Forster:</t>
        </r>
        <r>
          <rPr>
            <sz val="9"/>
            <color indexed="81"/>
            <rFont val="Tahoma"/>
            <family val="2"/>
          </rPr>
          <t xml:space="preserve">
assume only fencing material and fence poles are chemically treated.</t>
        </r>
      </text>
    </comment>
    <comment ref="AD94" authorId="0" shapeId="0">
      <text>
        <r>
          <rPr>
            <b/>
            <sz val="9"/>
            <color indexed="81"/>
            <rFont val="Tahoma"/>
            <family val="2"/>
          </rPr>
          <t>Eilidh Jane Forster:</t>
        </r>
        <r>
          <rPr>
            <sz val="9"/>
            <color indexed="81"/>
            <rFont val="Tahoma"/>
            <family val="2"/>
          </rPr>
          <t xml:space="preserve">
Use to calculated emissions from wood pellet production)</t>
        </r>
      </text>
    </comment>
    <comment ref="AD95" authorId="0" shapeId="0">
      <text>
        <r>
          <rPr>
            <b/>
            <sz val="9"/>
            <color indexed="81"/>
            <rFont val="Tahoma"/>
            <family val="2"/>
          </rPr>
          <t>Eilidh Jane Forster:</t>
        </r>
        <r>
          <rPr>
            <sz val="9"/>
            <color indexed="81"/>
            <rFont val="Tahoma"/>
            <family val="2"/>
          </rPr>
          <t xml:space="preserve">
Use to calculated emissions from wood pellet production)</t>
        </r>
      </text>
    </comment>
    <comment ref="A105" authorId="0" shapeId="0">
      <text>
        <r>
          <rPr>
            <b/>
            <sz val="9"/>
            <color indexed="81"/>
            <rFont val="Tahoma"/>
            <family val="2"/>
          </rPr>
          <t>Eilidh Jane Forster:</t>
        </r>
        <r>
          <rPr>
            <sz val="9"/>
            <color indexed="81"/>
            <rFont val="Tahoma"/>
            <family val="2"/>
          </rPr>
          <t xml:space="preserve">
Interrogation of Sankey diagram shows that around 14% of the sum of pallets/packaging, carcassing and wood panels and 'other' wood products consumed are recycled. Assume all other wood products end up at SWDS (These numbers don't include wood used for biomass and mulch, which are not collected since they end up in the environment directly). The Sankey diagram also shows a 65%:35% split between panel production (chipboard production because OSB and MDF use mainly virgin material) and biomass, respectively.
</t>
        </r>
      </text>
    </comment>
    <comment ref="A107" authorId="0" shapeId="0">
      <text>
        <r>
          <rPr>
            <b/>
            <sz val="9"/>
            <color indexed="81"/>
            <rFont val="Tahoma"/>
            <family val="2"/>
          </rPr>
          <t>Eilidh Jane Forster:</t>
        </r>
        <r>
          <rPr>
            <sz val="9"/>
            <color indexed="81"/>
            <rFont val="Tahoma"/>
            <family val="2"/>
          </rPr>
          <t xml:space="preserve">
From above comment, it follows then that 86% of all wood products (except biomass and mulch) are disposed of. </t>
        </r>
      </text>
    </comment>
    <comment ref="A109" authorId="0" shapeId="0">
      <text>
        <r>
          <rPr>
            <b/>
            <sz val="9"/>
            <color indexed="81"/>
            <rFont val="Tahoma"/>
            <family val="2"/>
          </rPr>
          <t>Eilidh Jane Forster:</t>
        </r>
        <r>
          <rPr>
            <sz val="9"/>
            <color indexed="81"/>
            <rFont val="Tahoma"/>
            <family val="2"/>
          </rPr>
          <t xml:space="preserve">
% of paper collected divided by % paper consumed. Sankey diagram shows that around 83% of paper consumed is collected for recycle. It is asusmed that 100% of this is used in paper production. The 17% paper not collected is assume to end up at SWDS.</t>
        </r>
      </text>
    </comment>
    <comment ref="C123" authorId="0" shapeId="0">
      <text>
        <r>
          <rPr>
            <b/>
            <sz val="9"/>
            <color indexed="81"/>
            <rFont val="Tahoma"/>
            <family val="2"/>
          </rPr>
          <t>Eilidh Jane Forster:</t>
        </r>
        <r>
          <rPr>
            <sz val="9"/>
            <color indexed="81"/>
            <rFont val="Tahoma"/>
            <family val="2"/>
          </rPr>
          <t xml:space="preserve">
From Defra's 2018 report 'UK Statistics on Waste dataset' this is the split for all uk waste going to incineration and landfill. (Using 2016 data)</t>
        </r>
      </text>
    </comment>
  </commentList>
</comments>
</file>

<file path=xl/comments2.xml><?xml version="1.0" encoding="utf-8"?>
<comments xmlns="http://schemas.openxmlformats.org/spreadsheetml/2006/main">
  <authors>
    <author>Eilidh Jane Forster</author>
  </authors>
  <commentList>
    <comment ref="A2" authorId="0" shapeId="0">
      <text>
        <r>
          <rPr>
            <b/>
            <sz val="9"/>
            <color indexed="81"/>
            <rFont val="Tahoma"/>
            <family val="2"/>
          </rPr>
          <t>Eilidh Jane Forster:</t>
        </r>
        <r>
          <rPr>
            <sz val="9"/>
            <color indexed="81"/>
            <rFont val="Tahoma"/>
            <family val="2"/>
          </rPr>
          <t xml:space="preserve">
Processes inside "" are exported from ecoinvent.</t>
        </r>
      </text>
    </comment>
    <comment ref="V4" authorId="0" shapeId="0">
      <text>
        <r>
          <rPr>
            <b/>
            <sz val="9"/>
            <color indexed="81"/>
            <rFont val="Tahoma"/>
            <family val="2"/>
          </rPr>
          <t>Eilidh Jane Forster:</t>
        </r>
        <r>
          <rPr>
            <sz val="9"/>
            <color indexed="81"/>
            <rFont val="Tahoma"/>
            <family val="2"/>
          </rPr>
          <t xml:space="preserve">
inlcudes nurseries</t>
        </r>
      </text>
    </comment>
    <comment ref="Z7" authorId="0" shapeId="0">
      <text>
        <r>
          <rPr>
            <b/>
            <sz val="9"/>
            <color indexed="81"/>
            <rFont val="Tahoma"/>
            <family val="2"/>
          </rPr>
          <t>Eilidh Jane Forster:</t>
        </r>
        <r>
          <rPr>
            <sz val="9"/>
            <color indexed="81"/>
            <rFont val="Tahoma"/>
            <family val="2"/>
          </rPr>
          <t xml:space="preserve">
Assumes that 40% of emissions are from resins use (as per Ecoinvent data for panel manufacturing)</t>
        </r>
      </text>
    </comment>
    <comment ref="B8" authorId="0" shapeId="0">
      <text>
        <r>
          <rPr>
            <b/>
            <sz val="9"/>
            <color indexed="81"/>
            <rFont val="Tahoma"/>
            <family val="2"/>
          </rPr>
          <t>Eilidh Jane Forster:</t>
        </r>
        <r>
          <rPr>
            <sz val="9"/>
            <color indexed="81"/>
            <rFont val="Tahoma"/>
            <family val="2"/>
          </rPr>
          <t xml:space="preserve">
C content of grassland biomass assumed to be same as forest biomass. IPCC default for grassland (AG only as BG already accounted for in C model) (table 6.4)</t>
        </r>
      </text>
    </comment>
    <comment ref="A10" authorId="0" shapeId="0">
      <text>
        <r>
          <rPr>
            <b/>
            <sz val="9"/>
            <color indexed="81"/>
            <rFont val="Tahoma"/>
            <family val="2"/>
          </rPr>
          <t>Eilidh Jane Forster:</t>
        </r>
        <r>
          <rPr>
            <sz val="9"/>
            <color indexed="81"/>
            <rFont val="Tahoma"/>
            <family val="2"/>
          </rPr>
          <t xml:space="preserve">
0.75lb per acre (assuming only planting rows are sprayed) = 0.34kg/acre = 0.84kg/ha
https://www.pioneer.com/home/site/us/agronomy/glyphosate-optimum-performance/</t>
        </r>
      </text>
    </comment>
    <comment ref="B10" authorId="0" shapeId="0">
      <text>
        <r>
          <rPr>
            <b/>
            <sz val="9"/>
            <color indexed="81"/>
            <rFont val="Tahoma"/>
            <family val="2"/>
          </rPr>
          <t>Eilidh Jane Forster:</t>
        </r>
        <r>
          <rPr>
            <sz val="9"/>
            <color indexed="81"/>
            <rFont val="Tahoma"/>
            <family val="2"/>
          </rPr>
          <t xml:space="preserve">
embodied emissions only</t>
        </r>
      </text>
    </comment>
    <comment ref="V11" authorId="0" shapeId="0">
      <text>
        <r>
          <rPr>
            <b/>
            <sz val="9"/>
            <color indexed="81"/>
            <rFont val="Tahoma"/>
            <family val="2"/>
          </rPr>
          <t>Eilidh Jane Forster:</t>
        </r>
        <r>
          <rPr>
            <sz val="9"/>
            <color indexed="81"/>
            <rFont val="Tahoma"/>
            <family val="2"/>
          </rPr>
          <t xml:space="preserve">
Total emissions from the sector (not includuing pulp and paper)</t>
        </r>
      </text>
    </comment>
    <comment ref="A13" authorId="0" shapeId="0">
      <text>
        <r>
          <rPr>
            <b/>
            <sz val="9"/>
            <color indexed="81"/>
            <rFont val="Tahoma"/>
            <family val="2"/>
          </rPr>
          <t>Eilidh Jane Forster:</t>
        </r>
        <r>
          <rPr>
            <sz val="9"/>
            <color indexed="81"/>
            <rFont val="Tahoma"/>
            <family val="2"/>
          </rPr>
          <t xml:space="preserve">
No. of trees set by planting density and area of stand (1ha @ 2m) Two plantings = 25000 x2</t>
        </r>
      </text>
    </comment>
    <comment ref="Q14" authorId="0" shapeId="0">
      <text>
        <r>
          <rPr>
            <b/>
            <sz val="9"/>
            <color indexed="81"/>
            <rFont val="Tahoma"/>
            <family val="2"/>
          </rPr>
          <t>Eilidh Jane Forster:</t>
        </r>
        <r>
          <rPr>
            <sz val="9"/>
            <color indexed="81"/>
            <rFont val="Tahoma"/>
            <family val="2"/>
          </rPr>
          <t xml:space="preserve">
This figure is manually inserted in order to account for the recycled waste wood input in addition to the virgin fibre from UK harvest value chain. </t>
        </r>
      </text>
    </comment>
    <comment ref="A15" authorId="0" shapeId="0">
      <text>
        <r>
          <rPr>
            <b/>
            <sz val="9"/>
            <color indexed="81"/>
            <rFont val="Tahoma"/>
            <family val="2"/>
          </rPr>
          <t>Eilidh Jane Forster:</t>
        </r>
        <r>
          <rPr>
            <sz val="9"/>
            <color indexed="81"/>
            <rFont val="Tahoma"/>
            <family val="2"/>
          </rPr>
          <t xml:space="preserve">
GH estimate - 15 hrs per hectare for a 15t 360 Excavator. Two plantings per 100 years.</t>
        </r>
      </text>
    </comment>
    <comment ref="Q15" authorId="0" shapeId="0">
      <text>
        <r>
          <rPr>
            <b/>
            <sz val="9"/>
            <color indexed="81"/>
            <rFont val="Tahoma"/>
            <family val="2"/>
          </rPr>
          <t>Eilidh Jane Forster:</t>
        </r>
        <r>
          <rPr>
            <sz val="9"/>
            <color indexed="81"/>
            <rFont val="Tahoma"/>
            <family val="2"/>
          </rPr>
          <t xml:space="preserve">
This figure is manually inserted in order to account for the recycled waste wood input in addition to the virgin fibre from UK harvest value chain. </t>
        </r>
      </text>
    </comment>
    <comment ref="Q16" authorId="0" shapeId="0">
      <text>
        <r>
          <rPr>
            <b/>
            <sz val="9"/>
            <color indexed="81"/>
            <rFont val="Tahoma"/>
            <family val="2"/>
          </rPr>
          <t>Eilidh Jane Forster:</t>
        </r>
        <r>
          <rPr>
            <sz val="9"/>
            <color indexed="81"/>
            <rFont val="Tahoma"/>
            <family val="2"/>
          </rPr>
          <t xml:space="preserve">
This figure only includes wood pellets manufactured in the UK, not those imported.</t>
        </r>
      </text>
    </comment>
    <comment ref="A17" authorId="0" shapeId="0">
      <text>
        <r>
          <rPr>
            <b/>
            <sz val="9"/>
            <color indexed="81"/>
            <rFont val="Tahoma"/>
            <family val="2"/>
          </rPr>
          <t>Eilidh Jane Forster:</t>
        </r>
        <r>
          <rPr>
            <sz val="9"/>
            <color indexed="81"/>
            <rFont val="Tahoma"/>
            <family val="2"/>
          </rPr>
          <t xml:space="preserve">
GH estimate - used against the weevil, two applications (or one) a year for two years.  416 grams/ha acetamiprid. Or 832 for two applications.</t>
        </r>
      </text>
    </comment>
    <comment ref="Q17" authorId="0" shapeId="0">
      <text>
        <r>
          <rPr>
            <b/>
            <sz val="9"/>
            <color indexed="81"/>
            <rFont val="Tahoma"/>
            <family val="2"/>
          </rPr>
          <t>Eilidh Jane Forster:</t>
        </r>
        <r>
          <rPr>
            <sz val="9"/>
            <color indexed="81"/>
            <rFont val="Tahoma"/>
            <family val="2"/>
          </rPr>
          <t xml:space="preserve">
This figure is manually inserted in order to account for paper produced from recycled paper and also imported pulp. </t>
        </r>
      </text>
    </comment>
    <comment ref="B20" authorId="0" shapeId="0">
      <text>
        <r>
          <rPr>
            <b/>
            <sz val="9"/>
            <color indexed="81"/>
            <rFont val="Tahoma"/>
            <family val="2"/>
          </rPr>
          <t>Eilidh Jane Forster:</t>
        </r>
        <r>
          <rPr>
            <sz val="9"/>
            <color indexed="81"/>
            <rFont val="Tahoma"/>
            <family val="2"/>
          </rPr>
          <t xml:space="preserve">
I can split this into biomass and DOM if desired.</t>
        </r>
      </text>
    </comment>
    <comment ref="Q20" authorId="0" shapeId="0">
      <text>
        <r>
          <rPr>
            <b/>
            <sz val="9"/>
            <color indexed="81"/>
            <rFont val="Tahoma"/>
            <family val="2"/>
          </rPr>
          <t>Eilidh Jane Forster:</t>
        </r>
        <r>
          <rPr>
            <sz val="9"/>
            <color indexed="81"/>
            <rFont val="Tahoma"/>
            <family val="2"/>
          </rPr>
          <t xml:space="preserve">
This figure is calculated from the WRA data on recovered wood used for biomass.</t>
        </r>
      </text>
    </comment>
    <comment ref="Q21" authorId="0" shapeId="0">
      <text>
        <r>
          <rPr>
            <b/>
            <sz val="9"/>
            <color indexed="81"/>
            <rFont val="Tahoma"/>
            <family val="2"/>
          </rPr>
          <t>Eilidh Jane Forster:</t>
        </r>
        <r>
          <rPr>
            <sz val="9"/>
            <color indexed="81"/>
            <rFont val="Tahoma"/>
            <family val="2"/>
          </rPr>
          <t xml:space="preserve">
This includes avoided emissions from use of virgin wood for construction and biomass electricity (using the model output) &amp; also the use of waste wood for biomass electricity (from WRA data for recovered wood waste used in this application i.e. 2,500,000,000tonnes per anum)</t>
        </r>
      </text>
    </comment>
    <comment ref="A22" authorId="0" shapeId="0">
      <text>
        <r>
          <rPr>
            <b/>
            <sz val="9"/>
            <color indexed="81"/>
            <rFont val="Tahoma"/>
            <family val="2"/>
          </rPr>
          <t>Eilidh Jane Forster:</t>
        </r>
        <r>
          <rPr>
            <sz val="9"/>
            <color indexed="81"/>
            <rFont val="Tahoma"/>
            <family val="2"/>
          </rPr>
          <t xml:space="preserve">
GH estimate - 7hrs Harvester and 7hrs Forwarder (per thin, 28 hrs for 2 thins)</t>
        </r>
      </text>
    </comment>
    <comment ref="A28" authorId="0" shapeId="0">
      <text>
        <r>
          <rPr>
            <b/>
            <sz val="9"/>
            <color indexed="81"/>
            <rFont val="Tahoma"/>
            <family val="2"/>
          </rPr>
          <t>Eilidh Jane Forster:</t>
        </r>
        <r>
          <rPr>
            <sz val="9"/>
            <color indexed="81"/>
            <rFont val="Tahoma"/>
            <family val="2"/>
          </rPr>
          <t xml:space="preserve">
GH - 32hrs Harvester and 32hrs forwarder (per harvest, so 128hrs for two harvest rotations)</t>
        </r>
      </text>
    </comment>
    <comment ref="A33" authorId="0" shapeId="0">
      <text>
        <r>
          <rPr>
            <b/>
            <sz val="9"/>
            <color indexed="81"/>
            <rFont val="Tahoma"/>
            <family val="2"/>
          </rPr>
          <t>Eilidh Jane Forster:</t>
        </r>
        <r>
          <rPr>
            <sz val="9"/>
            <color indexed="81"/>
            <rFont val="Tahoma"/>
            <family val="2"/>
          </rPr>
          <t xml:space="preserve">
GH estimate: Average journey 60km. Average load 26 tonnes. Wood for good EPD uses average distance 100km.
</t>
        </r>
      </text>
    </comment>
    <comment ref="A38" authorId="0" shapeId="0">
      <text>
        <r>
          <rPr>
            <b/>
            <sz val="9"/>
            <color indexed="81"/>
            <rFont val="Tahoma"/>
            <family val="2"/>
          </rPr>
          <t>Eilidh Jane Forster:</t>
        </r>
        <r>
          <rPr>
            <sz val="9"/>
            <color indexed="81"/>
            <rFont val="Tahoma"/>
            <family val="2"/>
          </rPr>
          <t xml:space="preserve">
All emissions from timber processing will be amalgamated for thin1, thin2, harvest1 and harvest2 for calculations as they don't affect C decay in HWP calculations.</t>
        </r>
      </text>
    </comment>
    <comment ref="I38" authorId="0" shapeId="0">
      <text>
        <r>
          <rPr>
            <b/>
            <sz val="9"/>
            <color indexed="81"/>
            <rFont val="Tahoma"/>
            <family val="2"/>
          </rPr>
          <t>Eilidh Jane Forster:</t>
        </r>
        <r>
          <rPr>
            <sz val="9"/>
            <color indexed="81"/>
            <rFont val="Tahoma"/>
            <family val="2"/>
          </rPr>
          <t xml:space="preserve">
https://www.statista.com/statistics/993838/papers-and-boards-production-united-kingdom/</t>
        </r>
      </text>
    </comment>
    <comment ref="I39" authorId="0" shapeId="0">
      <text>
        <r>
          <rPr>
            <b/>
            <sz val="9"/>
            <color indexed="81"/>
            <rFont val="Tahoma"/>
            <family val="2"/>
          </rPr>
          <t>Eilidh Jane Forster:</t>
        </r>
        <r>
          <rPr>
            <sz val="9"/>
            <color indexed="81"/>
            <rFont val="Tahoma"/>
            <family val="2"/>
          </rPr>
          <t xml:space="preserve">
Treat as Paperboard (corrugated board box)|</t>
        </r>
      </text>
    </comment>
    <comment ref="I40" authorId="0" shapeId="0">
      <text>
        <r>
          <rPr>
            <b/>
            <sz val="9"/>
            <color indexed="81"/>
            <rFont val="Tahoma"/>
            <family val="2"/>
          </rPr>
          <t>Eilidh Jane Forster:</t>
        </r>
        <r>
          <rPr>
            <sz val="9"/>
            <color indexed="81"/>
            <rFont val="Tahoma"/>
            <family val="2"/>
          </rPr>
          <t xml:space="preserve">
treat as Graphics paper (virgin newsprint)</t>
        </r>
      </text>
    </comment>
    <comment ref="I41" authorId="0" shapeId="0">
      <text>
        <r>
          <rPr>
            <b/>
            <sz val="9"/>
            <color indexed="81"/>
            <rFont val="Tahoma"/>
            <family val="2"/>
          </rPr>
          <t>Eilidh Jane Forster:</t>
        </r>
        <r>
          <rPr>
            <sz val="9"/>
            <color indexed="81"/>
            <rFont val="Tahoma"/>
            <family val="2"/>
          </rPr>
          <t xml:space="preserve">
treat as Graphics paper (recycled newsprint)</t>
        </r>
      </text>
    </comment>
    <comment ref="A43" authorId="0" shapeId="0">
      <text>
        <r>
          <rPr>
            <b/>
            <sz val="9"/>
            <color indexed="81"/>
            <rFont val="Tahoma"/>
            <family val="2"/>
          </rPr>
          <t>Eilidh Jane Forster:</t>
        </r>
        <r>
          <rPr>
            <sz val="9"/>
            <color indexed="81"/>
            <rFont val="Tahoma"/>
            <family val="2"/>
          </rPr>
          <t xml:space="preserve">
Includes chipping of residue.</t>
        </r>
      </text>
    </comment>
    <comment ref="L45" authorId="0" shapeId="0">
      <text>
        <r>
          <rPr>
            <b/>
            <sz val="9"/>
            <color indexed="81"/>
            <rFont val="Tahoma"/>
            <family val="2"/>
          </rPr>
          <t>Eilidh Jane Forster:</t>
        </r>
        <r>
          <rPr>
            <sz val="9"/>
            <color indexed="81"/>
            <rFont val="Tahoma"/>
            <family val="2"/>
          </rPr>
          <t xml:space="preserve">
The 'material flow' sheet and the calculated data extracted from rows A-H on this sheet do not include recovered wood. Further calcuations are needed to scale the wood panel production emissions up to actual production levels (by including the recovered wood element) and also scaling up the avoided emissions from recovered waste used for biofuel (again by including the recovered waste contribution).</t>
        </r>
      </text>
    </comment>
    <comment ref="A46" authorId="0" shapeId="0">
      <text>
        <r>
          <rPr>
            <b/>
            <sz val="9"/>
            <color indexed="81"/>
            <rFont val="Tahoma"/>
            <family val="2"/>
          </rPr>
          <t>Eilidh Jane Forster:</t>
        </r>
        <r>
          <rPr>
            <sz val="9"/>
            <color indexed="81"/>
            <rFont val="Tahoma"/>
            <family val="2"/>
          </rPr>
          <t xml:space="preserve">
Assume no volume lost on drying.</t>
        </r>
      </text>
    </comment>
    <comment ref="L47" authorId="0" shapeId="0">
      <text>
        <r>
          <rPr>
            <b/>
            <sz val="9"/>
            <color indexed="81"/>
            <rFont val="Tahoma"/>
            <family val="2"/>
          </rPr>
          <t>Eilidh Jane Forster:</t>
        </r>
        <r>
          <rPr>
            <sz val="9"/>
            <color indexed="81"/>
            <rFont val="Tahoma"/>
            <family val="2"/>
          </rPr>
          <t xml:space="preserve">
https://wpif.org.uk/Industry_Statistics
Wet tonnes</t>
        </r>
      </text>
    </comment>
    <comment ref="A49" authorId="0" shapeId="0">
      <text>
        <r>
          <rPr>
            <b/>
            <sz val="9"/>
            <color indexed="81"/>
            <rFont val="Tahoma"/>
            <family val="2"/>
          </rPr>
          <t>Eilidh Jane Forster:</t>
        </r>
        <r>
          <rPr>
            <sz val="9"/>
            <color indexed="81"/>
            <rFont val="Tahoma"/>
            <family val="2"/>
          </rPr>
          <t xml:space="preserve">
Assume only carcassing material is planed.</t>
        </r>
      </text>
    </comment>
    <comment ref="A52" authorId="0" shapeId="0">
      <text>
        <r>
          <rPr>
            <b/>
            <sz val="9"/>
            <color indexed="81"/>
            <rFont val="Tahoma"/>
            <family val="2"/>
          </rPr>
          <t>Eilidh Jane Forster:</t>
        </r>
        <r>
          <rPr>
            <sz val="9"/>
            <color indexed="81"/>
            <rFont val="Tahoma"/>
            <family val="2"/>
          </rPr>
          <t xml:space="preserve">
Treatment of fence poles and fencing only. i.e. outdoor use timber. - Need to check this assumption. I think all wood is treated (for indoor use) and then some is treated differently (for outdoor use). Might need to add another chemical treatment process.</t>
        </r>
      </text>
    </comment>
    <comment ref="K54" authorId="0" shapeId="0">
      <text>
        <r>
          <rPr>
            <b/>
            <sz val="9"/>
            <color indexed="81"/>
            <rFont val="Tahoma"/>
            <family val="2"/>
          </rPr>
          <t>Eilidh Jane Forster:</t>
        </r>
        <r>
          <rPr>
            <sz val="9"/>
            <color indexed="81"/>
            <rFont val="Tahoma"/>
            <family val="2"/>
          </rPr>
          <t xml:space="preserve">
Around 400k tonnes of fibreboard are recovered every year. This equates to 49% of UK production every year.</t>
        </r>
      </text>
    </comment>
    <comment ref="L54" authorId="0" shapeId="0">
      <text>
        <r>
          <rPr>
            <b/>
            <sz val="9"/>
            <color indexed="81"/>
            <rFont val="Tahoma"/>
            <family val="2"/>
          </rPr>
          <t>Eilidh Jane Forster:</t>
        </r>
        <r>
          <rPr>
            <sz val="9"/>
            <color indexed="81"/>
            <rFont val="Tahoma"/>
            <family val="2"/>
          </rPr>
          <t xml:space="preserve">
Treat as 'particle board production' in calculations</t>
        </r>
      </text>
    </comment>
    <comment ref="A66" authorId="0" shapeId="0">
      <text>
        <r>
          <rPr>
            <b/>
            <sz val="9"/>
            <color indexed="81"/>
            <rFont val="Tahoma"/>
            <family val="2"/>
          </rPr>
          <t>Eilidh Jane Forster:</t>
        </r>
        <r>
          <rPr>
            <sz val="9"/>
            <color indexed="81"/>
            <rFont val="Tahoma"/>
            <family val="2"/>
          </rPr>
          <t xml:space="preserve">
Assumed some burned in heat plant and some burned in power plant. 
Boundary of heat production process is delivery of wet woodchips to factory… to heat output at factory gate. Hence chipping of biomass logs is included as a separate process in this section, followed by the heat/power generation from all biomass fuel material (measured in dry mass). Drying of woodchips is included in the combustion process so a separate process is not required for this.
Currently no representation of biomass power plant in ecoinvent so can't calculate embodied emissions. However, pelletisation is assumed to be a separate process so it calculated separately.
(FF displacement effects dealt with elsewhere.)</t>
        </r>
      </text>
    </comment>
    <comment ref="N69" authorId="0" shapeId="0">
      <text>
        <r>
          <rPr>
            <b/>
            <sz val="9"/>
            <color indexed="81"/>
            <rFont val="Tahoma"/>
            <family val="2"/>
          </rPr>
          <t>Eilidh Jane Forster:</t>
        </r>
        <r>
          <rPr>
            <sz val="9"/>
            <color indexed="81"/>
            <rFont val="Tahoma"/>
            <family val="2"/>
          </rPr>
          <t xml:space="preserve">
I assume the WRA data on collected wood waste used in bioenergy - 2.5million tonnes per annum - is for wood at around 20% moisture so modified to get dry weight equivalent. I then subtracted 400k tonnes from this to divert recovered MDF to MDF recycling.</t>
        </r>
      </text>
    </comment>
    <comment ref="N70" authorId="0" shapeId="0">
      <text>
        <r>
          <rPr>
            <b/>
            <sz val="9"/>
            <color indexed="81"/>
            <rFont val="Tahoma"/>
            <family val="2"/>
          </rPr>
          <t>Eilidh Jane Forster:</t>
        </r>
        <r>
          <rPr>
            <sz val="9"/>
            <color indexed="81"/>
            <rFont val="Tahoma"/>
            <family val="2"/>
          </rPr>
          <t xml:space="preserve">
This assumes that 50% of the biomass is used for electricity generation and counts as avoided emissions. The other 50% has no substution benefits. I need to check this and determine if this is reasonable. E.g. is the marginal energy source an alternative renewable energy rather than fossil fuels?? </t>
        </r>
      </text>
    </comment>
    <comment ref="A72" authorId="0" shapeId="0">
      <text>
        <r>
          <rPr>
            <b/>
            <sz val="9"/>
            <color indexed="81"/>
            <rFont val="Tahoma"/>
            <family val="2"/>
          </rPr>
          <t>Eilidh Jane Forster:</t>
        </r>
        <r>
          <rPr>
            <sz val="9"/>
            <color indexed="81"/>
            <rFont val="Tahoma"/>
            <family val="2"/>
          </rPr>
          <t xml:space="preserve">
Assumed that wood going to electricity generation is pelleted.</t>
        </r>
      </text>
    </comment>
    <comment ref="N74" authorId="0" shapeId="0">
      <text>
        <r>
          <rPr>
            <b/>
            <sz val="9"/>
            <color indexed="81"/>
            <rFont val="Tahoma"/>
            <family val="2"/>
          </rPr>
          <t>Eilidh Jane Forster:</t>
        </r>
        <r>
          <rPr>
            <sz val="9"/>
            <color indexed="81"/>
            <rFont val="Tahoma"/>
            <family val="2"/>
          </rPr>
          <t xml:space="preserve">
Assume 20% moisture</t>
        </r>
      </text>
    </comment>
    <comment ref="A76" authorId="0" shapeId="0">
      <text>
        <r>
          <rPr>
            <b/>
            <sz val="9"/>
            <color indexed="81"/>
            <rFont val="Tahoma"/>
            <family val="2"/>
          </rPr>
          <t>Eilidh Jane Forster:</t>
        </r>
        <r>
          <rPr>
            <sz val="9"/>
            <color indexed="81"/>
            <rFont val="Tahoma"/>
            <family val="2"/>
          </rPr>
          <t xml:space="preserve">
Ecoinvent process for heat production plant emissions with woodchip input set to zero, so embodied emissions accounted for are only for the plant and consumables. 
</t>
        </r>
      </text>
    </comment>
    <comment ref="L78" authorId="0" shapeId="0">
      <text>
        <r>
          <rPr>
            <b/>
            <sz val="9"/>
            <color indexed="81"/>
            <rFont val="Tahoma"/>
            <family val="2"/>
          </rPr>
          <t>Eilidh Jane Forster:</t>
        </r>
        <r>
          <rPr>
            <sz val="9"/>
            <color indexed="81"/>
            <rFont val="Tahoma"/>
            <family val="2"/>
          </rPr>
          <t xml:space="preserve">
Includes extra carcassing, fencing and 'permanent' storage in MDF...</t>
        </r>
      </text>
    </comment>
    <comment ref="O78" authorId="0" shapeId="0">
      <text>
        <r>
          <rPr>
            <b/>
            <sz val="9"/>
            <color indexed="81"/>
            <rFont val="Tahoma"/>
            <family val="2"/>
          </rPr>
          <t>Eilidh Jane Forster:</t>
        </r>
        <r>
          <rPr>
            <sz val="9"/>
            <color indexed="81"/>
            <rFont val="Tahoma"/>
            <family val="2"/>
          </rPr>
          <t xml:space="preserve">
This is due to the increased conversioni to sawnwood products and the indefinite storage of C in MDF. 
MDF calc:
This assumes that the uplift of C storage benefit equates to roughtly half of the C ctonent of the MDF. There is already a C storage benefit of MDF due to a 20yr product half life. Therefore over 50 yrs the uplift is roughly half the C contrent of the product.  See workbook '220607 LCA_Master_50BL50C SSYC18_UK', sheet 'HWP' cells Y96-Y101 for calculation showing this. 
Also see sheet 'HWP' cells Y93-Y100  in this workbook for the sawnwood products uplift.</t>
        </r>
      </text>
    </comment>
    <comment ref="L79" authorId="0" shapeId="0">
      <text>
        <r>
          <rPr>
            <b/>
            <sz val="9"/>
            <color indexed="81"/>
            <rFont val="Tahoma"/>
            <family val="2"/>
          </rPr>
          <t>Eilidh Jane Forster:</t>
        </r>
        <r>
          <rPr>
            <sz val="9"/>
            <color indexed="81"/>
            <rFont val="Tahoma"/>
            <family val="2"/>
          </rPr>
          <t xml:space="preserve">
Assume energy consumption is cut by 50% (reasonable projection based on LCA provided by CBartlett) then avoided emissions are in the range of 25% of total MDF manufacturing emissions, since energy accounts for roughly 50% of emissions. This also assumes that the energy source is the same mix of renewables and fossil fuels for vMDF and rMDF.</t>
        </r>
      </text>
    </comment>
    <comment ref="O79" authorId="0" shapeId="0">
      <text>
        <r>
          <rPr>
            <b/>
            <sz val="9"/>
            <color indexed="81"/>
            <rFont val="Tahoma"/>
            <family val="2"/>
          </rPr>
          <t>Eilidh Jane Forster:</t>
        </r>
        <r>
          <rPr>
            <sz val="9"/>
            <color indexed="81"/>
            <rFont val="Tahoma"/>
            <family val="2"/>
          </rPr>
          <t xml:space="preserve">
This is accounted for in fibreboard emissions category, not in the avoided emissions category (cell T15)</t>
        </r>
      </text>
    </comment>
    <comment ref="A80"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L81" authorId="0" shapeId="0">
      <text>
        <r>
          <rPr>
            <b/>
            <sz val="9"/>
            <color indexed="81"/>
            <rFont val="Tahoma"/>
            <family val="2"/>
          </rPr>
          <t>Eilidh Jane Forster:</t>
        </r>
        <r>
          <rPr>
            <sz val="9"/>
            <color indexed="81"/>
            <rFont val="Tahoma"/>
            <family val="2"/>
          </rPr>
          <t xml:space="preserve">
Recycling MDF results in real reduction of energy production which indirectly results in reduced harvest demand (from import countries in this case).</t>
        </r>
      </text>
    </comment>
    <comment ref="R85" authorId="0" shapeId="0">
      <text>
        <r>
          <rPr>
            <b/>
            <sz val="9"/>
            <color indexed="81"/>
            <rFont val="Tahoma"/>
            <family val="2"/>
          </rPr>
          <t>Eilidh Jane Forster:</t>
        </r>
        <r>
          <rPr>
            <sz val="9"/>
            <color indexed="81"/>
            <rFont val="Tahoma"/>
            <family val="2"/>
          </rPr>
          <t xml:space="preserve">
pasted from '220510 Total ecosystem C - all data', rot54. </t>
        </r>
      </text>
    </comment>
    <comment ref="L93" authorId="0" shapeId="0">
      <text>
        <r>
          <rPr>
            <b/>
            <sz val="9"/>
            <color indexed="81"/>
            <rFont val="Tahoma"/>
            <family val="2"/>
          </rPr>
          <t>Eilidh Jane Forster:</t>
        </r>
        <r>
          <rPr>
            <sz val="9"/>
            <color indexed="81"/>
            <rFont val="Tahoma"/>
            <family val="2"/>
          </rPr>
          <t xml:space="preserve">
ignoring the impact of 'other' category </t>
        </r>
      </text>
    </comment>
    <comment ref="O101" authorId="0" shapeId="0">
      <text>
        <r>
          <rPr>
            <b/>
            <sz val="9"/>
            <color indexed="81"/>
            <rFont val="Tahoma"/>
            <family val="2"/>
          </rPr>
          <t>Eilidh Jane Forster:</t>
        </r>
        <r>
          <rPr>
            <sz val="9"/>
            <color indexed="81"/>
            <rFont val="Tahoma"/>
            <family val="2"/>
          </rPr>
          <t xml:space="preserve">
assumes 10% moistused ure
(conversion factor is for 20% moisture so I  have converted to 10%)</t>
        </r>
      </text>
    </comment>
    <comment ref="P101" authorId="0" shapeId="0">
      <text>
        <r>
          <rPr>
            <b/>
            <sz val="9"/>
            <color indexed="81"/>
            <rFont val="Tahoma"/>
            <family val="2"/>
          </rPr>
          <t>Eilidh Jane Forster:</t>
        </r>
        <r>
          <rPr>
            <sz val="9"/>
            <color indexed="81"/>
            <rFont val="Tahoma"/>
            <family val="2"/>
          </rPr>
          <t xml:space="preserve">
units kg CO2e per kg</t>
        </r>
      </text>
    </comment>
    <comment ref="O102" authorId="0" shapeId="0">
      <text>
        <r>
          <rPr>
            <b/>
            <sz val="9"/>
            <color indexed="81"/>
            <rFont val="Tahoma"/>
            <family val="2"/>
          </rPr>
          <t>Eilidh Jane Forster:</t>
        </r>
        <r>
          <rPr>
            <sz val="9"/>
            <color indexed="81"/>
            <rFont val="Tahoma"/>
            <family val="2"/>
          </rPr>
          <t xml:space="preserve">
This is the % change in inports as a result of the change in material flow from baseline scenario</t>
        </r>
      </text>
    </comment>
    <comment ref="O103" authorId="0" shapeId="0">
      <text>
        <r>
          <rPr>
            <b/>
            <sz val="9"/>
            <color indexed="81"/>
            <rFont val="Tahoma"/>
            <family val="2"/>
          </rPr>
          <t>Eilidh Jane Forster:</t>
        </r>
        <r>
          <rPr>
            <sz val="9"/>
            <color indexed="81"/>
            <rFont val="Tahoma"/>
            <family val="2"/>
          </rPr>
          <t xml:space="preserve">
This is the the baseline tonnes of imports (not inlcuding pulp and paper related products), calculated in cell G46 of my original UK timber material flow data spreadsheet from FR data. </t>
        </r>
      </text>
    </comment>
    <comment ref="A106" authorId="0" shapeId="0">
      <text>
        <r>
          <rPr>
            <b/>
            <sz val="9"/>
            <color indexed="81"/>
            <rFont val="Tahoma"/>
            <family val="2"/>
          </rPr>
          <t>Eilidh Jane Forster:</t>
        </r>
        <r>
          <rPr>
            <sz val="9"/>
            <color indexed="81"/>
            <rFont val="Tahoma"/>
            <family val="2"/>
          </rPr>
          <t xml:space="preserve">
Assumed all recycled wood going to biomass energy used for power generation. 
Currently no representation of biomass power plant in ecoinvent so can't calculated embodied emissions. However, pelletisation is assumed to be a separate process so it calculated separately.
(FF displacement effects dealt with elsewhere.)</t>
        </r>
      </text>
    </comment>
    <comment ref="A108"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A111" authorId="0" shapeId="0">
      <text>
        <r>
          <rPr>
            <b/>
            <sz val="9"/>
            <color indexed="81"/>
            <rFont val="Tahoma"/>
            <family val="2"/>
          </rPr>
          <t>Eilidh Jane Forster:</t>
        </r>
        <r>
          <rPr>
            <sz val="9"/>
            <color indexed="81"/>
            <rFont val="Tahoma"/>
            <family val="2"/>
          </rPr>
          <t xml:space="preserve">
Assumed to be burned in a CHP plant in order to account for emissions on combustion. (FF displacement effects dealt with elsewhere.) Boundary of this process is delivery of wet woodchips to factory… to heat and power output at factory gate. Hence chipping of biomass logs is included as a separate process in this section, followed by the heat/power generation from all biomass fuel material (measured in dry mass). Drying of woodchips is included in the combustion process so a separate process is not required for this.</t>
        </r>
      </text>
    </comment>
    <comment ref="A113"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A122" authorId="0" shapeId="0">
      <text>
        <r>
          <rPr>
            <b/>
            <sz val="9"/>
            <color indexed="81"/>
            <rFont val="Tahoma"/>
            <family val="2"/>
          </rPr>
          <t>Eilidh Jane Forster:</t>
        </r>
        <r>
          <rPr>
            <sz val="9"/>
            <color indexed="81"/>
            <rFont val="Tahoma"/>
            <family val="2"/>
          </rPr>
          <t xml:space="preserve">
Haven't accounted for embodied emissions from infrastructure here as will be insignificant.</t>
        </r>
      </text>
    </comment>
    <comment ref="A130" authorId="0" shapeId="0">
      <text>
        <r>
          <rPr>
            <b/>
            <sz val="9"/>
            <color indexed="81"/>
            <rFont val="Tahoma"/>
            <family val="2"/>
          </rPr>
          <t>Eilidh Jane Forster:</t>
        </r>
        <r>
          <rPr>
            <sz val="9"/>
            <color indexed="81"/>
            <rFont val="Tahoma"/>
            <family val="2"/>
          </rPr>
          <t xml:space="preserve">
Doesn't account for biogenic C, only embodied C. 
Accounts for losses at construction site.</t>
        </r>
      </text>
    </comment>
    <comment ref="C134" authorId="0" shapeId="0">
      <text>
        <r>
          <rPr>
            <b/>
            <sz val="9"/>
            <color indexed="81"/>
            <rFont val="Tahoma"/>
            <family val="2"/>
          </rPr>
          <t>Eilidh Jane Forster:</t>
        </r>
        <r>
          <rPr>
            <sz val="9"/>
            <color indexed="81"/>
            <rFont val="Tahoma"/>
            <family val="2"/>
          </rPr>
          <t xml:space="preserve">
Currently set to zero to avoid awarding FF substitution credit to biomass (heat) used in sawmill kiln - this is currently the only use of biomass (heat) in this value chain.</t>
        </r>
      </text>
    </comment>
    <comment ref="C136" authorId="0" shapeId="0">
      <text>
        <r>
          <rPr>
            <b/>
            <sz val="9"/>
            <color indexed="81"/>
            <rFont val="Tahoma"/>
            <family val="2"/>
          </rPr>
          <t>Eilidh Jane Forster:</t>
        </r>
        <r>
          <rPr>
            <sz val="9"/>
            <color indexed="81"/>
            <rFont val="Tahoma"/>
            <family val="2"/>
          </rPr>
          <t xml:space="preserve">
Currently set to zero to avoid awarding FF substitution credit to biomass (heat) used in sawmill kiln - this is currently the only use of biomass (heat) in this value chain.</t>
        </r>
      </text>
    </comment>
    <comment ref="A138" authorId="0" shapeId="0">
      <text>
        <r>
          <rPr>
            <b/>
            <sz val="9"/>
            <color indexed="81"/>
            <rFont val="Tahoma"/>
            <family val="2"/>
          </rPr>
          <t>Eilidh Jane Forster:</t>
        </r>
        <r>
          <rPr>
            <sz val="9"/>
            <color indexed="81"/>
            <rFont val="Tahoma"/>
            <family val="2"/>
          </rPr>
          <t xml:space="preserve">
Accounts for carcassing loss during construction, due to offcuts etc.
Embodied emissions from combustion infrastructure and biogenic emissions not calculated elsewhere - assumed to be negligible and zero, respectively.</t>
        </r>
      </text>
    </comment>
  </commentList>
</comments>
</file>

<file path=xl/comments3.xml><?xml version="1.0" encoding="utf-8"?>
<comments xmlns="http://schemas.openxmlformats.org/spreadsheetml/2006/main">
  <authors>
    <author>Eilidh Jane Forster</author>
  </authors>
  <commentList>
    <comment ref="A5" authorId="0" shapeId="0">
      <text>
        <r>
          <rPr>
            <b/>
            <sz val="9"/>
            <color indexed="81"/>
            <rFont val="Tahoma"/>
            <family val="2"/>
          </rPr>
          <t>Eilidh Jane Forster:</t>
        </r>
        <r>
          <rPr>
            <sz val="9"/>
            <color indexed="81"/>
            <rFont val="Tahoma"/>
            <family val="2"/>
          </rPr>
          <t xml:space="preserve">
Updated this from 'market for tree seedlings, which was a blend of heated and unheated greenhouses'</t>
        </r>
      </text>
    </comment>
    <comment ref="D9" authorId="0" shapeId="0">
      <text>
        <r>
          <rPr>
            <b/>
            <sz val="9"/>
            <color indexed="81"/>
            <rFont val="Tahoma"/>
            <family val="2"/>
          </rPr>
          <t>Eilidh Jane Forster:</t>
        </r>
        <r>
          <rPr>
            <sz val="9"/>
            <color indexed="81"/>
            <rFont val="Tahoma"/>
            <family val="2"/>
          </rPr>
          <t xml:space="preserve">
of debarked green timber</t>
        </r>
      </text>
    </comment>
    <comment ref="D10" authorId="0" shapeId="0">
      <text>
        <r>
          <rPr>
            <b/>
            <sz val="9"/>
            <color indexed="81"/>
            <rFont val="Tahoma"/>
            <family val="2"/>
          </rPr>
          <t>Eilidh Jane Forster:</t>
        </r>
        <r>
          <rPr>
            <sz val="9"/>
            <color indexed="81"/>
            <rFont val="Tahoma"/>
            <family val="2"/>
          </rPr>
          <t xml:space="preserve">
sawnwood</t>
        </r>
      </text>
    </comment>
    <comment ref="D11" authorId="0" shapeId="0">
      <text>
        <r>
          <rPr>
            <b/>
            <sz val="9"/>
            <color indexed="81"/>
            <rFont val="Tahoma"/>
            <family val="2"/>
          </rPr>
          <t>Eilidh Jane Forster:</t>
        </r>
        <r>
          <rPr>
            <sz val="9"/>
            <color indexed="81"/>
            <rFont val="Tahoma"/>
            <family val="2"/>
          </rPr>
          <t xml:space="preserve">
of dried sawnwood</t>
        </r>
      </text>
    </comment>
    <comment ref="D13" authorId="0" shapeId="0">
      <text>
        <r>
          <rPr>
            <b/>
            <sz val="9"/>
            <color indexed="81"/>
            <rFont val="Tahoma"/>
            <family val="2"/>
          </rPr>
          <t>Eilidh Jane Forster:</t>
        </r>
        <r>
          <rPr>
            <sz val="9"/>
            <color indexed="81"/>
            <rFont val="Tahoma"/>
            <family val="2"/>
          </rPr>
          <t xml:space="preserve">
measured as dry mass</t>
        </r>
      </text>
    </comment>
    <comment ref="D14" authorId="0" shapeId="0">
      <text>
        <r>
          <rPr>
            <b/>
            <sz val="9"/>
            <color indexed="81"/>
            <rFont val="Tahoma"/>
            <family val="2"/>
          </rPr>
          <t>Eilidh Jane Forster:</t>
        </r>
        <r>
          <rPr>
            <sz val="9"/>
            <color indexed="81"/>
            <rFont val="Tahoma"/>
            <family val="2"/>
          </rPr>
          <t xml:space="preserve">
measured as dry mass</t>
        </r>
      </text>
    </comment>
    <comment ref="A43" authorId="0" shapeId="0">
      <text>
        <r>
          <rPr>
            <b/>
            <sz val="9"/>
            <color indexed="81"/>
            <rFont val="Tahoma"/>
            <family val="2"/>
          </rPr>
          <t>Eilidh Jane Forster:</t>
        </r>
        <r>
          <rPr>
            <sz val="9"/>
            <color indexed="81"/>
            <rFont val="Tahoma"/>
            <family val="2"/>
          </rPr>
          <t xml:space="preserve">
Woodchips set to zero, so only accounts for emissions associated with infrastructure and consumables.</t>
        </r>
      </text>
    </comment>
    <comment ref="A48" authorId="0" shapeId="0">
      <text>
        <r>
          <rPr>
            <b/>
            <sz val="9"/>
            <color indexed="81"/>
            <rFont val="Tahoma"/>
            <family val="2"/>
          </rPr>
          <t>Eilidh Jane Forster:</t>
        </r>
        <r>
          <rPr>
            <sz val="9"/>
            <color indexed="81"/>
            <rFont val="Tahoma"/>
            <family val="2"/>
          </rPr>
          <t xml:space="preserve">
Includes embodied energy in manufacture of equipment, as well as other consumables within the plant. Also includes embodied emissions in woodchip production, but not biogenic woodchip emissions.</t>
        </r>
      </text>
    </comment>
    <comment ref="A49" authorId="0" shapeId="0">
      <text>
        <r>
          <rPr>
            <b/>
            <sz val="9"/>
            <color indexed="81"/>
            <rFont val="Tahoma"/>
            <family val="2"/>
          </rPr>
          <t>Eilidh Jane Forster:</t>
        </r>
        <r>
          <rPr>
            <sz val="9"/>
            <color indexed="81"/>
            <rFont val="Tahoma"/>
            <family val="2"/>
          </rPr>
          <t xml:space="preserve">
Includes embodied energy in manufacture of equipment, as well as other consumables within the plant. However, woodchip input was set to zero so doesn't include embodied emissions in woodchip production. Neither does it include biogenic woodchip emissions.</t>
        </r>
      </text>
    </comment>
  </commentList>
</comments>
</file>

<file path=xl/comments4.xml><?xml version="1.0" encoding="utf-8"?>
<comments xmlns="http://schemas.openxmlformats.org/spreadsheetml/2006/main">
  <authors>
    <author>Eilidh Jane Forster</author>
  </authors>
  <commentList>
    <comment ref="Q107" authorId="0" shapeId="0">
      <text>
        <r>
          <rPr>
            <b/>
            <sz val="9"/>
            <color indexed="81"/>
            <rFont val="Tahoma"/>
            <family val="2"/>
          </rPr>
          <t>Eilidh Jane Forster:</t>
        </r>
        <r>
          <rPr>
            <sz val="9"/>
            <color indexed="81"/>
            <rFont val="Tahoma"/>
            <family val="2"/>
          </rPr>
          <t xml:space="preserve">
Lamlom and Savidge (2003)</t>
        </r>
      </text>
    </comment>
    <comment ref="R108" authorId="0" shapeId="0">
      <text>
        <r>
          <rPr>
            <b/>
            <sz val="9"/>
            <color indexed="81"/>
            <rFont val="Tahoma"/>
            <family val="2"/>
          </rPr>
          <t>Eilidh Jane Forster:</t>
        </r>
        <r>
          <rPr>
            <sz val="9"/>
            <color indexed="81"/>
            <rFont val="Tahoma"/>
            <family val="2"/>
          </rPr>
          <t xml:space="preserve">
Caclulated from https://www.engineeringtoolbox.com/weigt-wood-d_821.html</t>
        </r>
      </text>
    </comment>
    <comment ref="Q109" authorId="0" shapeId="0">
      <text>
        <r>
          <rPr>
            <b/>
            <sz val="9"/>
            <color indexed="81"/>
            <rFont val="Tahoma"/>
            <family val="2"/>
          </rPr>
          <t>Eilidh Jane Forster:</t>
        </r>
        <r>
          <rPr>
            <sz val="9"/>
            <color indexed="81"/>
            <rFont val="Tahoma"/>
            <family val="2"/>
          </rPr>
          <t xml:space="preserve">
https://extension.psu.edu/calculating-the-green-weight-of-wood-species#section-2 </t>
        </r>
      </text>
    </comment>
  </commentList>
</comments>
</file>

<file path=xl/comments5.xml><?xml version="1.0" encoding="utf-8"?>
<comments xmlns="http://schemas.openxmlformats.org/spreadsheetml/2006/main">
  <authors>
    <author>Eilidh Jane Forster</author>
  </authors>
  <commentList>
    <comment ref="K17" authorId="0" shapeId="0">
      <text>
        <r>
          <rPr>
            <b/>
            <sz val="9"/>
            <color indexed="81"/>
            <rFont val="Tahoma"/>
            <family val="2"/>
          </rPr>
          <t>Eilidh Jane Forster:</t>
        </r>
        <r>
          <rPr>
            <sz val="9"/>
            <color indexed="81"/>
            <rFont val="Tahoma"/>
            <family val="2"/>
          </rPr>
          <t xml:space="preserve">
Lamlom and Savidge (2003)</t>
        </r>
      </text>
    </comment>
    <comment ref="G24" authorId="0" shapeId="0">
      <text>
        <r>
          <rPr>
            <b/>
            <sz val="9"/>
            <color indexed="81"/>
            <rFont val="Tahoma"/>
            <family val="2"/>
          </rPr>
          <t>Eilidh Jane Forster:</t>
        </r>
        <r>
          <rPr>
            <sz val="9"/>
            <color indexed="81"/>
            <rFont val="Tahoma"/>
            <family val="2"/>
          </rPr>
          <t xml:space="preserve">
These are used to calculate FF avoided emissions from biomass use.</t>
        </r>
      </text>
    </comment>
    <comment ref="I24" authorId="0" shapeId="0">
      <text>
        <r>
          <rPr>
            <b/>
            <sz val="9"/>
            <color indexed="81"/>
            <rFont val="Tahoma"/>
            <family val="2"/>
          </rPr>
          <t>Eilidh Jane Forster:</t>
        </r>
        <r>
          <rPr>
            <sz val="9"/>
            <color indexed="81"/>
            <rFont val="Tahoma"/>
            <family val="2"/>
          </rPr>
          <t xml:space="preserve">
These are used to calculate FF avoided emissions from biomass use.</t>
        </r>
      </text>
    </comment>
    <comment ref="T30" authorId="0" shapeId="0">
      <text>
        <r>
          <rPr>
            <b/>
            <sz val="9"/>
            <color indexed="81"/>
            <rFont val="Tahoma"/>
            <family val="2"/>
          </rPr>
          <t>Eilidh Jane Forster:</t>
        </r>
        <r>
          <rPr>
            <sz val="9"/>
            <color indexed="81"/>
            <rFont val="Tahoma"/>
            <family val="2"/>
          </rPr>
          <t xml:space="preserve">
Consider attempting calculation of UK specific half lives instead of these values - using method in table 2.8.3 in IPCC ch2 revised supplementary methods and GPG.
 </t>
        </r>
      </text>
    </comment>
    <comment ref="S31"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3a.1.3</t>
        </r>
      </text>
    </comment>
    <comment ref="T31"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2"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T32"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3" authorId="0" shapeId="0">
      <text>
        <r>
          <rPr>
            <b/>
            <sz val="9"/>
            <color indexed="81"/>
            <rFont val="Tahoma"/>
            <family val="2"/>
          </rPr>
          <t>Eilidh Jane Forster:</t>
        </r>
        <r>
          <rPr>
            <sz val="9"/>
            <color indexed="81"/>
            <rFont val="Tahoma"/>
            <family val="2"/>
          </rPr>
          <t xml:space="preserve">
assume burns within 1 yr</t>
        </r>
      </text>
    </comment>
    <comment ref="T33" authorId="0" shapeId="0">
      <text>
        <r>
          <rPr>
            <b/>
            <sz val="9"/>
            <color indexed="81"/>
            <rFont val="Tahoma"/>
            <family val="2"/>
          </rPr>
          <t>Eilidh Jane Forster:</t>
        </r>
        <r>
          <rPr>
            <sz val="9"/>
            <color indexed="81"/>
            <rFont val="Tahoma"/>
            <family val="2"/>
          </rPr>
          <t xml:space="preserve">
assume burns within 1 yr</t>
        </r>
      </text>
    </comment>
    <comment ref="S34"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T34"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5"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T35"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S36" authorId="0" shapeId="0">
      <text>
        <r>
          <rPr>
            <b/>
            <sz val="9"/>
            <color indexed="81"/>
            <rFont val="Tahoma"/>
            <family val="2"/>
          </rPr>
          <t>Eilidh Jane Forster:</t>
        </r>
        <r>
          <rPr>
            <sz val="9"/>
            <color indexed="81"/>
            <rFont val="Tahoma"/>
            <family val="2"/>
          </rPr>
          <t xml:space="preserve">
Figure for packing wood (Nabuurs, 1996). As presented in IPCC Good Practice Guidelines LULUCF, Appendix 3a.1 - HWP, Table 3.1.3.</t>
        </r>
      </text>
    </comment>
    <comment ref="T36" authorId="0" shapeId="0">
      <text>
        <r>
          <rPr>
            <b/>
            <sz val="9"/>
            <color indexed="81"/>
            <rFont val="Tahoma"/>
            <family val="2"/>
          </rPr>
          <t>Eilidh Jane Forster:</t>
        </r>
        <r>
          <rPr>
            <sz val="9"/>
            <color indexed="81"/>
            <rFont val="Tahoma"/>
            <family val="2"/>
          </rPr>
          <t xml:space="preserve">
Figure for packing wood (Nabuurs, 1996). As presented in IPCC Good Practice Guidelines LULUCF, Appendix 3a.1 - HWP, Table 3.1.3.</t>
        </r>
      </text>
    </comment>
    <comment ref="S37"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T37"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L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M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N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O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R38" authorId="0" shapeId="0">
      <text>
        <r>
          <rPr>
            <b/>
            <sz val="9"/>
            <color indexed="81"/>
            <rFont val="Tahoma"/>
            <family val="2"/>
          </rPr>
          <t>Eilidh Jane Forster:</t>
        </r>
        <r>
          <rPr>
            <sz val="9"/>
            <color indexed="81"/>
            <rFont val="Tahoma"/>
            <family val="2"/>
          </rPr>
          <t xml:space="preserve">
Figure for 'sawwood and plywood average' (Karjalainen et al. 1994). As presented in IPCC Good Practice Guidelines LULUCF, Appendix 3a.1 - HWP, Table 3.1.3.</t>
        </r>
      </text>
    </comment>
    <comment ref="S38" authorId="0" shapeId="0">
      <text>
        <r>
          <rPr>
            <b/>
            <sz val="9"/>
            <color indexed="81"/>
            <rFont val="Tahoma"/>
            <family val="2"/>
          </rPr>
          <t>Eilidh Jane Forster:</t>
        </r>
        <r>
          <rPr>
            <sz val="9"/>
            <color indexed="81"/>
            <rFont val="Tahoma"/>
            <family val="2"/>
          </rPr>
          <t xml:space="preserve">
Figure used in Athena Sustainable Materials Institute: Minnesota Demolition Survey: Phase Two Report. Athena Sustainable Materials Institute, Ottawa; 2004.
Winistorfer P, Chen Z, Lippke B, Stevens N: Energy consumption and greenhouse gas emissions related to the use, maintenance and disposal of a residential structure. Wood and Fiber Sci 2005, 37: 128–139.
Skog KE: Sequestration of carbon in harvested wood products for the United States. Forest Prod J 2008,58(6):56–72.
Dymond, 2012 - Forest carbon in North America: annual storage and emissions from British Columbia’s harvest, 1965–2065
Caren C Dymond 
Carbon Balance and Managementvolume 7, Article number: 8 (2012)</t>
        </r>
      </text>
    </comment>
    <comment ref="T38" authorId="0" shapeId="0">
      <text>
        <r>
          <rPr>
            <b/>
            <sz val="9"/>
            <color indexed="81"/>
            <rFont val="Tahoma"/>
            <family val="2"/>
          </rPr>
          <t>Eilidh Jane Forster:</t>
        </r>
        <r>
          <rPr>
            <sz val="9"/>
            <color indexed="81"/>
            <rFont val="Tahoma"/>
            <family val="2"/>
          </rPr>
          <t xml:space="preserve">
Figure for 'sawwood and plywood average' (Karjalainen et al. 1994). As presented in IPCC Good Practice Guidelines LULUCF, Appendix 3a.1 - HWP, Table 3.1.3.</t>
        </r>
      </text>
    </comment>
    <comment ref="S39" authorId="0" shapeId="0">
      <text>
        <r>
          <rPr>
            <b/>
            <sz val="9"/>
            <color indexed="81"/>
            <rFont val="Tahoma"/>
            <family val="2"/>
          </rPr>
          <t>Eilidh Jane Forster:</t>
        </r>
        <r>
          <rPr>
            <sz val="9"/>
            <color indexed="81"/>
            <rFont val="Tahoma"/>
            <family val="2"/>
          </rPr>
          <t xml:space="preserve">
Assumes it all degrades within one year.</t>
        </r>
      </text>
    </comment>
    <comment ref="T39" authorId="0" shapeId="0">
      <text>
        <r>
          <rPr>
            <b/>
            <sz val="9"/>
            <color indexed="81"/>
            <rFont val="Tahoma"/>
            <family val="2"/>
          </rPr>
          <t>Eilidh Jane Forster:</t>
        </r>
        <r>
          <rPr>
            <sz val="9"/>
            <color indexed="81"/>
            <rFont val="Tahoma"/>
            <family val="2"/>
          </rPr>
          <t xml:space="preserve">
Assumes it all degrades within one year.</t>
        </r>
      </text>
    </comment>
    <comment ref="Y96" authorId="0" shapeId="0">
      <text>
        <r>
          <rPr>
            <b/>
            <sz val="9"/>
            <color indexed="81"/>
            <rFont val="Tahoma"/>
            <family val="2"/>
          </rPr>
          <t>Eilidh Jane Forster:</t>
        </r>
        <r>
          <rPr>
            <sz val="9"/>
            <color indexed="81"/>
            <rFont val="Tahoma"/>
            <family val="2"/>
          </rPr>
          <t xml:space="preserve">
wood panel production is the same in baseline and circular scenarios so wood panels not included in comparison here)</t>
        </r>
      </text>
    </comment>
    <comment ref="C157" authorId="0" shapeId="0">
      <text>
        <r>
          <rPr>
            <b/>
            <sz val="9"/>
            <color indexed="81"/>
            <rFont val="Tahoma"/>
            <family val="2"/>
          </rPr>
          <t>Eilidh Jane Forster:</t>
        </r>
        <r>
          <rPr>
            <sz val="9"/>
            <color indexed="81"/>
            <rFont val="Tahoma"/>
            <family val="2"/>
          </rPr>
          <t xml:space="preserve">
i.e. amount to biomass</t>
        </r>
      </text>
    </comment>
    <comment ref="M157" authorId="0" shapeId="0">
      <text>
        <r>
          <rPr>
            <b/>
            <sz val="9"/>
            <color indexed="81"/>
            <rFont val="Tahoma"/>
            <family val="2"/>
          </rPr>
          <t>Eilidh Jane Forster:</t>
        </r>
        <r>
          <rPr>
            <sz val="9"/>
            <color indexed="81"/>
            <rFont val="Tahoma"/>
            <family val="2"/>
          </rPr>
          <t xml:space="preserve">
i.e. amount to biomass</t>
        </r>
      </text>
    </comment>
    <comment ref="C158" authorId="0" shapeId="0">
      <text>
        <r>
          <rPr>
            <b/>
            <sz val="9"/>
            <color indexed="81"/>
            <rFont val="Tahoma"/>
            <family val="2"/>
          </rPr>
          <t>Eilidh Jane Forster:</t>
        </r>
        <r>
          <rPr>
            <sz val="9"/>
            <color indexed="81"/>
            <rFont val="Tahoma"/>
            <family val="2"/>
          </rPr>
          <t xml:space="preserve">
This is used to calculate emissions from chipping and pelletising.</t>
        </r>
      </text>
    </comment>
    <comment ref="M158" authorId="0" shapeId="0">
      <text>
        <r>
          <rPr>
            <b/>
            <sz val="9"/>
            <color indexed="81"/>
            <rFont val="Tahoma"/>
            <family val="2"/>
          </rPr>
          <t>Eilidh Jane Forster:</t>
        </r>
        <r>
          <rPr>
            <sz val="9"/>
            <color indexed="81"/>
            <rFont val="Tahoma"/>
            <family val="2"/>
          </rPr>
          <t xml:space="preserve">
This is used to calculate emissions from chipping and pelletising.</t>
        </r>
      </text>
    </comment>
    <comment ref="C162" authorId="0" shapeId="0">
      <text>
        <r>
          <rPr>
            <b/>
            <sz val="9"/>
            <color indexed="81"/>
            <rFont val="Tahoma"/>
            <family val="2"/>
          </rPr>
          <t>Eilidh Jane Forster:</t>
        </r>
        <r>
          <rPr>
            <sz val="9"/>
            <color indexed="81"/>
            <rFont val="Tahoma"/>
            <family val="2"/>
          </rPr>
          <t xml:space="preserve">
Assumed to be released instantly</t>
        </r>
      </text>
    </comment>
    <comment ref="M162" authorId="0" shapeId="0">
      <text>
        <r>
          <rPr>
            <b/>
            <sz val="9"/>
            <color indexed="81"/>
            <rFont val="Tahoma"/>
            <family val="2"/>
          </rPr>
          <t>Eilidh Jane Forster:</t>
        </r>
        <r>
          <rPr>
            <sz val="9"/>
            <color indexed="81"/>
            <rFont val="Tahoma"/>
            <family val="2"/>
          </rPr>
          <t xml:space="preserve">
Assumed to be released instantly</t>
        </r>
      </text>
    </comment>
    <comment ref="E167" authorId="0" shapeId="0">
      <text>
        <r>
          <rPr>
            <b/>
            <sz val="9"/>
            <color indexed="81"/>
            <rFont val="Tahoma"/>
            <family val="2"/>
          </rPr>
          <t>Eilidh Jane Forster:</t>
        </r>
        <r>
          <rPr>
            <sz val="9"/>
            <color indexed="81"/>
            <rFont val="Tahoma"/>
            <family val="2"/>
          </rPr>
          <t xml:space="preserve">
20% moisture</t>
        </r>
      </text>
    </comment>
    <comment ref="O167" authorId="0" shapeId="0">
      <text>
        <r>
          <rPr>
            <b/>
            <sz val="9"/>
            <color indexed="81"/>
            <rFont val="Tahoma"/>
            <family val="2"/>
          </rPr>
          <t>Eilidh Jane Forster:</t>
        </r>
        <r>
          <rPr>
            <sz val="9"/>
            <color indexed="81"/>
            <rFont val="Tahoma"/>
            <family val="2"/>
          </rPr>
          <t xml:space="preserve">
20% moisture</t>
        </r>
      </text>
    </comment>
    <comment ref="H227" authorId="0" shapeId="0">
      <text>
        <r>
          <rPr>
            <b/>
            <sz val="9"/>
            <color indexed="81"/>
            <rFont val="Tahoma"/>
            <family val="2"/>
          </rPr>
          <t>Eilidh Jane Forster:</t>
        </r>
        <r>
          <rPr>
            <sz val="9"/>
            <color indexed="81"/>
            <rFont val="Tahoma"/>
            <family val="2"/>
          </rPr>
          <t xml:space="preserve">
Assume this year is the same decay as the previous year.
</t>
        </r>
      </text>
    </comment>
    <comment ref="J227" authorId="0" shapeId="0">
      <text>
        <r>
          <rPr>
            <b/>
            <sz val="9"/>
            <color indexed="81"/>
            <rFont val="Tahoma"/>
            <family val="2"/>
          </rPr>
          <t>Eilidh Jane Forster:</t>
        </r>
        <r>
          <rPr>
            <sz val="9"/>
            <color indexed="81"/>
            <rFont val="Tahoma"/>
            <family val="2"/>
          </rPr>
          <t xml:space="preserve">
Assume this year is the same decay as the previous year.
</t>
        </r>
      </text>
    </comment>
    <comment ref="D228" authorId="0" shapeId="0">
      <text>
        <r>
          <rPr>
            <b/>
            <sz val="9"/>
            <color indexed="81"/>
            <rFont val="Tahoma"/>
            <family val="2"/>
          </rPr>
          <t>Eilidh Jane Forster:</t>
        </r>
        <r>
          <rPr>
            <sz val="9"/>
            <color indexed="81"/>
            <rFont val="Tahoma"/>
            <family val="2"/>
          </rPr>
          <t xml:space="preserve">
Inludes waste from construction site (off-cuts etc)</t>
        </r>
      </text>
    </comment>
    <comment ref="H228" authorId="0" shapeId="0">
      <text>
        <r>
          <rPr>
            <b/>
            <sz val="9"/>
            <color indexed="81"/>
            <rFont val="Tahoma"/>
            <family val="2"/>
          </rPr>
          <t>Eilidh Jane Forster:</t>
        </r>
        <r>
          <rPr>
            <sz val="9"/>
            <color indexed="81"/>
            <rFont val="Tahoma"/>
            <family val="2"/>
          </rPr>
          <t xml:space="preserve">
Inludes waste from construction site (off-cuts etc)</t>
        </r>
      </text>
    </comment>
    <comment ref="D229" authorId="0" shapeId="0">
      <text>
        <r>
          <rPr>
            <b/>
            <sz val="9"/>
            <color indexed="81"/>
            <rFont val="Tahoma"/>
            <family val="2"/>
          </rPr>
          <t>Eilidh Jane Forster:</t>
        </r>
        <r>
          <rPr>
            <sz val="9"/>
            <color indexed="81"/>
            <rFont val="Tahoma"/>
            <family val="2"/>
          </rPr>
          <t xml:space="preserve">
This is the amount decayed from the primary products stream in this year, multiplied by the 14% recycling rate for wood, multiplied by the 65% of that that goes to wood panel production.</t>
        </r>
      </text>
    </comment>
    <comment ref="H248" authorId="0" shapeId="0">
      <text>
        <r>
          <rPr>
            <b/>
            <sz val="9"/>
            <color indexed="81"/>
            <rFont val="Tahoma"/>
            <family val="2"/>
          </rPr>
          <t>Eilidh Jane Forster:</t>
        </r>
        <r>
          <rPr>
            <sz val="9"/>
            <color indexed="81"/>
            <rFont val="Tahoma"/>
            <family val="2"/>
          </rPr>
          <t xml:space="preserve">
Assume this year is the same decay as the previous year.
</t>
        </r>
      </text>
    </comment>
    <comment ref="J248" authorId="0" shapeId="0">
      <text>
        <r>
          <rPr>
            <b/>
            <sz val="9"/>
            <color indexed="81"/>
            <rFont val="Tahoma"/>
            <family val="2"/>
          </rPr>
          <t>Eilidh Jane Forster:</t>
        </r>
        <r>
          <rPr>
            <sz val="9"/>
            <color indexed="81"/>
            <rFont val="Tahoma"/>
            <family val="2"/>
          </rPr>
          <t xml:space="preserve">
Assume this year is the same decay as the previous year.
</t>
        </r>
      </text>
    </comment>
    <comment ref="D277" authorId="0" shapeId="0">
      <text>
        <r>
          <rPr>
            <b/>
            <sz val="9"/>
            <color indexed="81"/>
            <rFont val="Tahoma"/>
            <family val="2"/>
          </rPr>
          <t>Eilidh Jane Forster:</t>
        </r>
        <r>
          <rPr>
            <sz val="9"/>
            <color indexed="81"/>
            <rFont val="Tahoma"/>
            <family val="2"/>
          </rPr>
          <t xml:space="preserve">
Assume this year is the same decay as the previous year.
Also, includes carcassing waste from construction site (due to off-cuts etc) in year of harvest.</t>
        </r>
      </text>
    </comment>
    <comment ref="F277" authorId="0" shapeId="0">
      <text>
        <r>
          <rPr>
            <b/>
            <sz val="9"/>
            <color indexed="81"/>
            <rFont val="Tahoma"/>
            <family val="2"/>
          </rPr>
          <t>Eilidh Jane Forster:</t>
        </r>
        <r>
          <rPr>
            <sz val="9"/>
            <color indexed="81"/>
            <rFont val="Tahoma"/>
            <family val="2"/>
          </rPr>
          <t xml:space="preserve">
Assume this year is the same decay as the previous year.
</t>
        </r>
      </text>
    </comment>
    <comment ref="H277" authorId="0" shapeId="0">
      <text>
        <r>
          <rPr>
            <b/>
            <sz val="9"/>
            <color indexed="81"/>
            <rFont val="Tahoma"/>
            <family val="2"/>
          </rPr>
          <t>Eilidh Jane Forster:</t>
        </r>
        <r>
          <rPr>
            <sz val="9"/>
            <color indexed="81"/>
            <rFont val="Tahoma"/>
            <family val="2"/>
          </rPr>
          <t xml:space="preserve">
Assume this year is the same decay as the previous year.
Also, includes carcassing waste from construction site (due to off-cuts etc) in year of harvest.</t>
        </r>
      </text>
    </comment>
    <comment ref="J277" authorId="0" shapeId="0">
      <text>
        <r>
          <rPr>
            <b/>
            <sz val="9"/>
            <color indexed="81"/>
            <rFont val="Tahoma"/>
            <family val="2"/>
          </rPr>
          <t>Eilidh Jane Forster:</t>
        </r>
        <r>
          <rPr>
            <sz val="9"/>
            <color indexed="81"/>
            <rFont val="Tahoma"/>
            <family val="2"/>
          </rPr>
          <t xml:space="preserve">
Assume this year is the same decay as the previous year.
</t>
        </r>
      </text>
    </comment>
    <comment ref="C285"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J285"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C286"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J286"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C298" authorId="0" shapeId="0">
      <text>
        <r>
          <rPr>
            <b/>
            <sz val="9"/>
            <color indexed="81"/>
            <rFont val="Tahoma"/>
            <family val="2"/>
          </rPr>
          <t>Eilidh Jane Forster:</t>
        </r>
        <r>
          <rPr>
            <sz val="9"/>
            <color indexed="81"/>
            <rFont val="Tahoma"/>
            <family val="2"/>
          </rPr>
          <t xml:space="preserve">
Assume that all paper that is normally recycled goes to landfill.</t>
        </r>
      </text>
    </comment>
    <comment ref="J298" authorId="0" shapeId="0">
      <text>
        <r>
          <rPr>
            <b/>
            <sz val="9"/>
            <color indexed="81"/>
            <rFont val="Tahoma"/>
            <family val="2"/>
          </rPr>
          <t>Eilidh Jane Forster:</t>
        </r>
        <r>
          <rPr>
            <sz val="9"/>
            <color indexed="81"/>
            <rFont val="Tahoma"/>
            <family val="2"/>
          </rPr>
          <t xml:space="preserve">
Assume that all paper that is normally recycled goes to landfill.</t>
        </r>
      </text>
    </comment>
    <comment ref="A306" authorId="0" shapeId="0">
      <text>
        <r>
          <rPr>
            <b/>
            <sz val="9"/>
            <color indexed="81"/>
            <rFont val="Tahoma"/>
            <family val="2"/>
          </rPr>
          <t>Eilidh Jane Forster:</t>
        </r>
        <r>
          <rPr>
            <sz val="9"/>
            <color indexed="81"/>
            <rFont val="Tahoma"/>
            <family val="2"/>
          </rPr>
          <t xml:space="preserve">
From Table 3.3 of 2006 IPCC Guildelines (Ch3 Solid Waste Disposal)</t>
        </r>
      </text>
    </comment>
    <comment ref="A308" authorId="0" shapeId="0">
      <text>
        <r>
          <rPr>
            <b/>
            <sz val="9"/>
            <color indexed="81"/>
            <rFont val="Tahoma"/>
            <family val="2"/>
          </rPr>
          <t>Eilidh Jane Forster:</t>
        </r>
        <r>
          <rPr>
            <sz val="9"/>
            <color indexed="81"/>
            <rFont val="Tahoma"/>
            <family val="2"/>
          </rPr>
          <t xml:space="preserve">
From Table 3.1 Managed – semi-aerobic 2 0.5 </t>
        </r>
      </text>
    </comment>
  </commentList>
</comments>
</file>

<file path=xl/comments6.xml><?xml version="1.0" encoding="utf-8"?>
<comments xmlns="http://schemas.openxmlformats.org/spreadsheetml/2006/main">
  <authors>
    <author>Eilidh Jane Forster</author>
  </authors>
  <commentList>
    <comment ref="C18" authorId="0" shapeId="0">
      <text>
        <r>
          <rPr>
            <b/>
            <sz val="9"/>
            <color indexed="81"/>
            <rFont val="Tahoma"/>
            <family val="2"/>
          </rPr>
          <t>Eilidh Jane Forster:</t>
        </r>
        <r>
          <rPr>
            <sz val="9"/>
            <color indexed="81"/>
            <rFont val="Tahoma"/>
            <family val="2"/>
          </rPr>
          <t xml:space="preserve">
Get ref from Dave</t>
        </r>
      </text>
    </comment>
    <comment ref="C19"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
https://unstats.un.org/oslogroup/meetings/og-09/docs/day2-session7-Danish_Wood_Pellet_Survey.pdf</t>
        </r>
      </text>
    </comment>
    <comment ref="C20"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t>
        </r>
      </text>
    </comment>
    <comment ref="C22"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
</t>
        </r>
      </text>
    </comment>
  </commentList>
</comments>
</file>

<file path=xl/comments7.xml><?xml version="1.0" encoding="utf-8"?>
<comments xmlns="http://schemas.openxmlformats.org/spreadsheetml/2006/main">
  <authors>
    <author>Author</author>
    <author>Eilidh Jane Forster</author>
  </authors>
  <commentList>
    <comment ref="C17" authorId="0" shapeId="0">
      <text>
        <r>
          <rPr>
            <b/>
            <sz val="9"/>
            <color indexed="81"/>
            <rFont val="Tahoma"/>
            <family val="2"/>
          </rPr>
          <t>Author:</t>
        </r>
        <r>
          <rPr>
            <sz val="9"/>
            <color indexed="81"/>
            <rFont val="Tahoma"/>
            <family val="2"/>
          </rPr>
          <t xml:space="preserve">
etool - "External wall framing timber frame 140mm" BRE template.
</t>
        </r>
      </text>
    </comment>
    <comment ref="D17" authorId="0" shapeId="0">
      <text>
        <r>
          <rPr>
            <b/>
            <sz val="9"/>
            <color indexed="81"/>
            <rFont val="Tahoma"/>
            <family val="2"/>
          </rPr>
          <t>Author:</t>
        </r>
        <r>
          <rPr>
            <sz val="9"/>
            <color indexed="81"/>
            <rFont val="Tahoma"/>
            <family val="2"/>
          </rPr>
          <t xml:space="preserve">
etool - "External wall framing timber frame 140mm" template. Assume mass is at 20% moisture content.</t>
        </r>
      </text>
    </comment>
    <comment ref="J17" authorId="1" shapeId="0">
      <text>
        <r>
          <rPr>
            <b/>
            <sz val="9"/>
            <color indexed="81"/>
            <rFont val="Tahoma"/>
            <family val="2"/>
          </rPr>
          <t>Eilidh Jane Forster:</t>
        </r>
        <r>
          <rPr>
            <sz val="9"/>
            <color indexed="81"/>
            <rFont val="Tahoma"/>
            <family val="2"/>
          </rPr>
          <t xml:space="preserve">
assume 10% moisture</t>
        </r>
      </text>
    </comment>
    <comment ref="C18" authorId="0" shapeId="0">
      <text>
        <r>
          <rPr>
            <b/>
            <sz val="9"/>
            <color indexed="81"/>
            <rFont val="Tahoma"/>
            <family val="2"/>
          </rPr>
          <t>Author:</t>
        </r>
        <r>
          <rPr>
            <sz val="9"/>
            <color indexed="81"/>
            <rFont val="Tahoma"/>
            <family val="2"/>
          </rPr>
          <t xml:space="preserve">
etool</t>
        </r>
      </text>
    </comment>
    <comment ref="C19" authorId="0" shapeId="0">
      <text>
        <r>
          <rPr>
            <b/>
            <sz val="9"/>
            <color indexed="81"/>
            <rFont val="Tahoma"/>
            <family val="2"/>
          </rPr>
          <t>Author:</t>
        </r>
        <r>
          <rPr>
            <sz val="9"/>
            <color indexed="81"/>
            <rFont val="Tahoma"/>
            <family val="2"/>
          </rPr>
          <t xml:space="preserve">
etool</t>
        </r>
      </text>
    </comment>
    <comment ref="C21" authorId="0" shapeId="0">
      <text>
        <r>
          <rPr>
            <b/>
            <sz val="9"/>
            <color indexed="81"/>
            <rFont val="Tahoma"/>
            <family val="2"/>
          </rPr>
          <t>Author:</t>
        </r>
        <r>
          <rPr>
            <sz val="9"/>
            <color indexed="81"/>
            <rFont val="Tahoma"/>
            <family val="2"/>
          </rPr>
          <t xml:space="preserve">
etool - "External wall structure, single solid block (140mm) (specs: 140mm dense concrete block with 10mm jointing)</t>
        </r>
      </text>
    </comment>
    <comment ref="D21" authorId="0" shapeId="0">
      <text>
        <r>
          <rPr>
            <b/>
            <sz val="9"/>
            <color indexed="81"/>
            <rFont val="Tahoma"/>
            <family val="2"/>
          </rPr>
          <t>Author:</t>
        </r>
        <r>
          <rPr>
            <sz val="9"/>
            <color indexed="81"/>
            <rFont val="Tahoma"/>
            <family val="2"/>
          </rPr>
          <t xml:space="preserve">
etool - "External wall structure, single solid block (140mm) (specs: 140mm dense concrete block with 10mm jointing)</t>
        </r>
      </text>
    </comment>
    <comment ref="C22" authorId="0" shapeId="0">
      <text>
        <r>
          <rPr>
            <b/>
            <sz val="9"/>
            <color indexed="81"/>
            <rFont val="Tahoma"/>
            <family val="2"/>
          </rPr>
          <t>Author:</t>
        </r>
        <r>
          <rPr>
            <sz val="9"/>
            <color indexed="81"/>
            <rFont val="Tahoma"/>
            <family val="2"/>
          </rPr>
          <t xml:space="preserve">
etool</t>
        </r>
      </text>
    </comment>
    <comment ref="C24" authorId="0" shapeId="0">
      <text>
        <r>
          <rPr>
            <b/>
            <sz val="9"/>
            <color indexed="81"/>
            <rFont val="Tahoma"/>
            <family val="2"/>
          </rPr>
          <t>Author:</t>
        </r>
        <r>
          <rPr>
            <sz val="9"/>
            <color indexed="81"/>
            <rFont val="Tahoma"/>
            <family val="2"/>
          </rPr>
          <t xml:space="preserve">
https://source4me.co.uk/calculate_brick_block_mortar.php</t>
        </r>
      </text>
    </comment>
    <comment ref="C25" authorId="0" shapeId="0">
      <text>
        <r>
          <rPr>
            <b/>
            <sz val="9"/>
            <color indexed="81"/>
            <rFont val="Tahoma"/>
            <family val="2"/>
          </rPr>
          <t>Author:</t>
        </r>
        <r>
          <rPr>
            <sz val="9"/>
            <color indexed="81"/>
            <rFont val="Tahoma"/>
            <family val="2"/>
          </rPr>
          <t xml:space="preserve">
https://source4me.co.uk/calculate_brick_block_mortar.php</t>
        </r>
      </text>
    </comment>
    <comment ref="C26" authorId="0" shapeId="0">
      <text>
        <r>
          <rPr>
            <b/>
            <sz val="9"/>
            <color indexed="81"/>
            <rFont val="Tahoma"/>
            <family val="2"/>
          </rPr>
          <t>Author:</t>
        </r>
        <r>
          <rPr>
            <sz val="9"/>
            <color indexed="81"/>
            <rFont val="Tahoma"/>
            <family val="2"/>
          </rPr>
          <t xml:space="preserve">
https://source4me.co.uk/calculate_render_stucco.php?tab=2</t>
        </r>
      </text>
    </comment>
    <comment ref="B40" authorId="1" shapeId="0">
      <text>
        <r>
          <rPr>
            <b/>
            <sz val="9"/>
            <color indexed="81"/>
            <rFont val="Tahoma"/>
            <family val="2"/>
          </rPr>
          <t>Eilidh Jane Forster:</t>
        </r>
        <r>
          <rPr>
            <sz val="9"/>
            <color indexed="81"/>
            <rFont val="Tahoma"/>
            <family val="2"/>
          </rPr>
          <t xml:space="preserve">
(carcassing = construction grade sawn timber)</t>
        </r>
      </text>
    </comment>
    <comment ref="B41" authorId="1" shapeId="0">
      <text>
        <r>
          <rPr>
            <b/>
            <sz val="9"/>
            <color indexed="81"/>
            <rFont val="Tahoma"/>
            <family val="2"/>
          </rPr>
          <t>Eilidh Jane Forster:</t>
        </r>
        <r>
          <rPr>
            <sz val="9"/>
            <color indexed="81"/>
            <rFont val="Tahoma"/>
            <family val="2"/>
          </rPr>
          <t xml:space="preserve">
Assume timber used is 20% moisture.</t>
        </r>
      </text>
    </comment>
    <comment ref="I57" authorId="1" shapeId="0">
      <text>
        <r>
          <rPr>
            <b/>
            <sz val="9"/>
            <color indexed="81"/>
            <rFont val="Tahoma"/>
            <family val="2"/>
          </rPr>
          <t>Eilidh Jane Forster:</t>
        </r>
        <r>
          <rPr>
            <sz val="9"/>
            <color indexed="81"/>
            <rFont val="Tahoma"/>
            <family val="2"/>
          </rPr>
          <t xml:space="preserve">
(This accounts for roughly half of the total timber used in the house)</t>
        </r>
      </text>
    </comment>
    <comment ref="E66" authorId="1" shapeId="0">
      <text>
        <r>
          <rPr>
            <b/>
            <sz val="9"/>
            <color indexed="81"/>
            <rFont val="Tahoma"/>
            <family val="2"/>
          </rPr>
          <t>Eilidh Jane Forster:</t>
        </r>
        <r>
          <rPr>
            <sz val="9"/>
            <color indexed="81"/>
            <rFont val="Tahoma"/>
            <family val="2"/>
          </rPr>
          <t xml:space="preserve">
Assuming first stands are ready to harvest in yr 1 and subsequent stands harvested on an annual basis thereafter as demand requires.
And assuming one harvest per stand (i.e. one rotation) during the 20 yr period - hence multiplying by 50/2.</t>
        </r>
      </text>
    </comment>
    <comment ref="B68" authorId="1" shapeId="0">
      <text>
        <r>
          <rPr>
            <b/>
            <sz val="9"/>
            <color indexed="81"/>
            <rFont val="Tahoma"/>
            <family val="2"/>
          </rPr>
          <t>Eilidh Jane Forster:</t>
        </r>
        <r>
          <rPr>
            <sz val="9"/>
            <color indexed="81"/>
            <rFont val="Tahoma"/>
            <family val="2"/>
          </rPr>
          <t xml:space="preserve">
i.e. displacement of single block wall</t>
        </r>
      </text>
    </comment>
  </commentList>
</comments>
</file>

<file path=xl/comments8.xml><?xml version="1.0" encoding="utf-8"?>
<comments xmlns="http://schemas.openxmlformats.org/spreadsheetml/2006/main">
  <authors>
    <author>Eilidh Jane Forster</author>
  </authors>
  <commentList>
    <comment ref="A4" authorId="0" shapeId="0">
      <text>
        <r>
          <rPr>
            <b/>
            <sz val="9"/>
            <color indexed="81"/>
            <rFont val="Tahoma"/>
            <family val="2"/>
          </rPr>
          <t>Eilidh Jane Forster:</t>
        </r>
        <r>
          <rPr>
            <sz val="9"/>
            <color indexed="81"/>
            <rFont val="Tahoma"/>
            <family val="2"/>
          </rPr>
          <t xml:space="preserve">
CCC 6th carbon budget </t>
        </r>
      </text>
    </comment>
    <comment ref="A5" authorId="0" shapeId="0">
      <text>
        <r>
          <rPr>
            <b/>
            <sz val="9"/>
            <color indexed="81"/>
            <rFont val="Tahoma"/>
            <family val="2"/>
          </rPr>
          <t>Eilidh Jane Forster:</t>
        </r>
        <r>
          <rPr>
            <sz val="9"/>
            <color indexed="81"/>
            <rFont val="Tahoma"/>
            <family val="2"/>
          </rPr>
          <t xml:space="preserve">
CCC 6th carbon budget </t>
        </r>
      </text>
    </comment>
    <comment ref="A6" authorId="0" shapeId="0">
      <text>
        <r>
          <rPr>
            <b/>
            <sz val="9"/>
            <color indexed="81"/>
            <rFont val="Tahoma"/>
            <family val="2"/>
          </rPr>
          <t>Eilidh Jane Forster:</t>
        </r>
        <r>
          <rPr>
            <sz val="9"/>
            <color indexed="81"/>
            <rFont val="Tahoma"/>
            <family val="2"/>
          </rPr>
          <t xml:space="preserve">
From UK reported data: Approximately 72% of sawmill energy (not including renewables) consumption is electricity. 11% is gas, 17% is gas oil. Assume that electiricty decarbonises as per grid. Assume the gas decarbonises as per gas grid and gas oil decarbonises as per mobile plant. </t>
        </r>
      </text>
    </comment>
    <comment ref="A7" authorId="0" shapeId="0">
      <text>
        <r>
          <rPr>
            <b/>
            <sz val="9"/>
            <color indexed="81"/>
            <rFont val="Tahoma"/>
            <family val="2"/>
          </rPr>
          <t>Eilidh Jane Forster:</t>
        </r>
        <r>
          <rPr>
            <sz val="9"/>
            <color indexed="81"/>
            <rFont val="Tahoma"/>
            <family val="2"/>
          </rPr>
          <t xml:space="preserve">
Assume similar to sawmilling since most machinery is electrified (and using wood chips for heating), with support from mobile plant to move material around site. </t>
        </r>
      </text>
    </comment>
    <comment ref="A8" authorId="0" shapeId="0">
      <text>
        <r>
          <rPr>
            <b/>
            <sz val="9"/>
            <color indexed="81"/>
            <rFont val="Tahoma"/>
            <family val="2"/>
          </rPr>
          <t>Eilidh Jane Forster:</t>
        </r>
        <r>
          <rPr>
            <sz val="9"/>
            <color indexed="81"/>
            <rFont val="Tahoma"/>
            <family val="2"/>
          </rPr>
          <t xml:space="preserve">
Data from WPIF report.
The following reference provides estimated decarbonisation pathways for the global chemicals industry - 85% decarbonisation by 2050, which is in a similar regiod for the WPIF sceop 1&amp;2 decarbonisation predictions for wood panel manufacturing. Therefore I will apply the WPIF decarbonisation factor to Scopes 1-3 emissions, since there is no better reference.  
Teske, S., Niklas, S., Talwar, S. (2022). Decarbonisation Pathways for Industries. In: Teske, S. (eds) Achieving the Paris Climate Agreement Goals . Springer, Cham. https://doi.org/10.1007/978-3-030-99177-7_5</t>
        </r>
      </text>
    </comment>
    <comment ref="A9" authorId="0" shapeId="0">
      <text>
        <r>
          <rPr>
            <b/>
            <sz val="9"/>
            <color indexed="81"/>
            <rFont val="Tahoma"/>
            <family val="2"/>
          </rPr>
          <t>Eilidh Jane Forster:</t>
        </r>
        <r>
          <rPr>
            <sz val="9"/>
            <color indexed="81"/>
            <rFont val="Tahoma"/>
            <family val="2"/>
          </rPr>
          <t xml:space="preserve">
CCC report</t>
        </r>
      </text>
    </comment>
    <comment ref="A10" authorId="0" shapeId="0">
      <text>
        <r>
          <rPr>
            <b/>
            <sz val="9"/>
            <color indexed="81"/>
            <rFont val="Tahoma"/>
            <family val="2"/>
          </rPr>
          <t>Eilidh Jane Forster:</t>
        </r>
        <r>
          <rPr>
            <sz val="9"/>
            <color indexed="81"/>
            <rFont val="Tahoma"/>
            <family val="2"/>
          </rPr>
          <t xml:space="preserve">
WPIF report. Gas decarbonisation is highly uncertain and will be regionally dependent (CCC report and National grid report). Therefore use same assumptions as used in SLR WPIF report. Remote location seen as large barrier. </t>
        </r>
      </text>
    </comment>
    <comment ref="A11" authorId="0" shapeId="0">
      <text>
        <r>
          <rPr>
            <b/>
            <sz val="9"/>
            <color indexed="81"/>
            <rFont val="Tahoma"/>
            <family val="2"/>
          </rPr>
          <t>Eilidh Jane Forster:</t>
        </r>
        <r>
          <rPr>
            <sz val="9"/>
            <color indexed="81"/>
            <rFont val="Tahoma"/>
            <family val="2"/>
          </rPr>
          <t xml:space="preserve">
CCC report. For simplicity, apply the 'timber transport' decarbonisation factor to all imported HWP transport emissions.</t>
        </r>
      </text>
    </comment>
    <comment ref="A13" authorId="0" shapeId="0">
      <text>
        <r>
          <rPr>
            <b/>
            <sz val="9"/>
            <color indexed="81"/>
            <rFont val="Tahoma"/>
            <family val="2"/>
          </rPr>
          <t>Eilidh Jane Forster:</t>
        </r>
        <r>
          <rPr>
            <sz val="9"/>
            <color indexed="81"/>
            <rFont val="Tahoma"/>
            <family val="2"/>
          </rPr>
          <t xml:space="preserve">
Industrial Decarbonisation &amp;
Energy Efficiency Roadmaps
to 2050
MARCH 2015
This report has been prepared for the
Department of Energy and Climate Change and
the Department for Business, Innovation and Skills - Cement</t>
        </r>
      </text>
    </comment>
  </commentList>
</comments>
</file>

<file path=xl/comments9.xml><?xml version="1.0" encoding="utf-8"?>
<comments xmlns="http://schemas.openxmlformats.org/spreadsheetml/2006/main">
  <authors>
    <author>Eilidh Jane Forster</author>
  </authors>
  <commentList>
    <comment ref="B3" authorId="0" shapeId="0">
      <text>
        <r>
          <rPr>
            <b/>
            <sz val="9"/>
            <color indexed="81"/>
            <rFont val="Tahoma"/>
            <family val="2"/>
          </rPr>
          <t>Eilidh Jane Forster:</t>
        </r>
        <r>
          <rPr>
            <sz val="9"/>
            <color indexed="81"/>
            <rFont val="Tahoma"/>
            <family val="2"/>
          </rPr>
          <t xml:space="preserve">
Soild C of grassland assumed to be same as forest land. IPCC default total biomass for grassland (AG plus BG) is 13.6 t dry matter ha-1, so 6.8 t C ha-1 (table 6.4)</t>
        </r>
      </text>
    </comment>
    <comment ref="A5" authorId="0" shapeId="0">
      <text>
        <r>
          <rPr>
            <b/>
            <sz val="9"/>
            <color indexed="81"/>
            <rFont val="Tahoma"/>
            <family val="2"/>
          </rPr>
          <t>Eilidh Jane Forster:</t>
        </r>
        <r>
          <rPr>
            <sz val="9"/>
            <color indexed="81"/>
            <rFont val="Tahoma"/>
            <family val="2"/>
          </rPr>
          <t xml:space="preserve">
0.75lb per acre (assuming only planting rows are sprayed) = 0.34kg/acre = 0.84kg/ha
https://www.pioneer.com/home/site/us/agronomy/glyphosate-optimum-performance/</t>
        </r>
      </text>
    </comment>
    <comment ref="B5" authorId="0" shapeId="0">
      <text>
        <r>
          <rPr>
            <b/>
            <sz val="9"/>
            <color indexed="81"/>
            <rFont val="Tahoma"/>
            <family val="2"/>
          </rPr>
          <t>Eilidh Jane Forster:</t>
        </r>
        <r>
          <rPr>
            <sz val="9"/>
            <color indexed="81"/>
            <rFont val="Tahoma"/>
            <family val="2"/>
          </rPr>
          <t xml:space="preserve">
embodied emissions only</t>
        </r>
      </text>
    </comment>
    <comment ref="A7" authorId="0" shapeId="0">
      <text>
        <r>
          <rPr>
            <b/>
            <sz val="9"/>
            <color indexed="81"/>
            <rFont val="Tahoma"/>
            <family val="2"/>
          </rPr>
          <t>Eilidh Jane Forster:</t>
        </r>
        <r>
          <rPr>
            <sz val="9"/>
            <color indexed="81"/>
            <rFont val="Tahoma"/>
            <family val="2"/>
          </rPr>
          <t xml:space="preserve">
GH estimate - 15 hrs per hectare for a 15t 360 Excavator. Two plantings per 100 years.</t>
        </r>
      </text>
    </comment>
    <comment ref="A8" authorId="0" shapeId="0">
      <text>
        <r>
          <rPr>
            <b/>
            <sz val="9"/>
            <color indexed="81"/>
            <rFont val="Tahoma"/>
            <family val="2"/>
          </rPr>
          <t>Eilidh Jane Forster:</t>
        </r>
        <r>
          <rPr>
            <sz val="9"/>
            <color indexed="81"/>
            <rFont val="Tahoma"/>
            <family val="2"/>
          </rPr>
          <t xml:space="preserve">
GH estimate - used against the weevil, two applications (or one) a year for two years.  416 grams/ha acetamiprid. Or 832 for two applications.</t>
        </r>
      </text>
    </comment>
    <comment ref="A9" authorId="0" shapeId="0">
      <text>
        <r>
          <rPr>
            <b/>
            <sz val="9"/>
            <color indexed="81"/>
            <rFont val="Tahoma"/>
            <family val="2"/>
          </rPr>
          <t>Eilidh Jane Forster:</t>
        </r>
        <r>
          <rPr>
            <sz val="9"/>
            <color indexed="81"/>
            <rFont val="Tahoma"/>
            <family val="2"/>
          </rPr>
          <t xml:space="preserve">
GH estimate - 7hrs Harvester and 7hrs Forwarder (per thin, 28 hrs for 2 thins)</t>
        </r>
      </text>
    </comment>
    <comment ref="A13" authorId="0" shapeId="0">
      <text>
        <r>
          <rPr>
            <b/>
            <sz val="9"/>
            <color indexed="81"/>
            <rFont val="Tahoma"/>
            <family val="2"/>
          </rPr>
          <t>Eilidh Jane Forster:</t>
        </r>
        <r>
          <rPr>
            <sz val="9"/>
            <color indexed="81"/>
            <rFont val="Tahoma"/>
            <family val="2"/>
          </rPr>
          <t xml:space="preserve">
Average journey 60km. Average load 26 tonnes. (GH estimates).</t>
        </r>
      </text>
    </comment>
    <comment ref="A14" authorId="0" shapeId="0">
      <text>
        <r>
          <rPr>
            <b/>
            <sz val="9"/>
            <color indexed="81"/>
            <rFont val="Tahoma"/>
            <family val="2"/>
          </rPr>
          <t>Eilidh Jane Forster:</t>
        </r>
        <r>
          <rPr>
            <sz val="9"/>
            <color indexed="81"/>
            <rFont val="Tahoma"/>
            <family val="2"/>
          </rPr>
          <t xml:space="preserve">
All emissions from timber processing will be amalgamated for thin1, thin2, harvest1 and harvest2 for calculations as they don't affect C decay in HWP calculations.</t>
        </r>
      </text>
    </comment>
    <comment ref="A19" authorId="0" shapeId="0">
      <text>
        <r>
          <rPr>
            <b/>
            <sz val="9"/>
            <color indexed="81"/>
            <rFont val="Tahoma"/>
            <family val="2"/>
          </rPr>
          <t>Eilidh Jane Forster:</t>
        </r>
        <r>
          <rPr>
            <sz val="9"/>
            <color indexed="81"/>
            <rFont val="Tahoma"/>
            <family val="2"/>
          </rPr>
          <t xml:space="preserve">
Assume it includes chipping of residue - check this. </t>
        </r>
      </text>
    </comment>
    <comment ref="N23" authorId="0" shapeId="0">
      <text>
        <r>
          <rPr>
            <b/>
            <sz val="9"/>
            <color indexed="81"/>
            <rFont val="Tahoma"/>
            <family val="2"/>
          </rPr>
          <t>Eilidh Jane Forster:</t>
        </r>
        <r>
          <rPr>
            <sz val="9"/>
            <color indexed="81"/>
            <rFont val="Tahoma"/>
            <family val="2"/>
          </rPr>
          <t xml:space="preserve">
total sawn wood quantity</t>
        </r>
      </text>
    </comment>
    <comment ref="F24" authorId="0" shapeId="0">
      <text>
        <r>
          <rPr>
            <b/>
            <sz val="9"/>
            <color indexed="81"/>
            <rFont val="Tahoma"/>
            <family val="2"/>
          </rPr>
          <t>Eilidh Jane Forster:</t>
        </r>
        <r>
          <rPr>
            <sz val="9"/>
            <color indexed="81"/>
            <rFont val="Tahoma"/>
            <family val="2"/>
          </rPr>
          <t xml:space="preserve">
split between sawing and planing 50:50.</t>
        </r>
      </text>
    </comment>
    <comment ref="H24" authorId="0" shapeId="0">
      <text>
        <r>
          <rPr>
            <b/>
            <sz val="9"/>
            <color indexed="81"/>
            <rFont val="Tahoma"/>
            <family val="2"/>
          </rPr>
          <t>Eilidh Jane Forster:</t>
        </r>
        <r>
          <rPr>
            <sz val="9"/>
            <color indexed="81"/>
            <rFont val="Tahoma"/>
            <family val="2"/>
          </rPr>
          <t xml:space="preserve">
split between sawing and planing 50:50.</t>
        </r>
      </text>
    </comment>
    <comment ref="A25" authorId="0" shapeId="0">
      <text>
        <r>
          <rPr>
            <b/>
            <sz val="9"/>
            <color indexed="81"/>
            <rFont val="Tahoma"/>
            <family val="2"/>
          </rPr>
          <t>Eilidh Jane Forster:</t>
        </r>
        <r>
          <rPr>
            <sz val="9"/>
            <color indexed="81"/>
            <rFont val="Tahoma"/>
            <family val="2"/>
          </rPr>
          <t xml:space="preserve">
Assume no volume lost on drying.</t>
        </r>
      </text>
    </comment>
    <comment ref="A28" authorId="0" shapeId="0">
      <text>
        <r>
          <rPr>
            <b/>
            <sz val="9"/>
            <color indexed="81"/>
            <rFont val="Tahoma"/>
            <family val="2"/>
          </rPr>
          <t>Eilidh Jane Forster:</t>
        </r>
        <r>
          <rPr>
            <sz val="9"/>
            <color indexed="81"/>
            <rFont val="Tahoma"/>
            <family val="2"/>
          </rPr>
          <t xml:space="preserve">
Assume only carcassing material is planed.</t>
        </r>
      </text>
    </comment>
    <comment ref="F31" authorId="0" shapeId="0">
      <text>
        <r>
          <rPr>
            <b/>
            <sz val="9"/>
            <color indexed="81"/>
            <rFont val="Tahoma"/>
            <family val="2"/>
          </rPr>
          <t>Eilidh Jane Forster:</t>
        </r>
        <r>
          <rPr>
            <sz val="9"/>
            <color indexed="81"/>
            <rFont val="Tahoma"/>
            <family val="2"/>
          </rPr>
          <t xml:space="preserve">
split between sawing and planing 50:50.</t>
        </r>
      </text>
    </comment>
    <comment ref="H31" authorId="0" shapeId="0">
      <text>
        <r>
          <rPr>
            <b/>
            <sz val="9"/>
            <color indexed="81"/>
            <rFont val="Tahoma"/>
            <family val="2"/>
          </rPr>
          <t>Eilidh Jane Forster:</t>
        </r>
        <r>
          <rPr>
            <sz val="9"/>
            <color indexed="81"/>
            <rFont val="Tahoma"/>
            <family val="2"/>
          </rPr>
          <t xml:space="preserve">
split between sawing and planing 50:50.</t>
        </r>
      </text>
    </comment>
    <comment ref="A32" authorId="0" shapeId="0">
      <text>
        <r>
          <rPr>
            <b/>
            <sz val="9"/>
            <color indexed="81"/>
            <rFont val="Tahoma"/>
            <family val="2"/>
          </rPr>
          <t>Eilidh Jane Forster:</t>
        </r>
        <r>
          <rPr>
            <sz val="9"/>
            <color indexed="81"/>
            <rFont val="Tahoma"/>
            <family val="2"/>
          </rPr>
          <t xml:space="preserve">
Treatment of fence poles and fencing only. i.e. outdoor use timber.</t>
        </r>
      </text>
    </comment>
    <comment ref="M34" authorId="0" shapeId="0">
      <text>
        <r>
          <rPr>
            <b/>
            <sz val="9"/>
            <color indexed="81"/>
            <rFont val="Tahoma"/>
            <family val="2"/>
          </rPr>
          <t>Eilidh Jane Forster:</t>
        </r>
        <r>
          <rPr>
            <sz val="9"/>
            <color indexed="81"/>
            <rFont val="Tahoma"/>
            <family val="2"/>
          </rPr>
          <t xml:space="preserve">
total wood input value</t>
        </r>
      </text>
    </comment>
    <comment ref="N36" authorId="0" shapeId="0">
      <text>
        <r>
          <rPr>
            <b/>
            <sz val="9"/>
            <color indexed="81"/>
            <rFont val="Tahoma"/>
            <family val="2"/>
          </rPr>
          <t>Eilidh Jane Forster:</t>
        </r>
        <r>
          <rPr>
            <sz val="9"/>
            <color indexed="81"/>
            <rFont val="Tahoma"/>
            <family val="2"/>
          </rPr>
          <t xml:space="preserve">
total preserved wood output value</t>
        </r>
      </text>
    </comment>
    <comment ref="M40" authorId="0" shapeId="0">
      <text>
        <r>
          <rPr>
            <b/>
            <sz val="9"/>
            <color indexed="81"/>
            <rFont val="Tahoma"/>
            <family val="2"/>
          </rPr>
          <t>Eilidh Jane Forster:</t>
        </r>
        <r>
          <rPr>
            <sz val="9"/>
            <color indexed="81"/>
            <rFont val="Tahoma"/>
            <family val="2"/>
          </rPr>
          <t xml:space="preserve">
Combined total of 1.344405 m3 wood input.</t>
        </r>
      </text>
    </comment>
    <comment ref="B86" authorId="0" shapeId="0">
      <text>
        <r>
          <rPr>
            <b/>
            <sz val="9"/>
            <color indexed="81"/>
            <rFont val="Tahoma"/>
            <family val="2"/>
          </rPr>
          <t>Eilidh Jane Forster:</t>
        </r>
        <r>
          <rPr>
            <sz val="9"/>
            <color indexed="81"/>
            <rFont val="Tahoma"/>
            <family val="2"/>
          </rPr>
          <t xml:space="preserve">
From Ecoinvent process: 'heat production, natural gas, at industrial furnace &gt;100kW | heat, district or industrial, natural gas | APOS, U'</t>
        </r>
      </text>
    </comment>
    <comment ref="B87" authorId="0" shapeId="0">
      <text>
        <r>
          <rPr>
            <b/>
            <sz val="9"/>
            <color indexed="81"/>
            <rFont val="Tahoma"/>
            <family val="2"/>
          </rPr>
          <t>Eilidh Jane Forster:</t>
        </r>
        <r>
          <rPr>
            <sz val="9"/>
            <color indexed="81"/>
            <rFont val="Tahoma"/>
            <family val="2"/>
          </rPr>
          <t xml:space="preserve">
From Ecoinvent process: 'electricity production, natural gas, combined cycle power plant | electricity, high voltage | APOS, S'</t>
        </r>
      </text>
    </comment>
  </commentList>
</comments>
</file>

<file path=xl/comments10.xml><?xml version="1.0" encoding="utf-8"?>
<comments xmlns="http://schemas.openxmlformats.org/spreadsheetml/2006/main">
  <authors>
    <author>Eilidh Jane Forster</author>
  </authors>
  <commentList>
    <comment ref="A12" authorId="0" shapeId="0">
      <text>
        <r>
          <rPr>
            <b/>
            <sz val="9"/>
            <color indexed="81"/>
            <rFont val="Tahoma"/>
            <family val="2"/>
          </rPr>
          <t>Eilidh Jane Forster:</t>
        </r>
        <r>
          <rPr>
            <sz val="9"/>
            <color indexed="81"/>
            <rFont val="Tahoma"/>
            <family val="2"/>
          </rPr>
          <t xml:space="preserve">
Assuming incineration produces electricity only when accounting for CCS of biogenic emissions only - for simplicity.</t>
        </r>
      </text>
    </comment>
  </commentList>
</comments>
</file>

<file path=xl/comments11.xml><?xml version="1.0" encoding="utf-8"?>
<comments xmlns="http://schemas.openxmlformats.org/spreadsheetml/2006/main">
  <authors>
    <author>Eilidh Jane Forster</author>
  </authors>
  <commentList>
    <comment ref="B7" authorId="0" shapeId="0">
      <text>
        <r>
          <rPr>
            <b/>
            <sz val="9"/>
            <color indexed="81"/>
            <rFont val="Tahoma"/>
            <family val="2"/>
          </rPr>
          <t>Eilidh Jane Forster:</t>
        </r>
        <r>
          <rPr>
            <sz val="9"/>
            <color indexed="81"/>
            <rFont val="Tahoma"/>
            <family val="2"/>
          </rPr>
          <t xml:space="preserve">
(Brunn et al, 2006)</t>
        </r>
      </text>
    </comment>
  </commentList>
</comments>
</file>

<file path=xl/sharedStrings.xml><?xml version="1.0" encoding="utf-8"?>
<sst xmlns="http://schemas.openxmlformats.org/spreadsheetml/2006/main" count="2214" uniqueCount="1118">
  <si>
    <t>sawn timber:</t>
  </si>
  <si>
    <t>p&amp;p</t>
  </si>
  <si>
    <t>fencing</t>
  </si>
  <si>
    <t>carcassing</t>
  </si>
  <si>
    <t>chips and sawdust:</t>
  </si>
  <si>
    <t>Chip/Fuel/Pulp</t>
  </si>
  <si>
    <t>Fencing</t>
  </si>
  <si>
    <t>Greens</t>
  </si>
  <si>
    <t>Unthinned</t>
  </si>
  <si>
    <t>Biomass</t>
  </si>
  <si>
    <t>panel boards</t>
  </si>
  <si>
    <t>biomass</t>
  </si>
  <si>
    <t>Green logs</t>
  </si>
  <si>
    <t>Thinned</t>
  </si>
  <si>
    <t>sawn timber (JJ):</t>
  </si>
  <si>
    <t>Pallet logs</t>
  </si>
  <si>
    <t>Fibre board</t>
  </si>
  <si>
    <t>Reds/Bars/Pallet</t>
  </si>
  <si>
    <t>Fuel logs</t>
  </si>
  <si>
    <t>Panel boards logs</t>
  </si>
  <si>
    <t>Pulp logs</t>
  </si>
  <si>
    <t>Pulp</t>
  </si>
  <si>
    <t>Fence poles</t>
  </si>
  <si>
    <t>Carcassing</t>
  </si>
  <si>
    <t>Pallets and packaging</t>
  </si>
  <si>
    <t>Pulp (paper)</t>
  </si>
  <si>
    <t>n/a</t>
  </si>
  <si>
    <t>biomass (energy production)</t>
  </si>
  <si>
    <t xml:space="preserve">Particle board (chip+OSB) </t>
  </si>
  <si>
    <t>% wood waste to SWDS:</t>
  </si>
  <si>
    <t>% paper to SWDS:</t>
  </si>
  <si>
    <t>landfill</t>
  </si>
  <si>
    <t>Decay rate</t>
  </si>
  <si>
    <t>% wood waste collected/recycled:</t>
  </si>
  <si>
    <t>% paper collected/recycled:</t>
  </si>
  <si>
    <t xml:space="preserve">paper production </t>
  </si>
  <si>
    <t>incineration</t>
  </si>
  <si>
    <t>UK waste treatment</t>
  </si>
  <si>
    <t>Year</t>
  </si>
  <si>
    <t>EWC-STAT code</t>
  </si>
  <si>
    <t>EWC-STAT description</t>
  </si>
  <si>
    <t>Hazardous/Non-hazardous split</t>
  </si>
  <si>
    <t>Energy recovery</t>
  </si>
  <si>
    <t>Incineration</t>
  </si>
  <si>
    <t>Recovery other than energy recovery - Except backfilling</t>
  </si>
  <si>
    <t>Recovery other than energy recovery - Backfilling</t>
  </si>
  <si>
    <t>Deposit onto or into land</t>
  </si>
  <si>
    <t>Land treatment and release into water bodies</t>
  </si>
  <si>
    <t>Total waste sent to final treatment</t>
  </si>
  <si>
    <t>Total</t>
  </si>
  <si>
    <t>07.2</t>
  </si>
  <si>
    <t>Paper &amp; cardboard wastes</t>
  </si>
  <si>
    <t>07.5</t>
  </si>
  <si>
    <t>Wood wastes</t>
  </si>
  <si>
    <t>wood waste only</t>
  </si>
  <si>
    <t>paper waste only</t>
  </si>
  <si>
    <t>t/yr</t>
  </si>
  <si>
    <t>From Defra 2018 'UK Statistics on Waste datasets' (mainly 2016 data):</t>
  </si>
  <si>
    <t>Fencing (fence poles)</t>
  </si>
  <si>
    <t>Particle board (chip and OSB)</t>
  </si>
  <si>
    <t>Fibre board (MDF)</t>
  </si>
  <si>
    <t>Thinning 1 (yr 21)</t>
  </si>
  <si>
    <t>Thinning 2 (yr 71)</t>
  </si>
  <si>
    <t>Harvest1 (yr 50)</t>
  </si>
  <si>
    <t>Harvest2 (yr 100)</t>
  </si>
  <si>
    <t>Thinned (&gt;75%) (green tonnes)</t>
  </si>
  <si>
    <t>No thin (green tonnes)</t>
  </si>
  <si>
    <t>Green tonnes</t>
  </si>
  <si>
    <t>&gt;75% thinned (green tonnes)</t>
  </si>
  <si>
    <t>Processes</t>
  </si>
  <si>
    <t>Quantity</t>
  </si>
  <si>
    <t>Units</t>
  </si>
  <si>
    <t>Land clearing and irrigation</t>
  </si>
  <si>
    <t>Herbicide application (manual)</t>
  </si>
  <si>
    <t>seedlings</t>
  </si>
  <si>
    <t xml:space="preserve">hrs </t>
  </si>
  <si>
    <t>Application of pesicides (weevil)</t>
  </si>
  <si>
    <t>Thinning (1&amp;2)</t>
  </si>
  <si>
    <t>hrs</t>
  </si>
  <si>
    <t>tonnes CO2</t>
  </si>
  <si>
    <t>Debarking</t>
  </si>
  <si>
    <t>Sawing</t>
  </si>
  <si>
    <t>Planing</t>
  </si>
  <si>
    <t>Primary avoided emissions (FF/product substitution)</t>
  </si>
  <si>
    <t>HWP C storage In Recycled Use</t>
  </si>
  <si>
    <t>Secondary avoided emissions (FF/product substitution)</t>
  </si>
  <si>
    <t>Product breakout from harvests - calculation of tonnages going to each manufacturing process/use</t>
  </si>
  <si>
    <t>thin1 (yr21)</t>
  </si>
  <si>
    <t>harvest1 (no thin) (yr50)</t>
  </si>
  <si>
    <t>harvest2 (no thin) (yr100)</t>
  </si>
  <si>
    <t>harvest1 (thinned) (yr50)</t>
  </si>
  <si>
    <t>harvest2 (thinned) (yr100)</t>
  </si>
  <si>
    <t>thin2 (yr71)</t>
  </si>
  <si>
    <t>Repeat this page but for tonnes C. The green tonnes are needed only for calcuating emissions in Ecoinvent, where the process is in tonnes. For HWP C storage calcs, the figures can remain in tonnes of C, to minimise unit conversion errors.</t>
  </si>
  <si>
    <t>I haven't included the 'energy recovery' and 'recovery other than energy recovery' figures to calculate these %s above. This is because I already used the FC sankey diagram to calculate timber waste to energy production. And because it is assumed that the decay rate used for each product accounts for reuse e.g. of pallets or construction site timber (but not recycling, where the product is processed and turned into a different product). The purpose of this calculation is purely to find the comparitive split between incineration and landfill.</t>
  </si>
  <si>
    <t>Time Step(GH model (no thin) average soil Default Simulation As</t>
  </si>
  <si>
    <t>Total Ecosystem(GH model (no thin) podzolic soil Default Simula</t>
  </si>
  <si>
    <t>Total Ecosystem(GH model (no thin) luvisolic soil Default Simul</t>
  </si>
  <si>
    <t>Total Ecosystem(GH model (no thin) gleysolic soil v2 Default Si</t>
  </si>
  <si>
    <t>yr100-yr0</t>
  </si>
  <si>
    <t>tonnes C</t>
  </si>
  <si>
    <t>average stock change</t>
  </si>
  <si>
    <t>tonnes C/yr</t>
  </si>
  <si>
    <t>Total Ecosystem(GH model (thinned) podzolic soil Default Simula</t>
  </si>
  <si>
    <t>Total Ecosystem(GH model (thinned) luvisolic soil Default Simul</t>
  </si>
  <si>
    <t>Total Ecosystem(GH model (thinned) gleysolic soil v3 Default Si</t>
  </si>
  <si>
    <t>average annual stock change</t>
  </si>
  <si>
    <t xml:space="preserve">C content of dry wood </t>
  </si>
  <si>
    <t>moisture content of green wood</t>
  </si>
  <si>
    <t>tonnes dry wood</t>
  </si>
  <si>
    <t>tonnes green wood</t>
  </si>
  <si>
    <t>vol green wood (m3)</t>
  </si>
  <si>
    <t>Annual C stock - total ecosystem (tonnes C) - &gt;75% thin</t>
  </si>
  <si>
    <t>Annual C stock - total ecosystem (tonnes C)- no thin</t>
  </si>
  <si>
    <t>Unthinned stand</t>
  </si>
  <si>
    <t>&gt;75% thinned</t>
  </si>
  <si>
    <t>Assumptions:</t>
  </si>
  <si>
    <t>harvest1 (yr 50)</t>
  </si>
  <si>
    <t>harvest2 (yr 100)</t>
  </si>
  <si>
    <t>thin1 (yr 21)</t>
  </si>
  <si>
    <t>thin2 (yr 71)</t>
  </si>
  <si>
    <t>Horticultural mulch</t>
  </si>
  <si>
    <t>Product breakout from thins - calculation of tonnages going to each manufacturing process/use</t>
  </si>
  <si>
    <t>Hoticultural mulch</t>
  </si>
  <si>
    <t>Assume only one recycle then waste wood goes to incineration.</t>
  </si>
  <si>
    <t>Exported from CBM-CFS3 (summary tables at bottom of spreadsheet)</t>
  </si>
  <si>
    <t>ecoinvent</t>
  </si>
  <si>
    <t>MJ</t>
  </si>
  <si>
    <t>kg Sb eq</t>
  </si>
  <si>
    <t>molc H+ eq</t>
  </si>
  <si>
    <t>CTUe</t>
  </si>
  <si>
    <t>kg P eq</t>
  </si>
  <si>
    <t>CTUh</t>
  </si>
  <si>
    <t>kBq U235 eq</t>
  </si>
  <si>
    <t>kg CO2 eq</t>
  </si>
  <si>
    <t>kg N eq</t>
  </si>
  <si>
    <t>kg CFC-11 eq</t>
  </si>
  <si>
    <t>kg NMVOC eq</t>
  </si>
  <si>
    <t>molc N eq</t>
  </si>
  <si>
    <t>number</t>
  </si>
  <si>
    <t>units</t>
  </si>
  <si>
    <t>Abiotic depletion (fossil fuels) - CML-IA baseline</t>
  </si>
  <si>
    <t>Abiotic depletion - CML-IA baseline</t>
  </si>
  <si>
    <t>Acidification - ILCD 2011 Midpoint+</t>
  </si>
  <si>
    <t>Freshwater ecotoxicity - ILCD 2011 Midpoint+</t>
  </si>
  <si>
    <t>Freshwater eutrophication - ILCD 2011 Midpoint+</t>
  </si>
  <si>
    <t>Human toxicity, cancer effects - ILCD 2011 Midpoint+</t>
  </si>
  <si>
    <t>Human toxicity, non-cancer effects - ILCD 2011 Midpoint+</t>
  </si>
  <si>
    <t>Ionizing radiation HH - ILCD 2011 Midpoint+</t>
  </si>
  <si>
    <t>IPCC GWP 100a - IPCC 2013 GWP 100a</t>
  </si>
  <si>
    <t>Marine eutrophication - ILCD 2011 Midpoint+</t>
  </si>
  <si>
    <t>Ozone depletion - ILCD 2011 Midpoint+</t>
  </si>
  <si>
    <t>Photochemical ozone formation - ILCD 2011 Midpoint+</t>
  </si>
  <si>
    <t>Terrestrial eutrophication - ILCD 2011 Midpoint+</t>
  </si>
  <si>
    <t>seedling</t>
  </si>
  <si>
    <t>delimbing__with_excavator_based_processor___delimbing_sorting__excavator_based_processor___APOS__U</t>
  </si>
  <si>
    <t>hr</t>
  </si>
  <si>
    <t>forwarding__forwarder___forwarding__forwarder___APOS__U</t>
  </si>
  <si>
    <t>harvesting__forestry_harvester___harvesting__forestry_harvester___APOS__U</t>
  </si>
  <si>
    <t>m3</t>
  </si>
  <si>
    <t>debarking, softwood, in forest | sawlog and veneer log, softwood, debarked, measured as solid wood | APOS, U</t>
  </si>
  <si>
    <t>particle board</t>
  </si>
  <si>
    <t>fibre board</t>
  </si>
  <si>
    <t>sawing, softwood | sawnwood, softwood, raw | APOS, U - CH</t>
  </si>
  <si>
    <t>beam, softwood, raw, kiln drying to u=20% | sawnwood, beam, softwood, raw, dried (u=20%) | APOS, U - CH</t>
  </si>
  <si>
    <t>Switzerland</t>
  </si>
  <si>
    <t>Europe</t>
  </si>
  <si>
    <t>Eurpoe</t>
  </si>
  <si>
    <t>planing, beam, softwood, u=20% | sawnwood, beam, softwood, dried (u=20%), planed | APOS, U</t>
  </si>
  <si>
    <t>wood chips production, softwood, at sawmill | wood chips, wet, measured as dry mass | APOS, U</t>
  </si>
  <si>
    <t>wood preservation, dipping/immersion, solvent-based preservative, outdoor use, no ground contact | wood preservation, dipping/immersion method, organic solvent-based, outdoor use, no ground contact | APOS, U</t>
  </si>
  <si>
    <t>kg</t>
  </si>
  <si>
    <t>fibreboard production, soft, from wet &amp; dry processes | fibreboard, soft | APOS, U</t>
  </si>
  <si>
    <t>particle board production, for indoor use | particle board, for indoor use | APOS, U</t>
  </si>
  <si>
    <t>paper production, newsprint, recycled | paper, newsprint | APOS, U</t>
  </si>
  <si>
    <t>corrugated board box production | corrugated board box | APOS, U</t>
  </si>
  <si>
    <t>g</t>
  </si>
  <si>
    <t>Clearing brash and mounding (ready for planting) - 'delimbing with excavator' used.</t>
  </si>
  <si>
    <t>Planting (1&amp;2)</t>
  </si>
  <si>
    <t xml:space="preserve">Forest growth </t>
  </si>
  <si>
    <t>Harvesting (rotation 1&amp;2)</t>
  </si>
  <si>
    <t>&gt;75% thinned (m3)</t>
  </si>
  <si>
    <t>(m3/tonne) - density of freshly felled SS</t>
  </si>
  <si>
    <t>No thin (m3)</t>
  </si>
  <si>
    <t>Thinned (&gt;75%) (m3)</t>
  </si>
  <si>
    <t>Volume of merchantable timber debarked (thinning 1)</t>
  </si>
  <si>
    <t>Volume of merchantable timber debarked (thinning 2)</t>
  </si>
  <si>
    <t>Volume of merchantable timber debarked (harvest 1)</t>
  </si>
  <si>
    <t>Volume of merchantable timber debarked (harvest 2)</t>
  </si>
  <si>
    <t>Bark</t>
  </si>
  <si>
    <t>Fence pole logs</t>
  </si>
  <si>
    <t>Panel board logs</t>
  </si>
  <si>
    <t>Debarking:</t>
  </si>
  <si>
    <t>Sorting:</t>
  </si>
  <si>
    <t>Particle board logs</t>
  </si>
  <si>
    <t>Fibre board logs</t>
  </si>
  <si>
    <t>To fibre board manufacturing</t>
  </si>
  <si>
    <t>To pulp and paper manufacturing</t>
  </si>
  <si>
    <t>To fence pole manufacturing</t>
  </si>
  <si>
    <t>Product groups</t>
  </si>
  <si>
    <t>Sorted products</t>
  </si>
  <si>
    <t>Sorted products:</t>
  </si>
  <si>
    <t>Debarked products</t>
  </si>
  <si>
    <t>Sawmill products</t>
  </si>
  <si>
    <t>p&amp;p material</t>
  </si>
  <si>
    <t>fencing material</t>
  </si>
  <si>
    <t>Timber use summary</t>
  </si>
  <si>
    <t>IPCC GWP 100a - IPCC 2013 GWP 100a (kg CO2eq)</t>
  </si>
  <si>
    <t xml:space="preserve">Vol. of debarked timber (harvest1): </t>
  </si>
  <si>
    <t xml:space="preserve">Vol. of debarked timber (harvest2): </t>
  </si>
  <si>
    <t xml:space="preserve">Vol. of debarked timber (thin1): </t>
  </si>
  <si>
    <t xml:space="preserve">Vol. of debarked timber (thin2): </t>
  </si>
  <si>
    <t>data used in LCA</t>
  </si>
  <si>
    <t>data imported from another spreadsheet</t>
  </si>
  <si>
    <t>conversion factors</t>
  </si>
  <si>
    <t xml:space="preserve">Vol. of sawn timber (harvest1): </t>
  </si>
  <si>
    <t xml:space="preserve">Vol. of sawn timber (harvest2): </t>
  </si>
  <si>
    <t>Volume of sawn timber (harvest1)</t>
  </si>
  <si>
    <t>Volume of sawn timber (harvest2)</t>
  </si>
  <si>
    <t>Drying (of sawn timber)</t>
  </si>
  <si>
    <t>Volume of dried timber (harvest 1)</t>
  </si>
  <si>
    <t>Volume of dried timber (harvest 2)</t>
  </si>
  <si>
    <t>Volume of planed timber (harvest1)</t>
  </si>
  <si>
    <t>Volume of planed timber (harvest2)</t>
  </si>
  <si>
    <t xml:space="preserve">Vol. of planed timber (harvest1): </t>
  </si>
  <si>
    <t xml:space="preserve">Vol. of planed timber (harvest2): </t>
  </si>
  <si>
    <t>Mass of chemically treated timber(harvest2)</t>
  </si>
  <si>
    <t>Mass of chemically treated timber(harvest1)</t>
  </si>
  <si>
    <t>kg/m3</t>
  </si>
  <si>
    <t>Mass of chemically treated wood (harvest1)</t>
  </si>
  <si>
    <t>Mass of chemically treated wood (harvest2)</t>
  </si>
  <si>
    <t>Mass of chemically treated wood (thin1)</t>
  </si>
  <si>
    <t>Mass of chemically treated wood (thin2)</t>
  </si>
  <si>
    <t>Mass of chemically treated timber(thin1)</t>
  </si>
  <si>
    <t>Mass of chemically treated timber(thin2)</t>
  </si>
  <si>
    <t>Particle board production</t>
  </si>
  <si>
    <t>Volume of particle board (thin1)</t>
  </si>
  <si>
    <t>Volume of particle board (thin2)</t>
  </si>
  <si>
    <t>Volume of particle board (harvest1)</t>
  </si>
  <si>
    <t>Volume of particle board (harvest2)</t>
  </si>
  <si>
    <t>Fibre board production</t>
  </si>
  <si>
    <t>Volume of fibre board (thin1)</t>
  </si>
  <si>
    <t>Volume of fibre board (thin2)</t>
  </si>
  <si>
    <t>Volume of fibre board (harvest1)</t>
  </si>
  <si>
    <t>Volume of fibre board (harvest2)</t>
  </si>
  <si>
    <t>Market for tree seedlings</t>
  </si>
  <si>
    <t>Wood panels - Factor to wood raw material underbark</t>
  </si>
  <si>
    <t>tonnes</t>
  </si>
  <si>
    <t>m3 (of green tonnes underbark = 1 tonnes of wood panel)</t>
  </si>
  <si>
    <t>Mass of particle board produced (harvest1)</t>
  </si>
  <si>
    <t>Mass of fibre board produced (harvest2)</t>
  </si>
  <si>
    <t>Mass of particle board produced (harvest2)</t>
  </si>
  <si>
    <t>Mass of fibre board produced (harvest1)</t>
  </si>
  <si>
    <t>particle board density</t>
  </si>
  <si>
    <t>m3/tonne</t>
  </si>
  <si>
    <t>fibre board (MDF) density</t>
  </si>
  <si>
    <t>Vol of particle board produced (harvest1)</t>
  </si>
  <si>
    <t>Vol of particle board produced (harvest2)</t>
  </si>
  <si>
    <t>Vols of fibre board produced (harvest1)</t>
  </si>
  <si>
    <t>Vol of fibre board produced (harvest2)</t>
  </si>
  <si>
    <t>Mass of fibre board produced (thin1)</t>
  </si>
  <si>
    <t>Mass of fibre board produced (thin2)</t>
  </si>
  <si>
    <t>Vol of particle board produced (thin1)</t>
  </si>
  <si>
    <t>Vol of particle board produced (thin2)</t>
  </si>
  <si>
    <t>Mass of particle board produced (thin1)</t>
  </si>
  <si>
    <t>Vol of fibre board produced (thin2)</t>
  </si>
  <si>
    <t>Mass of particle board produced (thin2)</t>
  </si>
  <si>
    <t>Vol of fibre board produced (thin1)</t>
  </si>
  <si>
    <t>Paper production</t>
  </si>
  <si>
    <t>Newsprint - Factor to wood raw material underbark</t>
  </si>
  <si>
    <t>Paperboard - Factor to wood raw material underbark</t>
  </si>
  <si>
    <t>m3 (of green tonnes underbark = 1 tonnes of newsprint)</t>
  </si>
  <si>
    <t>m3 (of green tonnes underbark = 1 tonnes of 'other' paper and paperboard)</t>
  </si>
  <si>
    <t>Mass newsprint produced (harvest1)</t>
  </si>
  <si>
    <t>Mass newsprint produced (harvest2)</t>
  </si>
  <si>
    <t>Mass paperboard produced (harvest1)</t>
  </si>
  <si>
    <t>Mass paperboard produced (harvest2)</t>
  </si>
  <si>
    <t>Paperboard (Corrugated board box)</t>
  </si>
  <si>
    <t>Mass paperboard (harvest1)</t>
  </si>
  <si>
    <t>Mass paperboard (harvest2)</t>
  </si>
  <si>
    <t>Mass newsprint (harvest1)</t>
  </si>
  <si>
    <t>Mass newsprint (harvest2)</t>
  </si>
  <si>
    <t>Primary Use</t>
  </si>
  <si>
    <t>Woodchip production (wet)</t>
  </si>
  <si>
    <t>Mass of woodchips, wet (measured as dry mass) - (thin1)</t>
  </si>
  <si>
    <t>Mass of woodchips, wet (measured as dry mass) - (thin2)</t>
  </si>
  <si>
    <t>Mass of woodchips, wet (measured as dry mass) - (harvest1)</t>
  </si>
  <si>
    <t>Mass of woodchips, wet (measured as dry mass) - (harvest2)</t>
  </si>
  <si>
    <t>Mass of woodchips, wet (measured as dry mass) (harvest1)</t>
  </si>
  <si>
    <t>Mass of woodchips, wet (measured as dry mass) (harvest2)</t>
  </si>
  <si>
    <t>UK (adapted from Swiss plant)</t>
  </si>
  <si>
    <t>heat and power co-generation, wood chips, 6667 kW, state-of-the-art 2014 | electricity, high voltage | APOS, S</t>
  </si>
  <si>
    <t>transport, freight, lorry &gt;32 metric ton, EURO6 | transport, freight, lorry &gt;32 metric ton, EURO6 | APOS, S</t>
  </si>
  <si>
    <t>t*km</t>
  </si>
  <si>
    <t>Transport to processor sites (thin2)</t>
  </si>
  <si>
    <t>Transport to processor sites (harvest1)</t>
  </si>
  <si>
    <t>Transport to processor sites (thin1)</t>
  </si>
  <si>
    <t>Transport to processor sites (harvest2)</t>
  </si>
  <si>
    <t>Tree seedlings (planting1)</t>
  </si>
  <si>
    <t>Tree seedlings (planting2)</t>
  </si>
  <si>
    <t>Machine hours (planting1)</t>
  </si>
  <si>
    <t>Machine hours (planting2)</t>
  </si>
  <si>
    <t>Pesticides (planting1)</t>
  </si>
  <si>
    <t>Pesticides (planting2)</t>
  </si>
  <si>
    <t>Machine hours - harvester (thin1)</t>
  </si>
  <si>
    <t>Machine hours - harvester (thin2)</t>
  </si>
  <si>
    <t>Machine hours - forwarder (thin1)</t>
  </si>
  <si>
    <t>Machine hours - forwarder (thin2)</t>
  </si>
  <si>
    <t>Machine hours - harvester (harvest2)</t>
  </si>
  <si>
    <t>Machine hours - harvester (harvest1)</t>
  </si>
  <si>
    <t>Machine hours - forwarder (harvest1)</t>
  </si>
  <si>
    <t>Machine hours - forwarder (harvest2)</t>
  </si>
  <si>
    <t>Transport (forest to processor)</t>
  </si>
  <si>
    <t>System inputs/output</t>
  </si>
  <si>
    <t>Herbicide (glyphosphate)</t>
  </si>
  <si>
    <t>market for pesticide, unspecified | pesticide, unspecified | APOS, S</t>
  </si>
  <si>
    <t>Global</t>
  </si>
  <si>
    <t>market for glyphosate | glyphosate | APOS, S</t>
  </si>
  <si>
    <t>Machine hours - excavator</t>
  </si>
  <si>
    <t>Net ecosystem C change over 100 yr period (not incl HWP)</t>
  </si>
  <si>
    <t xml:space="preserve">Chemical treatment </t>
  </si>
  <si>
    <t xml:space="preserve">Biomass combustion </t>
  </si>
  <si>
    <t>Product breakout for recycled/end-of-life material - calculation of tonnages going to each secondary manufacturing process or solid waste disposal site (SWDS):</t>
  </si>
  <si>
    <t>thin</t>
  </si>
  <si>
    <t>harvest (thinned)</t>
  </si>
  <si>
    <t>harvest (unthinned)</t>
  </si>
  <si>
    <t>sums:</t>
  </si>
  <si>
    <t>% of initial harvest going to each recycling/SWDS process at end of primary use.</t>
  </si>
  <si>
    <t>(rest goes to biomass or mulch)</t>
  </si>
  <si>
    <t>Thin</t>
  </si>
  <si>
    <t>Mulch</t>
  </si>
  <si>
    <t>Particle board</t>
  </si>
  <si>
    <t>As per IPCC Equation 12.1</t>
  </si>
  <si>
    <t>yr</t>
  </si>
  <si>
    <t xml:space="preserve">Particle board  </t>
  </si>
  <si>
    <t>c(i)= C in year 0 = 0</t>
  </si>
  <si>
    <t>Thin1 (yr21)</t>
  </si>
  <si>
    <t>Thin2 (yr71)</t>
  </si>
  <si>
    <t>harvest1 (unthinned) (yr50)</t>
  </si>
  <si>
    <t>Calculation of Inflows:</t>
  </si>
  <si>
    <t>Inflows (green tonnes)</t>
  </si>
  <si>
    <t>Inflow in all non harvest/thin years:</t>
  </si>
  <si>
    <t>Conversion from green tonnes to tonnes C:</t>
  </si>
  <si>
    <t>(k) (units per year)</t>
  </si>
  <si>
    <t>Half life (yrs)</t>
  </si>
  <si>
    <t>Decay rate, k=</t>
  </si>
  <si>
    <t>c(i+100) = C in yr 100</t>
  </si>
  <si>
    <t>harvest2 (unthinned) (yr100)</t>
  </si>
  <si>
    <t>Decay Calculations - primary HWP:</t>
  </si>
  <si>
    <t>paper and paperboard</t>
  </si>
  <si>
    <t>inflow</t>
  </si>
  <si>
    <t>HWP C storage In Use</t>
  </si>
  <si>
    <t>kg CO2eq</t>
  </si>
  <si>
    <t>Decay Calculations - recycled HWPs (one recycle):</t>
  </si>
  <si>
    <t>Mass paperboard (harvest1 cascaded)</t>
  </si>
  <si>
    <t>Total C stored in secondary use HWP (wood panels) at yr 100</t>
  </si>
  <si>
    <t>Total wood C going to SWDS - incineration</t>
  </si>
  <si>
    <t>Total wood C going to SWDS - landfill</t>
  </si>
  <si>
    <t>Total paper C going to SWDS - incineration</t>
  </si>
  <si>
    <t>Total paper C going to SWDS - landfill</t>
  </si>
  <si>
    <t>Total C stored in HWP (wood) at yr 100</t>
  </si>
  <si>
    <t>Total C stored in HWP (paper) at yr 100</t>
  </si>
  <si>
    <t>total (wood products, not including mulch or biomass)</t>
  </si>
  <si>
    <t>total (paper products)</t>
  </si>
  <si>
    <t>Inflows (Gg C)</t>
  </si>
  <si>
    <t>Gg C</t>
  </si>
  <si>
    <t>Total C emitted from HWP pool (wood) by yr 100</t>
  </si>
  <si>
    <t>kg C</t>
  </si>
  <si>
    <t>Total C emitted from HWP pool (paper) by yr 100</t>
  </si>
  <si>
    <t>secondary product wastes</t>
  </si>
  <si>
    <t>primary product wastes</t>
  </si>
  <si>
    <t xml:space="preserve">kg C </t>
  </si>
  <si>
    <t>Total C stored in secondary use HWP ( paper) at yr 100</t>
  </si>
  <si>
    <t>Total C entering recycled HWP (panel production)</t>
  </si>
  <si>
    <t>Total C entering recycled HWP (paper production)</t>
  </si>
  <si>
    <t>Total to landfill</t>
  </si>
  <si>
    <t>methane generation rate, k</t>
  </si>
  <si>
    <t>half life, t1/2</t>
  </si>
  <si>
    <t>Calculation of landfill emissions (IPCC First Order Decay (FOD) method:</t>
  </si>
  <si>
    <t>DDOCma</t>
  </si>
  <si>
    <t>DDOCm decomp</t>
  </si>
  <si>
    <t>DDOCmd (wood)</t>
  </si>
  <si>
    <t>DDOCmd (paper)</t>
  </si>
  <si>
    <t>DDOCmd (total)</t>
  </si>
  <si>
    <t>Accumulation in yr 100</t>
  </si>
  <si>
    <t>Total decomposition</t>
  </si>
  <si>
    <t>Methane produced</t>
  </si>
  <si>
    <t>Gg CH4</t>
  </si>
  <si>
    <t>Total methane and CO2 produced</t>
  </si>
  <si>
    <t>CO2 produced</t>
  </si>
  <si>
    <t>Methane correction factor (MCF)</t>
  </si>
  <si>
    <t>Methane to CO2 eq conversion factor</t>
  </si>
  <si>
    <t>Gg CO2 eq</t>
  </si>
  <si>
    <t>kWh</t>
  </si>
  <si>
    <t>kg/KWh</t>
  </si>
  <si>
    <t>Conversion factor from kg wet woodchips (measured as dry mass) to 1kWh electricity (in CHP plant)</t>
  </si>
  <si>
    <t>Debarking conversion factor</t>
  </si>
  <si>
    <t>conversion factor from m3 dry wood to kg dry wood (20% mc)</t>
  </si>
  <si>
    <t>Horticultural mulch degradation</t>
  </si>
  <si>
    <t>Amount of horticultural mulch (harvest1)</t>
  </si>
  <si>
    <t>Amount of horticultural mulch (harvest2)</t>
  </si>
  <si>
    <t>horticultural mulch</t>
  </si>
  <si>
    <t>Mass horticultural mulch (thin1)</t>
  </si>
  <si>
    <t>Mass horticultural mulch (thin2) - emitted</t>
  </si>
  <si>
    <t>Mass horticultural mulch (harvest1) - emitted</t>
  </si>
  <si>
    <t>Mass horticultural mulch (harvest2) - emitted</t>
  </si>
  <si>
    <t>Mass horticultural mulch (thin1) - stored in soil</t>
  </si>
  <si>
    <t>Mass horticultural mulch (thin2) - stored in soil</t>
  </si>
  <si>
    <t>Mass horticultural mulch (harvest1) - stored in soil</t>
  </si>
  <si>
    <t>Mass horticultural mulch (harvest2) - stored in soil</t>
  </si>
  <si>
    <t>Cascading wood use - Wood panel production</t>
  </si>
  <si>
    <t>Cascading paper use - paper manufacturing</t>
  </si>
  <si>
    <t>kg (dry mass)</t>
  </si>
  <si>
    <t>Mass biomass (thin1)</t>
  </si>
  <si>
    <t>Mass biomass (thin2)</t>
  </si>
  <si>
    <t>Mass biomass (harvest1)</t>
  </si>
  <si>
    <t>Mass biomass (harvest2)</t>
  </si>
  <si>
    <t>Combustion (biogenic emissions)</t>
  </si>
  <si>
    <t>1 ha of grassland converted to forest</t>
  </si>
  <si>
    <t>Average</t>
  </si>
  <si>
    <t>m2</t>
  </si>
  <si>
    <t>Scenario 1: Replacement of displaced low intensity UK beef production with sustainable high intensity beef production in Europe</t>
  </si>
  <si>
    <t>Scenario 2: Replacement of displaced low intensity UK beef production with expansion of average production in Brazil</t>
  </si>
  <si>
    <t>Scenario 2: Conversion of tropical forestry to expand beef production in Brazil.</t>
  </si>
  <si>
    <t>Indirect landuse change</t>
  </si>
  <si>
    <t>Displacement of low intensity UK beef production</t>
  </si>
  <si>
    <t>MJ/kg</t>
  </si>
  <si>
    <t>electricity production, oil | electricity, high voltage | APOS, U</t>
  </si>
  <si>
    <t xml:space="preserve">UK  </t>
  </si>
  <si>
    <t xml:space="preserve">Assume replaces mineral materials in house building. </t>
  </si>
  <si>
    <t>No substitution</t>
  </si>
  <si>
    <t>Substitution assumption</t>
  </si>
  <si>
    <t>Wood usage (t/house) based on average house size of 88 m2</t>
  </si>
  <si>
    <t>Wood usage (m3/house) based on density of 0.45 t m23</t>
  </si>
  <si>
    <t xml:space="preserve">Timber frame brick clad </t>
  </si>
  <si>
    <t>Timber frame timber clad</t>
  </si>
  <si>
    <t>Traditional build</t>
  </si>
  <si>
    <t>Wood usage t/m2</t>
  </si>
  <si>
    <t xml:space="preserve">unthinned </t>
  </si>
  <si>
    <t>thinned</t>
  </si>
  <si>
    <t>Primary product wastes:</t>
  </si>
  <si>
    <t>Secondary product wastes:</t>
  </si>
  <si>
    <t>Landfill (emissions)</t>
  </si>
  <si>
    <t>Landfill (storage)</t>
  </si>
  <si>
    <t>Waste treatment (from primary and secondary use)</t>
  </si>
  <si>
    <t>GWP (kg CO2eq)</t>
  </si>
  <si>
    <t>unthinned</t>
  </si>
  <si>
    <t>kg (dry)</t>
  </si>
  <si>
    <t>Table 6 Estimates of volumes of wood used in different house types (Sadler 2010) (From Robson et al (2014)).</t>
  </si>
  <si>
    <t>Cascading wood use - biomass combustion (primary waste)</t>
  </si>
  <si>
    <t>Cascading wood use - biomass combustion (secondary waste)</t>
  </si>
  <si>
    <t>heat production, heavy fuel oil, at industrial furnace 1MW | heat, district or industrial, other than natural gas | APOS, U</t>
  </si>
  <si>
    <t>Europe, not including switzerland</t>
  </si>
  <si>
    <t>MJ heat produced</t>
  </si>
  <si>
    <t>incineration (thin1&amp;2 and harvest1) (secondary waste) (thinned)</t>
  </si>
  <si>
    <t>incineration (thin1&amp;2 and harvest1) (secondary waste) (unthinned)</t>
  </si>
  <si>
    <t>incineration (thin1&amp;2 and harvest1) (primary waste) (thinned)</t>
  </si>
  <si>
    <t>incineration (thin1&amp;2 and harvest1) (primary waste) (unthinned)</t>
  </si>
  <si>
    <t>Amount to wood panel production (secondary use) by yr 100</t>
  </si>
  <si>
    <t>Amount to paper production (secondary use) by yr 100</t>
  </si>
  <si>
    <t>Total C stored in paper products (at time of harvest)</t>
  </si>
  <si>
    <t>Total C stored in wood products (not incl biomass or mulch) (at time of harvest)</t>
  </si>
  <si>
    <t>Total C emitted from secondary use HWP (wood panels) by yr 100</t>
  </si>
  <si>
    <t>Total C emitted from secondary use HWP (paper) by yr 100</t>
  </si>
  <si>
    <t>Amount to biomass (tertiary) by yr 100</t>
  </si>
  <si>
    <t xml:space="preserve">Site establishment </t>
  </si>
  <si>
    <t>Land use change</t>
  </si>
  <si>
    <t>Calculation of area of forest required to meet construction of 100,000 homes (in Wales) in the next 20 yrs:</t>
  </si>
  <si>
    <t>Moisture content of timber</t>
  </si>
  <si>
    <t>GWP (kg CO2 eq)</t>
  </si>
  <si>
    <t>Sorting (forest gate):</t>
  </si>
  <si>
    <t>To debarking</t>
  </si>
  <si>
    <t>To sawmilling</t>
  </si>
  <si>
    <t>To horticulture</t>
  </si>
  <si>
    <t>Sawmilling:</t>
  </si>
  <si>
    <t>Fibre board material</t>
  </si>
  <si>
    <t>Particle board material</t>
  </si>
  <si>
    <t xml:space="preserve">Particle board </t>
  </si>
  <si>
    <t>To particle board manufacturing</t>
  </si>
  <si>
    <t>To fence poles</t>
  </si>
  <si>
    <t>particle board production</t>
  </si>
  <si>
    <t>To particle board manufacturing.</t>
  </si>
  <si>
    <t>Wood collected</t>
  </si>
  <si>
    <t>Paper collected</t>
  </si>
  <si>
    <t>In</t>
  </si>
  <si>
    <t>Out</t>
  </si>
  <si>
    <t>ha</t>
  </si>
  <si>
    <t>Land</t>
  </si>
  <si>
    <t>Tree seedlings</t>
  </si>
  <si>
    <t>15 tonne 360 Excavator</t>
  </si>
  <si>
    <t>Pesticides (acetamiprip)</t>
  </si>
  <si>
    <t>Forest management</t>
  </si>
  <si>
    <t>t.km</t>
  </si>
  <si>
    <t>&gt;32  t truck, EURO6</t>
  </si>
  <si>
    <t>Conversion factor from kg wet woodchips (measured as dry mass) to 1MJ heat in industrial boiler</t>
  </si>
  <si>
    <t>kg/MJ</t>
  </si>
  <si>
    <t>Heat from biomass (woodchips) (harvest1)</t>
  </si>
  <si>
    <t>Heat from biomass (woodchips) (harvest2)</t>
  </si>
  <si>
    <t>Heat from biomass (woodchips) (thin1)</t>
  </si>
  <si>
    <t>Heat from biomass (woodchips) (thin2)</t>
  </si>
  <si>
    <t>Heat from secondary use wood chips to biomass (by yr 100)</t>
  </si>
  <si>
    <t>heat production, softwood chips from forest, at furnace 1000kW | heat, district or industrial, other than natural gas | APOS, U</t>
  </si>
  <si>
    <t>UK</t>
  </si>
  <si>
    <t>electricity, from municipal waste incineration to generic market for electricity, medium voltage | electricity, medium voltage | APOS, U</t>
  </si>
  <si>
    <t>Conversion factor for kg waste (wood, assumed 20% dry) to electric energy</t>
  </si>
  <si>
    <t>kWhr</t>
  </si>
  <si>
    <t>kWhr/kg</t>
  </si>
  <si>
    <t>kWhr electricity produced</t>
  </si>
  <si>
    <t>Conversion factor for kg waste (wood, assumed 20% dry) to heat energy</t>
  </si>
  <si>
    <t>Mass woodwaste (assume 20% moisture)</t>
  </si>
  <si>
    <t>Incineration avoided emissions calcs (assume MSW incineration with electricity and heat used within the process, no export)</t>
  </si>
  <si>
    <t>electricity production, natural gas, 10MW | electricity, high voltage | APOS, U</t>
  </si>
  <si>
    <t>electricity production, natural gas, combined cycle power plant | electricity, high voltage | APOS, S</t>
  </si>
  <si>
    <t>electricity production, hard coal | electricity, high voltage | APOS, U</t>
  </si>
  <si>
    <t>Natural gas substitution - electricity (thin1&amp;2 and harvest1&amp;2 secondary waste)</t>
  </si>
  <si>
    <t>Natural gas substitution - electricity (thin1&amp;2 and harvest1&amp;2 primary waste)</t>
  </si>
  <si>
    <t>or</t>
  </si>
  <si>
    <t>paper production, newsprint, virgin | paper, newsprint | APOS, U</t>
  </si>
  <si>
    <t>Graphics paper (recycled newsprint)</t>
  </si>
  <si>
    <t>Mass recycled newsprint (harvest1 cascaded)</t>
  </si>
  <si>
    <t>Mass biomass (thin1&amp;2 and harvest1 cascaded)</t>
  </si>
  <si>
    <t>Mass of woodchips, wet (measured as dry mass) (thin1&amp;2 and harvest1 cascaded)</t>
  </si>
  <si>
    <t>Graphics paper (virgin newsprint)</t>
  </si>
  <si>
    <t>lubricating oil</t>
  </si>
  <si>
    <t>electricity, medium voltage</t>
  </si>
  <si>
    <t>wood chips, wet, measured as dry mass</t>
  </si>
  <si>
    <t>Item(s)</t>
  </si>
  <si>
    <t>preserved wood</t>
  </si>
  <si>
    <t>Landfill</t>
  </si>
  <si>
    <t>Avoided construction materials</t>
  </si>
  <si>
    <t>(Avoided coal)</t>
  </si>
  <si>
    <t>Avoided fossil fuels</t>
  </si>
  <si>
    <t>electricity, low voltage</t>
  </si>
  <si>
    <t>Woodchip production (for biomass energy)</t>
  </si>
  <si>
    <t>Biomass energy</t>
  </si>
  <si>
    <t>Avoided beef production</t>
  </si>
  <si>
    <t>Forest growth</t>
  </si>
  <si>
    <t>Harvested wood</t>
  </si>
  <si>
    <t>Net C sequestered</t>
  </si>
  <si>
    <t>Diesel</t>
  </si>
  <si>
    <t>bark chips</t>
  </si>
  <si>
    <t>sawmill residues</t>
  </si>
  <si>
    <t>recycled wood</t>
  </si>
  <si>
    <t>Harvester (diesel consumption)</t>
  </si>
  <si>
    <t>Forwarder (diesel consumption)</t>
  </si>
  <si>
    <t>Ecoinvent</t>
  </si>
  <si>
    <t>GH</t>
  </si>
  <si>
    <t>JJ</t>
  </si>
  <si>
    <t>FC report</t>
  </si>
  <si>
    <t>CBM, GH</t>
  </si>
  <si>
    <t>Expert estimate</t>
  </si>
  <si>
    <t>diesel (internal transport)</t>
  </si>
  <si>
    <t>Debarked wood</t>
  </si>
  <si>
    <t>debarked wood</t>
  </si>
  <si>
    <t>sawnwood</t>
  </si>
  <si>
    <t>x</t>
  </si>
  <si>
    <t>sawnwood - dried (u=20%)</t>
  </si>
  <si>
    <t xml:space="preserve">Sawing </t>
  </si>
  <si>
    <t>Assume no loss in volume during drying</t>
  </si>
  <si>
    <t>GH,FR conversion factor</t>
  </si>
  <si>
    <t>Assume no vol change</t>
  </si>
  <si>
    <t>heat</t>
  </si>
  <si>
    <t>harvested wood - 'fuel'</t>
  </si>
  <si>
    <t>recycled wood - 'biomass'</t>
  </si>
  <si>
    <t>resin</t>
  </si>
  <si>
    <t>electricity</t>
  </si>
  <si>
    <t>debarked wood - 'pulp'</t>
  </si>
  <si>
    <t>paper, newsprint (virgin)</t>
  </si>
  <si>
    <t>paper, newsprint (recycled)</t>
  </si>
  <si>
    <t>recycled paper</t>
  </si>
  <si>
    <t>FR conversion factor</t>
  </si>
  <si>
    <t>Assumed equal to recycled paper mass</t>
  </si>
  <si>
    <t>board box</t>
  </si>
  <si>
    <t>waste wood</t>
  </si>
  <si>
    <t>waste paper</t>
  </si>
  <si>
    <t>Low intesity beef production, UK</t>
  </si>
  <si>
    <t>Mortar</t>
  </si>
  <si>
    <t>HWP in use</t>
  </si>
  <si>
    <t>sawnwood (carcassing) dried (u=20%)</t>
  </si>
  <si>
    <t>sawnwood (carcassing) planed</t>
  </si>
  <si>
    <t>sawn wood (fencing) dried (u=20%)</t>
  </si>
  <si>
    <t>debarked wood (fence poles)</t>
  </si>
  <si>
    <t>wood preservative</t>
  </si>
  <si>
    <t>debarked wood (chip)</t>
  </si>
  <si>
    <t>m3 particle board produced</t>
  </si>
  <si>
    <t>Volume of particle board (thin1&amp;2 and harvest1 cascaded)</t>
  </si>
  <si>
    <t>kg paper collected to recycled paper production</t>
  </si>
  <si>
    <t>kg paper collected to paperboard production</t>
  </si>
  <si>
    <t xml:space="preserve">kg paper collected to recycled paper </t>
  </si>
  <si>
    <t>IPCC</t>
  </si>
  <si>
    <t>Total wood going to SWDS - landfill</t>
  </si>
  <si>
    <t>kg (20% moisture)</t>
  </si>
  <si>
    <t>Total paper going to SWDS - landfill</t>
  </si>
  <si>
    <t>Amount wood C to landfill (end use) by yr 100</t>
  </si>
  <si>
    <t>Amount wood to landfill (end use) by yr 100</t>
  </si>
  <si>
    <t>Amount paper C to landfill (end use) by yr 100</t>
  </si>
  <si>
    <t>Amount paper to landfill (end use) by yr 100</t>
  </si>
  <si>
    <t>Amount wood to incineration (end use) by yr 100</t>
  </si>
  <si>
    <t>Amount paper to incineration (end use) by yr 100</t>
  </si>
  <si>
    <t>Total wood going to SWDS - incineration</t>
  </si>
  <si>
    <t>Total paper going to SWDS - incineration</t>
  </si>
  <si>
    <t>IPCC, Defra</t>
  </si>
  <si>
    <t>Avoided natural gas (high pressure)</t>
  </si>
  <si>
    <t>Styles</t>
  </si>
  <si>
    <t>GH, FR conversion factor</t>
  </si>
  <si>
    <t>GH, FR conversion factors</t>
  </si>
  <si>
    <t>pp</t>
  </si>
  <si>
    <t>% output split of sawn products:</t>
  </si>
  <si>
    <t>kWh/kg</t>
  </si>
  <si>
    <t>Industry recommended</t>
  </si>
  <si>
    <t>GWP</t>
  </si>
  <si>
    <t>FFRD</t>
  </si>
  <si>
    <t>Data source</t>
  </si>
  <si>
    <t>EF source</t>
  </si>
  <si>
    <t>Emissions factors (EF)</t>
  </si>
  <si>
    <t>CBM-CFS3</t>
  </si>
  <si>
    <t>CBM-CFS3 (GH for product breakout)</t>
  </si>
  <si>
    <t>GH, FR conversions factors</t>
  </si>
  <si>
    <t>JJ, GH, FR conversion factor</t>
  </si>
  <si>
    <t>Ecoinvnet</t>
  </si>
  <si>
    <t xml:space="preserve">Nguyen et al., 2010 </t>
  </si>
  <si>
    <t>IPCC 2006</t>
  </si>
  <si>
    <t>Direct conversion from C content to CO2 eq</t>
  </si>
  <si>
    <t>scenario 1 -high intensity beef production, UK</t>
  </si>
  <si>
    <t>Scenario 2 - indirect LUC (rainforest converted to grass land, Brazi)</t>
  </si>
  <si>
    <t>IPCC, 2006 (Ch4)</t>
  </si>
  <si>
    <t>Scenario 2 - average intensity beef production, Brazil)</t>
  </si>
  <si>
    <t>Process stage</t>
  </si>
  <si>
    <t>Input/output/process</t>
  </si>
  <si>
    <t xml:space="preserve">Paperboard production </t>
  </si>
  <si>
    <t>Graphics paper production (recycled)</t>
  </si>
  <si>
    <t>Graphics paper production</t>
  </si>
  <si>
    <t>Ecoinvent (infrastructure  &amp; consumables)</t>
  </si>
  <si>
    <t>Assume no loss in volume (accounted for in 'sawing')</t>
  </si>
  <si>
    <t>carbon accumulated in HWP</t>
  </si>
  <si>
    <t>Conversion of biogenic C to CO2eq</t>
  </si>
  <si>
    <t>Thin 1</t>
  </si>
  <si>
    <t>Thin 2</t>
  </si>
  <si>
    <t>Harvest 1</t>
  </si>
  <si>
    <t>Harvest 2</t>
  </si>
  <si>
    <t>FF resource depletion (MJ)</t>
  </si>
  <si>
    <t>Assumed % of carcassing that is used in timber frames:</t>
  </si>
  <si>
    <t>Wood usage m3/house</t>
  </si>
  <si>
    <t>Wood usage t/house</t>
  </si>
  <si>
    <t>Wood usage t/m2 -  assuming 88m2 house</t>
  </si>
  <si>
    <t>Walls</t>
  </si>
  <si>
    <t>Structural floors and cassettes</t>
  </si>
  <si>
    <t>Wood application</t>
  </si>
  <si>
    <t>Timber frame</t>
  </si>
  <si>
    <t>Totals</t>
  </si>
  <si>
    <t>Read Report (2009) - Suttie et al (2009)</t>
  </si>
  <si>
    <t>Trusssed rafters</t>
  </si>
  <si>
    <t>These numbers are similar to (Sadler, 2010)</t>
  </si>
  <si>
    <t>Carcassing t/m2 - assuming 88m2 house</t>
  </si>
  <si>
    <t>Carcassing t/ house</t>
  </si>
  <si>
    <t>tonnes /ha</t>
  </si>
  <si>
    <t>% increase (ha) (for un-thinned vs thinned)</t>
  </si>
  <si>
    <t>energy recovery</t>
  </si>
  <si>
    <t>recovery (not energy)</t>
  </si>
  <si>
    <t>Collection</t>
  </si>
  <si>
    <t>SWDS</t>
  </si>
  <si>
    <t>Materials required per 1m2 of wall</t>
  </si>
  <si>
    <t>Area (m2)</t>
  </si>
  <si>
    <t>Volume (m3)</t>
  </si>
  <si>
    <t>Mass (kg)</t>
  </si>
  <si>
    <t>IPCC GWP (kg CO2 eq)</t>
  </si>
  <si>
    <t>Brick</t>
  </si>
  <si>
    <t>Mortar (blocks)</t>
  </si>
  <si>
    <t>Mortar (bricks)</t>
  </si>
  <si>
    <t>Render (cement:sand 1:4) 20mm</t>
  </si>
  <si>
    <t>Timber frame (superstructure)</t>
  </si>
  <si>
    <t>Timber battening (for timber cladding)</t>
  </si>
  <si>
    <t>Timber cladding</t>
  </si>
  <si>
    <t>Fibreboard (9mm)</t>
  </si>
  <si>
    <t>concrete_block_production___concrete_block___APOS__U</t>
  </si>
  <si>
    <t>clay_brick_production___clay_brick___APOS__U</t>
  </si>
  <si>
    <t>silica_sand_production___silica_sand___APOS__U</t>
  </si>
  <si>
    <t>cement_production__Portland___cement__Portland___APOS__U</t>
  </si>
  <si>
    <t>Germany</t>
  </si>
  <si>
    <t>RoW</t>
  </si>
  <si>
    <t>(Sand)</t>
  </si>
  <si>
    <t>(Cement)</t>
  </si>
  <si>
    <t>Calculation of construction product substitution effect (timber frame wall (i.e. carcassing) replacing masonry wall(s):</t>
  </si>
  <si>
    <t>NOTE: Timber frame walls are assumed to be closed panel (i.e. OSB both sides) but the limiting material is assumed to be the carcassing material so OSB is ignored here.</t>
  </si>
  <si>
    <t>Blocks</t>
  </si>
  <si>
    <t>Bricks</t>
  </si>
  <si>
    <t>Render (20mm, cement and sand 1:4)</t>
  </si>
  <si>
    <t>Block and brick</t>
  </si>
  <si>
    <t>None</t>
  </si>
  <si>
    <t>Double block and render</t>
  </si>
  <si>
    <t>Closed panel timber frame, block and render clad</t>
  </si>
  <si>
    <t>Closed panel timber frame, brick clad</t>
  </si>
  <si>
    <t>Closed timber frame, timber clad</t>
  </si>
  <si>
    <t>Brick wall + block wall</t>
  </si>
  <si>
    <t>Double block wall and render</t>
  </si>
  <si>
    <t>Displaced emissions:</t>
  </si>
  <si>
    <t xml:space="preserve">Timber frame brick/block clad </t>
  </si>
  <si>
    <t>Area of forest required to supply carcassing over 20 yrs (ha)</t>
  </si>
  <si>
    <t>Avoided kg CO2 eq emissions (displacing block walls)</t>
  </si>
  <si>
    <t>Area of timber frame walls (m2)</t>
  </si>
  <si>
    <t>Impact of forest (net C seq) supplying 100,000 homes over 20 yrs</t>
  </si>
  <si>
    <t>Abiotic depletion (MJ fossil fuels)</t>
  </si>
  <si>
    <t>MJ fossil fuels</t>
  </si>
  <si>
    <t>Displaced emissions per m2 of wall</t>
  </si>
  <si>
    <t>Wall type displaced</t>
  </si>
  <si>
    <t>Single block wall</t>
  </si>
  <si>
    <t>Avoided FF eq (TJ)</t>
  </si>
  <si>
    <t>FF depletion (MJ eq)</t>
  </si>
  <si>
    <t>Emissions per m2 of external wall</t>
  </si>
  <si>
    <t xml:space="preserve">Note: timber frame wall will also have OSB sheets but it is assumed that the carcassing is the limiting material, also the product life of OSB already reflects that some ends up in construction applications. We are only interested in bricks/mortar displacement effects here. Also, this is only accounting for external walls, not internal walls. However, similar displacement is likely to occur for internal timber walls replacing brick walls. </t>
  </si>
  <si>
    <t>CLT?</t>
  </si>
  <si>
    <t>Mulch C storage pool</t>
  </si>
  <si>
    <t>average:</t>
  </si>
  <si>
    <t>50yrs</t>
  </si>
  <si>
    <t>100yrs</t>
  </si>
  <si>
    <t>79yrs (approx)</t>
  </si>
  <si>
    <t>10 yrs</t>
  </si>
  <si>
    <t>29yrs (approx)</t>
  </si>
  <si>
    <t>After 50 years, the amount of carbon released from the composted MSW is between 0.66 amd 0.75 of the original C content (Bruun et. al., 2006, p261, Table 8).</t>
  </si>
  <si>
    <t>These figures will be used to approximate the remaining C stored in bark chips used for horticultural mulch. It is thought that this is likely to be a conservative approach since the bark chips are not yet composted.</t>
  </si>
  <si>
    <t>Total C stored in mulch from thinning 1 (t)</t>
  </si>
  <si>
    <t>Total C stored in mulch from harvest 1 (t)</t>
  </si>
  <si>
    <t>Total C stored in mulch from thinning 2 (t)</t>
  </si>
  <si>
    <t>Total C stored in mulch from harvest 2 (t)</t>
  </si>
  <si>
    <t>Total C emmitted from thinning 1 mulch (t)</t>
  </si>
  <si>
    <t>Total C emmitted from harvest 1 mulch (t)</t>
  </si>
  <si>
    <t>Total C emmitted from thinning 2 mulch (t)</t>
  </si>
  <si>
    <t>Total C emmitted from harvest 2 mulch (t)</t>
  </si>
  <si>
    <t>Mass of C in HWPs (primary use, not including biomass)</t>
  </si>
  <si>
    <t>Mass of C in HWPs (recycled use, not including biomass)</t>
  </si>
  <si>
    <t>MJ (produced if burned in woodchip boiler)</t>
  </si>
  <si>
    <t>Water use (Midpoint, per country, pre-defined factors) (m3)</t>
  </si>
  <si>
    <t>heat production, natural gas, at industrial furnace &gt;100kW | heat, district or industrial, natural gas | APOS, U</t>
  </si>
  <si>
    <t>Natural gas substitution (thin1&amp;2 and harvest1&amp;2 secondary waste)</t>
  </si>
  <si>
    <t>Sum (gas + coal sub):</t>
  </si>
  <si>
    <t>Block (140mm dense concrete blocks with 10mm jointing)</t>
  </si>
  <si>
    <t>Industry standard</t>
  </si>
  <si>
    <t>Vol natural gas (HP) needed to produce 1MJ heat</t>
  </si>
  <si>
    <t>Vol natural gas (HP) needed to produce 1kWh</t>
  </si>
  <si>
    <t>(Avoided heavy fuel oil)</t>
  </si>
  <si>
    <t>Timber (carcassing for timber frames only) needed for 100,000 homes (tonnes)</t>
  </si>
  <si>
    <t>Incineration (biogenic C)</t>
  </si>
  <si>
    <t>Mass horticultural mulch (thin1) - emitted (biogenic)</t>
  </si>
  <si>
    <t>Summary of harvests (green tonnes)</t>
  </si>
  <si>
    <t>Conversion of grassland to forestry (above ground biomass loss) - DELETE?</t>
  </si>
  <si>
    <t>range of emission co-efficients:</t>
  </si>
  <si>
    <t>Total C stored at yr 100 (t)</t>
  </si>
  <si>
    <t>Spruce, Sitka</t>
  </si>
  <si>
    <t>Common</t>
  </si>
  <si>
    <t>SG @ 12%</t>
  </si>
  <si>
    <t>Heartwood</t>
  </si>
  <si>
    <t>Sapwood</t>
  </si>
  <si>
    <t>Range Low</t>
  </si>
  <si>
    <t>Range High</t>
  </si>
  <si>
    <t>12% MC</t>
  </si>
  <si>
    <t>Average Green</t>
  </si>
  <si>
    <t>Low Green</t>
  </si>
  <si>
    <t>High Green</t>
  </si>
  <si>
    <t>Weight of one cubic meter, in kilograms</t>
  </si>
  <si>
    <t>https://extension.psu.edu/calculating-the-green-weight-of-wood-species#section-2</t>
  </si>
  <si>
    <t>Basic SG (g/cm3)</t>
  </si>
  <si>
    <t>Moisture Content, % (MC = (mgreen - mdry) / mdry (1))</t>
  </si>
  <si>
    <t>Basic SG (g/cm3) (green wood)</t>
  </si>
  <si>
    <t>MC = (mgreen - mdry) / mdry (1)</t>
  </si>
  <si>
    <t>mgreen = mdry * (1 + MC) (2)</t>
  </si>
  <si>
    <t>Avge moisture content SS (on harvest)</t>
  </si>
  <si>
    <t>Avg SG ss  (on harvest) (g/cm3)</t>
  </si>
  <si>
    <t xml:space="preserve">C content of oven dry wood </t>
  </si>
  <si>
    <t>g/cm3</t>
  </si>
  <si>
    <t>Green/fresh wood density (@oven dry mass, fresh volume)</t>
  </si>
  <si>
    <t>Particle/fibre board</t>
  </si>
  <si>
    <t>Losses at construction site:</t>
  </si>
  <si>
    <t>Fraction lost/yr (ln2/half life)</t>
  </si>
  <si>
    <t>t C</t>
  </si>
  <si>
    <t>(Used for C graph - C stored in mulch/soil)</t>
  </si>
  <si>
    <t>Horticultural mulch C storage</t>
  </si>
  <si>
    <t>Ecosystem transfers - Softwood harvest (biomass) (tonnes C) - no thin</t>
  </si>
  <si>
    <t>Ecosystem transfers - Softwood harvest (biomass) (tonnes C) - &gt;75%thin</t>
  </si>
  <si>
    <t>Going to panel production</t>
  </si>
  <si>
    <t>Going to biomas (energy)</t>
  </si>
  <si>
    <t>(Not using this)</t>
  </si>
  <si>
    <t>Harvest 1 (no thin)</t>
  </si>
  <si>
    <t>Harvest 2 (no thin)</t>
  </si>
  <si>
    <t>Harvest 1 (thinned)</t>
  </si>
  <si>
    <t>Harvest 2 (thinned)</t>
  </si>
  <si>
    <t>kg recycled wood to particle board production (20% moisture)</t>
  </si>
  <si>
    <t>kg (dry wood)</t>
  </si>
  <si>
    <t>Assumed % carcassing loss at construction site (offcuts etc):</t>
  </si>
  <si>
    <t>Time Step</t>
  </si>
  <si>
    <t>Annual C stock - total ecosystem (tonnes C) - natural (zero mgt)</t>
  </si>
  <si>
    <t>Biomass (heat)</t>
  </si>
  <si>
    <t>Biomass (electricity)</t>
  </si>
  <si>
    <t>To biomass (heat)</t>
  </si>
  <si>
    <t>To biomass (electricity)</t>
  </si>
  <si>
    <t>Mass of biomass (heat) (harvest1)</t>
  </si>
  <si>
    <t>Mass of biomass (heat) (harvest2)</t>
  </si>
  <si>
    <t>Mass of biomass (electricity) (harvest1)</t>
  </si>
  <si>
    <t>Mass of biomass (electricity) (harvest2)</t>
  </si>
  <si>
    <t>Mass of biomass (electricity) (thin1)</t>
  </si>
  <si>
    <t>Mass of biomass (electricity) (thin2)</t>
  </si>
  <si>
    <t>biomass (heat)</t>
  </si>
  <si>
    <t>biomass (electricity)</t>
  </si>
  <si>
    <t>Heat production (embodied emissions)</t>
  </si>
  <si>
    <t>Biomass (heat) (harvest 1)</t>
  </si>
  <si>
    <t>Biomass (electricity) (harvest 1)</t>
  </si>
  <si>
    <t>Biomass (electricity) (harvest 2)</t>
  </si>
  <si>
    <t>Biomass (heat) (harvest 2)</t>
  </si>
  <si>
    <t>Biomass (electricity) (primary waste)</t>
  </si>
  <si>
    <t>Biomass (electricity) (secondary waste)</t>
  </si>
  <si>
    <t>Energy options:</t>
  </si>
  <si>
    <t>HWP C sotrage in CCS technology</t>
  </si>
  <si>
    <t>Electricity avoided emissions calcs</t>
  </si>
  <si>
    <t>Lower heating value wood (dry mass)</t>
  </si>
  <si>
    <t>Lower heating value wood (10% MC)</t>
  </si>
  <si>
    <t>Biomass conversion to electricity (UK)</t>
  </si>
  <si>
    <t>Electrical output (per kg dry mass)</t>
  </si>
  <si>
    <t>Conversion factor from kg (dry weight) wood to electricity in biomass power plant</t>
  </si>
  <si>
    <t>Heat produced from biomass (havest 1)</t>
  </si>
  <si>
    <t>Heat produced from biomass (havest 2)</t>
  </si>
  <si>
    <t>Dry tonnes</t>
  </si>
  <si>
    <t>Mass of biomass to be pelleted (thin1)</t>
  </si>
  <si>
    <t>Mass of biomass to be pelleted (thin2)</t>
  </si>
  <si>
    <t>Electricity produced from biomass (harvest1)</t>
  </si>
  <si>
    <t>Electricity produced from biomass (harvest2)</t>
  </si>
  <si>
    <t>Amount to biomass (electricity) (secondary use) by yr 100</t>
  </si>
  <si>
    <t>Electricity from secondary use wood chips to biomass (by yr 100)</t>
  </si>
  <si>
    <t>Total biogenic  C emitted from incineration (panels and paper)</t>
  </si>
  <si>
    <t>kg recycled wood to particle board production (20% MC)</t>
  </si>
  <si>
    <t>Wood pellet production</t>
  </si>
  <si>
    <t>Wood pellets, measured as dry mass - (thin1)</t>
  </si>
  <si>
    <t>Wood pellets, measured as dry mass - (thin2)</t>
  </si>
  <si>
    <t>Wood pellets, measured as dry mass - (harvest1)</t>
  </si>
  <si>
    <t>Wood pellets, measured as dry mass - (harvest2)</t>
  </si>
  <si>
    <t>Electricity production (embodied emissions)</t>
  </si>
  <si>
    <t>Electricity production (biogenic emissions by yr 100)</t>
  </si>
  <si>
    <t>Electricity from wood chips to biomass (by yr 100)</t>
  </si>
  <si>
    <t>Mass of wood chips to biomass (electricity) (by yr 100)</t>
  </si>
  <si>
    <t>wood pellet production | wood pellet, measured as dry mass | APOS, U</t>
  </si>
  <si>
    <t>Biomass (electricity) (thin 1)</t>
  </si>
  <si>
    <t>Biomass (electricity) (thin 2)</t>
  </si>
  <si>
    <t>Probably calculate all biomass FF subn in the C graph page on an annual basis and then link the total to this page.</t>
  </si>
  <si>
    <t>Probably calculate all construction emissions subn in the C graph page on an annual basis and then link the total to this page.</t>
  </si>
  <si>
    <t>Electricity from biomass (thin1)</t>
  </si>
  <si>
    <t>Electricity from biomass (thin2)</t>
  </si>
  <si>
    <t>Electricity from biomass (woodchips/pellets) (thin1)</t>
  </si>
  <si>
    <t>Electricity from biomass (woodchips/pellets) (thin2)</t>
  </si>
  <si>
    <t>Electricity from biomass (woodchips/pellets) (harvest1)</t>
  </si>
  <si>
    <t>Electricity from biomass (woodchips/pellets) (harvest2)</t>
  </si>
  <si>
    <t>Electricity from biomass (woodchips/pellets) (thin1&amp;2 and harvest1 cascaded)</t>
  </si>
  <si>
    <t>Timber used in construction of timber frame houses - substituting mineral built houses (harvest1)</t>
  </si>
  <si>
    <t>Timber used in construction of timber frame houses - substituting mineral built houses (harvest2)</t>
  </si>
  <si>
    <t>Avoided emissions (harvest1)</t>
  </si>
  <si>
    <t>Avoided emissions (harvest2)</t>
  </si>
  <si>
    <t>Option 1: replacement of block wall (harvest1)</t>
  </si>
  <si>
    <t>Option 1: replacement of block wall (harvest2)</t>
  </si>
  <si>
    <t>Assumed mass of carcassing used in timber frames (harvest1):</t>
  </si>
  <si>
    <t>Assumed mass of carcassing used in timber frames (harvest2):</t>
  </si>
  <si>
    <t>tonnes/ha</t>
  </si>
  <si>
    <t>Area of timber frame wall produced (harvest1):</t>
  </si>
  <si>
    <t>Area of timber frame wall produced (harvest2):</t>
  </si>
  <si>
    <t xml:space="preserve">Option 2:  timber clad, replacement of double block and render wall (harvest1) </t>
  </si>
  <si>
    <t>Option 3: timber clad, replacement of block wall and brick wall (harvest2)</t>
  </si>
  <si>
    <t>RoW (but actually S Africa)</t>
  </si>
  <si>
    <t>electricity production, solar tower power plant, 20 MW | electricity, high voltage | APOS, U</t>
  </si>
  <si>
    <t>Biomass (electricity) (construction waste) (harvest 1)</t>
  </si>
  <si>
    <t>Biomass (electricity) (construction waste) (harvest 2)</t>
  </si>
  <si>
    <t>Sum (mix BAU):</t>
  </si>
  <si>
    <t xml:space="preserve">These blocks are </t>
  </si>
  <si>
    <t>market for gravel, round | gravel, round | APOS, U</t>
  </si>
  <si>
    <t>https://assets.publishing.service.gov.uk/government/uploads/system/uploads/attachment_data/file/651222/cement-decarbonisation-action-plan.pdf</t>
  </si>
  <si>
    <t>Facts</t>
  </si>
  <si>
    <t>Sources</t>
  </si>
  <si>
    <t xml:space="preserve"> 70% of CO2 emissions in the sector come from the
chemical process of calcining calcium carbonate13 (process emissions)
rather than energy use. Can't be reduced without CCU/S</t>
  </si>
  <si>
    <t>Plans to improve process efficiencies and switch to biomass/waste sources for heat generation. Reducing emissions by around 70%.</t>
  </si>
  <si>
    <t>https://europeanclimate.org/wp-content/uploads/2019/04/Industrial-Transformation-2050.pdf</t>
  </si>
  <si>
    <t>Although the cement industry uses a range of fuels, the large majority (54%) is coal or petcoke. It also uses 30% refuse derived fuels (waste tyres, plastics etc) and 15% from biomass. It doesn't expect to use much more biomass due to resource constraints.</t>
  </si>
  <si>
    <t>Baseline scenario could be improved energy effciency (~10%), and  decarbonisation of electricity supply (~6% reduction in emissions) with no change to fuel supply of CCS/U.</t>
  </si>
  <si>
    <t>Best case would be increased use of RDF/biomass pluc CCS/U</t>
  </si>
  <si>
    <t>https://cement.mineralproducts.org/documents/MPA_Cement_GHG_Reduction_Strategy_Technical_Document.pdf</t>
  </si>
  <si>
    <t xml:space="preserve">This paper says that they will use 40% biomass by 2050. (Replacing coal presumably, since the RDF contribution is also set to rise or stay the same.) Also, cement plants will be 22 per cent more efficient than in 1990 </t>
  </si>
  <si>
    <t>Biomass (heat) (primary waste)</t>
  </si>
  <si>
    <t>Biomass (heat) (secondary waste)</t>
  </si>
  <si>
    <t>Incineration (primary  waste)</t>
  </si>
  <si>
    <t>Incineration (secondary  waste)</t>
  </si>
  <si>
    <t>heat production, at hard coal industrial furnace 1-10MW | heat, district or industrial, other than natural gas | APOS, U</t>
  </si>
  <si>
    <t>2020-2029</t>
  </si>
  <si>
    <t>2030-2039</t>
  </si>
  <si>
    <t>2040-2049</t>
  </si>
  <si>
    <t>Core</t>
  </si>
  <si>
    <t>FA</t>
  </si>
  <si>
    <t>&gt;75% thin</t>
  </si>
  <si>
    <t>no thin</t>
  </si>
  <si>
    <t>Biogenic emissions (without CCS)</t>
  </si>
  <si>
    <t>Mass biomass (electricity) (harvest1)</t>
  </si>
  <si>
    <t>Mass biomass (electricity) (thin1)</t>
  </si>
  <si>
    <t>Mass biomass (electricity) (harvest2)</t>
  </si>
  <si>
    <t>Mass biomass (heat) (harvest1)</t>
  </si>
  <si>
    <t>Mass biomass (heat) (harvest2)</t>
  </si>
  <si>
    <t>Mass biomass (electricity) (thin2)</t>
  </si>
  <si>
    <t>100% gas substitution (thin1)</t>
  </si>
  <si>
    <t>100% gas substitution (thin2)</t>
  </si>
  <si>
    <t>100% gas substitution (construction waste, harvest1)</t>
  </si>
  <si>
    <t>100% gas substitution (construction waste, harvest2)</t>
  </si>
  <si>
    <t>100% gas substitution (harvest2)</t>
  </si>
  <si>
    <t>100% gas substitution (harvest1)</t>
  </si>
  <si>
    <t>Start here - do heat</t>
  </si>
  <si>
    <t>Coal substitution (harvest1)</t>
  </si>
  <si>
    <t>Coal substitution (harvest2)</t>
  </si>
  <si>
    <t>Coal substitution (thin1&amp;2 and harvest1&amp;2 primary waste)</t>
  </si>
  <si>
    <t>Coal substitution - heat (thin1&amp;2 and harvest1&amp;2 primary waste)</t>
  </si>
  <si>
    <t>Coal substitution - heat (thin1&amp;2 and harvest1&amp;2 secondary waste)</t>
  </si>
  <si>
    <t>Primary waste (electricity)</t>
  </si>
  <si>
    <t>Secondary waste (electricity)</t>
  </si>
  <si>
    <t>Total Ecosystem(SSYC18 no_thin Default Simulat</t>
  </si>
  <si>
    <t>Total Ecosystem(SSYC18 int_thin Default Simulation Assumption)</t>
  </si>
  <si>
    <t>Total Ecosystem(Afforestation 50BL50C v3 Default Simulation Ass</t>
  </si>
  <si>
    <t>Softwood Harvest (Biomass)(SSYC18 no_thin Default Simulation A</t>
  </si>
  <si>
    <t>Time Step '(Biomass)(SSYC18 int_thin Default Simulation</t>
  </si>
  <si>
    <t>Softwood Harvest (Biomass)(SSYC18 int_thin Default Simulation A</t>
  </si>
  <si>
    <t>Area of concrete block and mortar wall (replaced by timber frame wall) (harvest 1&amp;2)</t>
  </si>
  <si>
    <t>kg CO2e</t>
  </si>
  <si>
    <t>Yr 0</t>
  </si>
  <si>
    <t>Yr 50 (core)</t>
  </si>
  <si>
    <t>Yr 100 (FA)</t>
  </si>
  <si>
    <t>Caculation of substitution factors</t>
  </si>
  <si>
    <t>Planting</t>
  </si>
  <si>
    <t>Forest mgt</t>
  </si>
  <si>
    <t>Forest to processor</t>
  </si>
  <si>
    <t>Sawmill</t>
  </si>
  <si>
    <t>Wood panel production</t>
  </si>
  <si>
    <t>Biomass combustion (primary waste)</t>
  </si>
  <si>
    <t>Biomass combustion (secondary waste)</t>
  </si>
  <si>
    <t>Paper - cascading</t>
  </si>
  <si>
    <t>Thinning - harvester</t>
  </si>
  <si>
    <t>Thinning - forwarder</t>
  </si>
  <si>
    <t>Harvest - harvester</t>
  </si>
  <si>
    <t>Harvest - forwarder</t>
  </si>
  <si>
    <t>Forest to processor - thin</t>
  </si>
  <si>
    <t>Forest to processor - harvest</t>
  </si>
  <si>
    <t>Debarking - thin</t>
  </si>
  <si>
    <t>Debarking - harvest</t>
  </si>
  <si>
    <t>Chemical treatment - thin</t>
  </si>
  <si>
    <t>Chemical treatment - harvest</t>
  </si>
  <si>
    <t>Particle board - thin</t>
  </si>
  <si>
    <t>Particle board - harvest</t>
  </si>
  <si>
    <t>Fibre board - thin</t>
  </si>
  <si>
    <t>Fibre board - harvest</t>
  </si>
  <si>
    <t>Woodchip production (wet) - thin</t>
  </si>
  <si>
    <t>Woodchip production (wet) - harvest</t>
  </si>
  <si>
    <t>Wood pellet production - thin</t>
  </si>
  <si>
    <t>Wood pellet production - harvest</t>
  </si>
  <si>
    <t>Nursery</t>
  </si>
  <si>
    <t>Thinning/harvesting</t>
  </si>
  <si>
    <t>Chemical treatment</t>
  </si>
  <si>
    <t>Woodchip/pellet production</t>
  </si>
  <si>
    <t>Woodchip production - cascading</t>
  </si>
  <si>
    <t>Graphics paper (virgin newsprint) - cascading</t>
  </si>
  <si>
    <t>Paperboard (Corrugated board box) - cascading</t>
  </si>
  <si>
    <t>Summary</t>
  </si>
  <si>
    <t>Pulp and paper</t>
  </si>
  <si>
    <t>Wood panel</t>
  </si>
  <si>
    <t>Wood fuel</t>
  </si>
  <si>
    <t>P&amp;P</t>
  </si>
  <si>
    <t>Other</t>
  </si>
  <si>
    <t>tree seedling production, in unheated greenhouse | tree seedling, for planting | APOS, U</t>
  </si>
  <si>
    <t>t green wood harvested in UK (2017 data, FC)</t>
  </si>
  <si>
    <t>000s m3 total</t>
  </si>
  <si>
    <t>I Changed unthinned data only - highlighted cells in red text were changed</t>
  </si>
  <si>
    <t>tissue</t>
  </si>
  <si>
    <t>graphics and other</t>
  </si>
  <si>
    <t>total</t>
  </si>
  <si>
    <t>packaging</t>
  </si>
  <si>
    <t>2018 paper and paperboard production UK (000's metric tonnes):</t>
  </si>
  <si>
    <t>Roundwood</t>
  </si>
  <si>
    <t>Sawmill Products</t>
  </si>
  <si>
    <t>Reclaimed Wood</t>
  </si>
  <si>
    <t>Wood Use</t>
  </si>
  <si>
    <t>MDF</t>
  </si>
  <si>
    <t> OSB</t>
  </si>
  <si>
    <t> Particleboard</t>
  </si>
  <si>
    <t>UK &amp; Ireland production (m3)</t>
  </si>
  <si>
    <t>Wet tonnes</t>
  </si>
  <si>
    <t>2020 wood panel production UK:</t>
  </si>
  <si>
    <t>market for urea formaldehyde resin | urea formaldehyde resin | APOS, U</t>
  </si>
  <si>
    <t>market for phenolic resin | phenolic resin | APOS, U</t>
  </si>
  <si>
    <t>GWP of resins used (kg CO2e)</t>
  </si>
  <si>
    <t>% of total GWP</t>
  </si>
  <si>
    <t>Sawmills</t>
  </si>
  <si>
    <t>Wood Panel Production</t>
  </si>
  <si>
    <t>Wood Fuel Production</t>
  </si>
  <si>
    <t>Forestry Operations</t>
  </si>
  <si>
    <t>Timber transport</t>
  </si>
  <si>
    <t xml:space="preserve">Scope 3 </t>
  </si>
  <si>
    <t>Scope 1&amp;2</t>
  </si>
  <si>
    <t>Forestry and Wood Processing</t>
  </si>
  <si>
    <t>Other/Horticultural mulch</t>
  </si>
  <si>
    <t>Avoided emissions</t>
  </si>
  <si>
    <t>Scope 4</t>
  </si>
  <si>
    <t xml:space="preserve">2020 Waste wood fuel production </t>
  </si>
  <si>
    <t>Avoided emissions from waste wood fuel</t>
  </si>
  <si>
    <t>Wood panels</t>
  </si>
  <si>
    <t>Virgin material used in particle board:</t>
  </si>
  <si>
    <t>m3 (green tonnes)</t>
  </si>
  <si>
    <t>as % of total harvest</t>
  </si>
  <si>
    <t>Virgin material used in fibre board:</t>
  </si>
  <si>
    <t>So, roughly equal quantities of virgin material are used in fibreboard andparticleboard, respective.</t>
  </si>
  <si>
    <t>Sub-sector</t>
  </si>
  <si>
    <t>2050-2059</t>
  </si>
  <si>
    <t>Time period</t>
  </si>
  <si>
    <t>sawmills</t>
  </si>
  <si>
    <t>wood panels</t>
  </si>
  <si>
    <t>transport</t>
  </si>
  <si>
    <t>Forestry ops</t>
  </si>
  <si>
    <t>Mobile plant (forestry operations)</t>
  </si>
  <si>
    <t>Extra data/calcs to reconcile actual value chain impact, by including recovered waste contribution:</t>
  </si>
  <si>
    <t>Tonnes particle board/yr</t>
  </si>
  <si>
    <t>Potential % contribution of recovered MDF</t>
  </si>
  <si>
    <t>Tonnes CO2e per year (2020 baseline)</t>
  </si>
  <si>
    <t>Scope 1,2&amp;3</t>
  </si>
  <si>
    <t>wood fuel production</t>
  </si>
  <si>
    <t>Summary of harvest1 primary timber use impacts (i.e. not including recovered wood or recycled uses)</t>
  </si>
  <si>
    <t>Condensed summary for purposes of presentation</t>
  </si>
  <si>
    <t>Alternative condensed summary for purposes of presentation</t>
  </si>
  <si>
    <t>% contribution to total value chain GWP impact (Scopes 1,2&amp;3)</t>
  </si>
  <si>
    <t xml:space="preserve"> The actual split of virgin material, adjusted to match the material flow diagram, would be roughly 13% for MDF and 14% for particle board. (This tallies up with 'material flow' sheet)</t>
  </si>
  <si>
    <t>MDF recovered annually</t>
  </si>
  <si>
    <t>Green wood equivalent of recovered MDF</t>
  </si>
  <si>
    <t>% of annual harvest</t>
  </si>
  <si>
    <t>Avoided emissions from reduced MDF manufacturing emissions is:</t>
  </si>
  <si>
    <t>i.e. when roundwood is diverted from wood panels at forest gate to sawmills (P&amp;P focussed) there are more fencing and P&amp;P produced but everything else stays more or less the same.</t>
  </si>
  <si>
    <t>Total recovered MDF GWP impact:</t>
  </si>
  <si>
    <t>i.e.</t>
  </si>
  <si>
    <t>(Pasted from UK baseline workbook)</t>
  </si>
  <si>
    <t>(UK data)</t>
  </si>
  <si>
    <t>(my model data)</t>
  </si>
  <si>
    <t xml:space="preserve">kg CO2e less avoided emissions when diverting MDF </t>
  </si>
  <si>
    <t xml:space="preserve">tonnes CO2e </t>
  </si>
  <si>
    <t>Calculations for UK circularity workbook:</t>
  </si>
  <si>
    <t>Circ</t>
  </si>
  <si>
    <t>Difference:</t>
  </si>
  <si>
    <t>t CO2e</t>
  </si>
  <si>
    <t>Increased HWP C storage</t>
  </si>
  <si>
    <t>Altered UK production (for calculating import substitution/increase)</t>
  </si>
  <si>
    <t>Non-circ model data (pasted  from UK baseline)</t>
  </si>
  <si>
    <t>Assume transport mix of substituted imports:</t>
  </si>
  <si>
    <t>ship</t>
  </si>
  <si>
    <t>rail</t>
  </si>
  <si>
    <t>road</t>
  </si>
  <si>
    <t>distance - wood panels (Germany)</t>
  </si>
  <si>
    <t>Total (sawnwood)</t>
  </si>
  <si>
    <t>GWP (kg CO2e/m3)</t>
  </si>
  <si>
    <t>distance - sawnwood (Sweden) (km)</t>
  </si>
  <si>
    <t>market for sawnwood, softwood, dried (u=20%), planed | sawnwood, softwood, dried (u=20%), planed | APOS, U</t>
  </si>
  <si>
    <t>market for particle board, for indoor use | particle board, for indoor use | APOS, U</t>
  </si>
  <si>
    <t>fibreboard</t>
  </si>
  <si>
    <t>Total (wood panels)</t>
  </si>
  <si>
    <t xml:space="preserve">Total impact (manufacturing&amp; transport) </t>
  </si>
  <si>
    <t>market for sawnwood, softwood, raw, dried (u=20%) | sawnwood, softwood, raw, dried (u=20%) | APOS, U</t>
  </si>
  <si>
    <t>Change in amount (%)</t>
  </si>
  <si>
    <t>Change in amount (m3)</t>
  </si>
  <si>
    <t>Change in amount (tonnes)</t>
  </si>
  <si>
    <t>GWP (kg CO2e/tkm)</t>
  </si>
  <si>
    <t>transport, freight train | transport, freight train | APOS, U</t>
  </si>
  <si>
    <t>transport, freight, sea, transoceanic ship | transport, freight, sea, transoceanic ship | APOS, U</t>
  </si>
  <si>
    <t>Manufacturing impact (kg CO2e)</t>
  </si>
  <si>
    <t>Sawnwood transport impact (kg CO2e)</t>
  </si>
  <si>
    <t>Wood panels transport impact(kg CO2e)</t>
  </si>
  <si>
    <t>Wood fuel transport impact(kg CO2e)</t>
  </si>
  <si>
    <t>market for wood pellet | wood pellet, measured as dry mass | APOS, U</t>
  </si>
  <si>
    <t>Imports emissions change</t>
  </si>
  <si>
    <t>medium density fibre board production, uncoated | medium density fibreboard | APOS, U</t>
  </si>
  <si>
    <t>other' i.e. horticulture</t>
  </si>
  <si>
    <t>According to Ecoinvent unit process for MDF</t>
  </si>
  <si>
    <t>kg melamine formaldehyde resin / m3 MDF</t>
  </si>
  <si>
    <t>According to Ecoinvent unit processes for particle board</t>
  </si>
  <si>
    <t>market for melamine formaldehyde resin | melamine formaldehyde resin | APOS, U</t>
  </si>
  <si>
    <t>RER</t>
  </si>
  <si>
    <t>kg urea fomaldehyde resin /m3 MDF</t>
  </si>
  <si>
    <t>kg urea fomaldehyde resin /m3 particle board</t>
  </si>
  <si>
    <t>i.e. around 40% of the impact of wood panel production is from resins used</t>
  </si>
  <si>
    <t>dry tonnes</t>
  </si>
  <si>
    <t>green tonnes</t>
  </si>
  <si>
    <t>Circularity impact</t>
  </si>
  <si>
    <t>Reduced harvest volume due to MDF recycling (at 400ktonnes/year)</t>
  </si>
  <si>
    <t>green m3/yr equivalent</t>
  </si>
  <si>
    <t>of current UK harvest</t>
  </si>
  <si>
    <t>or increasing it by</t>
  </si>
  <si>
    <t>Average annual impact of lengthened rotation (from 50 to 54 yrs)</t>
  </si>
  <si>
    <t>So if baseline is harvesting over 50 yrs, this has the impact of increasing UK rotation length to</t>
  </si>
  <si>
    <t>yrs</t>
  </si>
  <si>
    <t>100 yr average</t>
  </si>
  <si>
    <t>28 yr average</t>
  </si>
  <si>
    <t>(most of the C gain is achieved by 2050, with marginal continued net C sequestration continuing thereafter).</t>
  </si>
  <si>
    <t>Increased forest rotation impact</t>
  </si>
  <si>
    <t>fence poles</t>
  </si>
  <si>
    <t>The 50 yr average HWP C storage (tC) (from UK baseline workbook)</t>
  </si>
  <si>
    <t>Baseline</t>
  </si>
  <si>
    <t>Particleboard</t>
  </si>
  <si>
    <t>Fibreboard (tC)</t>
  </si>
  <si>
    <t>Transport (forest to wood processor)</t>
  </si>
  <si>
    <t>Note to reader:</t>
  </si>
  <si>
    <t>This workbood is adapted from a previous study, hence there are elements of it that are not in use in this study. We have deleted whole sheets that are not relevant but the remaining sheets comtain some cells within that are no used. We have 'faded/greyed out' cells that are not used in the calculations for this study in order to attempt to provide greater clarity and tracability. Please disregard any reference to 'unthinned' or 'no-thin' scenarios and to 'Harvest 2'.</t>
  </si>
  <si>
    <t xml:space="preserve">The 'material flow' sheet cacluates the flow of wood through the value chain from the forest gate to end products. This spreadsheet then drives the GWP calculation - scaling the unit-impact factors in the 'database' to UK flows. </t>
  </si>
  <si>
    <t>The 'GWP_impact' sheet is where all GWP impacts are calculated and presented.</t>
  </si>
  <si>
    <t>The 'database' sheet contains impact fators from Ecoinvent v.3.539 using OpenLCA v1.7.4.</t>
  </si>
  <si>
    <t xml:space="preserve">The 'Decarb_proj' sheet contains the decarbonisation assumptions used in the study - which are pasted and applied to the results for all wood use scenarios in Supplementary Information S5&amp;S6. </t>
  </si>
  <si>
    <t>The 'C_model' sheet contains Forest C ecosystem data from the CBM-CFS3 model output, with appropriate conversioni factors applied to calculated harvested wood volumes and tonnages. These tonnages scale GWP impacts to UK wood flows.</t>
  </si>
  <si>
    <t>Electricity grid</t>
  </si>
  <si>
    <t>Gas grid</t>
  </si>
  <si>
    <t>Shipping</t>
  </si>
  <si>
    <t>Substitution credits</t>
  </si>
  <si>
    <t>Cement</t>
  </si>
  <si>
    <r>
      <t xml:space="preserve">The product breakout data here will be used to calculate emissions from timber processing in each of the identifed manufacturing processes. </t>
    </r>
    <r>
      <rPr>
        <u/>
        <sz val="11"/>
        <color theme="0" tint="-0.34998626667073579"/>
        <rFont val="Calibri"/>
        <family val="2"/>
        <scheme val="minor"/>
      </rPr>
      <t>Wood product/residues</t>
    </r>
    <r>
      <rPr>
        <sz val="11"/>
        <color theme="0" tint="-0.34998626667073579"/>
        <rFont val="Calibri"/>
        <family val="2"/>
        <scheme val="minor"/>
      </rPr>
      <t xml:space="preserve"> data from the ecoinvent processes (e.g. sawmilling) will not be used to feed into other ecoinvent processes that use these residues as a feedstock (e.g. biomass, wood panels) - where UK site specific material flow data has already been calculated below. </t>
    </r>
  </si>
  <si>
    <t>Woodfuel production&amp;use (waste wood)</t>
  </si>
  <si>
    <t>Woodfuel production&amp;use</t>
  </si>
  <si>
    <t>Use this scaling factor to scale up the harvest1 C data that don't use the harvest data in fields X116-Z116) (this is calculated from (UK harvest)/(harvest1) i.e. the number of ha's harvested each year.</t>
  </si>
  <si>
    <t>Increased HWP C storage is:</t>
  </si>
  <si>
    <t>Carcassing avoided emissions (concrete_substitution, D48 pasted from BAU workbook):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</si>
</sst>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2">
    <numFmt numFmtId="43" formatCode="_-* #,##0.00_-;\-* #,##0.00_-;_-* &quot;-&quot;??_-;_-@_-"/>
    <numFmt numFmtId="164" formatCode="0.0%"/>
    <numFmt numFmtId="165" formatCode="&quot; &quot;#,##0.00&quot; &quot;;&quot;-&quot;#,##0.00&quot; &quot;;&quot; -&quot;00&quot; &quot;;&quot; &quot;@&quot; &quot;"/>
    <numFmt numFmtId="166" formatCode="0.000"/>
    <numFmt numFmtId="167" formatCode="0.0"/>
    <numFmt numFmtId="168" formatCode="_-* #,##0.0_-;\-* #,##0.0_-;_-* &quot;-&quot;??_-;_-@_-"/>
    <numFmt numFmtId="169" formatCode="_-* #,##0.00000000_-;\-* #,##0.00000000_-;_-* &quot;-&quot;??_-;_-@_-"/>
    <numFmt numFmtId="170" formatCode="_-* #,##0.0000_-;\-* #,##0.0000_-;_-* &quot;-&quot;??_-;_-@_-"/>
    <numFmt numFmtId="171" formatCode="_-* #,##0.0000000_-;\-* #,##0.0000000_-;_-* &quot;-&quot;??_-;_-@_-"/>
    <numFmt numFmtId="172" formatCode="_-* #,##0.00000_-;\-* #,##0.00000_-;_-* &quot;-&quot;??_-;_-@_-"/>
    <numFmt numFmtId="173" formatCode="_-* #,##0.000000_-;\-* #,##0.000000_-;_-* &quot;-&quot;??_-;_-@_-"/>
    <numFmt numFmtId="174" formatCode="_-* #,##0.000000000_-;\-* #,##0.000000000_-;_-* &quot;-&quot;??_-;_-@_-"/>
    <numFmt numFmtId="175" formatCode="0.00000000"/>
    <numFmt numFmtId="176" formatCode="0.000000E+00"/>
    <numFmt numFmtId="177" formatCode="_-* #,##0_-;\-* #,##0_-;_-* &quot;-&quot;??_-;_-@_-"/>
    <numFmt numFmtId="178" formatCode="0.0000"/>
    <numFmt numFmtId="179" formatCode="_-* #,##0.0000000_-;\-* #,##0.0000000_-;_-* &quot;-&quot;???????_-;_-@_-"/>
    <numFmt numFmtId="180" formatCode="0.00000000000000000000"/>
    <numFmt numFmtId="182" formatCode="0.000%"/>
    <numFmt numFmtId="183" formatCode="0.0000%"/>
    <numFmt numFmtId="184" formatCode="0.0000000000000000%"/>
    <numFmt numFmtId="185" formatCode="0.000000000000000%"/>
  </numFmts>
  <fonts count="46">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9"/>
      <color indexed="81"/>
      <name val="Tahoma"/>
      <family val="2"/>
    </font>
    <font>
      <sz val="9"/>
      <color indexed="81"/>
      <name val="Tahoma"/>
      <family val="2"/>
    </font>
    <font>
      <b/>
      <sz val="11"/>
      <name val="Calibri"/>
      <family val="2"/>
      <scheme val="minor"/>
    </font>
    <font>
      <b/>
      <u/>
      <sz val="11"/>
      <color theme="1"/>
      <name val="Calibri"/>
      <family val="2"/>
      <scheme val="minor"/>
    </font>
    <font>
      <sz val="11"/>
      <color rgb="FF000000"/>
      <name val="Calibri"/>
      <family val="2"/>
    </font>
    <font>
      <sz val="9"/>
      <color rgb="FF000000"/>
      <name val="Futura Lt BT"/>
    </font>
    <font>
      <sz val="6"/>
      <color rgb="FF000000"/>
      <name val="Lucida Sans Unicode"/>
      <family val="2"/>
    </font>
    <font>
      <sz val="14"/>
      <color rgb="FF000000"/>
      <name val="Wingdings"/>
      <charset val="2"/>
    </font>
    <font>
      <sz val="9"/>
      <color rgb="FFFFFFFF"/>
      <name val="Futura Hv BT"/>
    </font>
    <font>
      <u/>
      <sz val="11"/>
      <color rgb="FF0000FF"/>
      <name val="Calibri"/>
      <family val="2"/>
    </font>
    <font>
      <u/>
      <sz val="10"/>
      <color rgb="FF0000FF"/>
      <name val="MS Sans Serif"/>
    </font>
    <font>
      <u/>
      <sz val="10"/>
      <color rgb="FF0000FF"/>
      <name val="Arial"/>
      <family val="2"/>
    </font>
    <font>
      <u/>
      <sz val="11"/>
      <color rgb="FF0000FF"/>
      <name val="Arial"/>
      <family val="2"/>
    </font>
    <font>
      <sz val="10"/>
      <color rgb="FF000000"/>
      <name val="Arial"/>
      <family val="2"/>
    </font>
    <font>
      <sz val="12"/>
      <color rgb="FF000000"/>
      <name val="Arial"/>
      <family val="2"/>
    </font>
    <font>
      <sz val="11"/>
      <color rgb="FF000000"/>
      <name val="Arial"/>
      <family val="2"/>
    </font>
    <font>
      <b/>
      <sz val="9"/>
      <color rgb="FF000000"/>
      <name val="Arial"/>
      <family val="2"/>
    </font>
    <font>
      <sz val="11"/>
      <color theme="0" tint="-0.249977111117893"/>
      <name val="Calibri"/>
      <family val="2"/>
      <scheme val="minor"/>
    </font>
    <font>
      <i/>
      <sz val="11"/>
      <color theme="1"/>
      <name val="Calibri"/>
      <family val="2"/>
      <scheme val="minor"/>
    </font>
    <font>
      <b/>
      <sz val="10"/>
      <name val="MS Sans Serif"/>
    </font>
    <font>
      <sz val="10"/>
      <name val="MS Sans Serif"/>
    </font>
    <font>
      <sz val="11"/>
      <color theme="0" tint="-0.14999847407452621"/>
      <name val="Calibri"/>
      <family val="2"/>
      <scheme val="minor"/>
    </font>
    <font>
      <b/>
      <sz val="11"/>
      <color theme="0" tint="-0.249977111117893"/>
      <name val="Calibri"/>
      <family val="2"/>
      <scheme val="minor"/>
    </font>
    <font>
      <sz val="8"/>
      <color theme="1"/>
      <name val="Calibri"/>
      <family val="2"/>
      <scheme val="minor"/>
    </font>
    <font>
      <sz val="8"/>
      <color rgb="FF000000"/>
      <name val="Calibri"/>
      <family val="2"/>
      <scheme val="minor"/>
    </font>
    <font>
      <b/>
      <sz val="8"/>
      <color theme="1"/>
      <name val="Calibri"/>
      <family val="2"/>
      <scheme val="minor"/>
    </font>
    <font>
      <b/>
      <u/>
      <sz val="8"/>
      <color theme="1"/>
      <name val="Calibri"/>
      <family val="2"/>
      <scheme val="minor"/>
    </font>
    <font>
      <b/>
      <sz val="8"/>
      <color rgb="FF000000"/>
      <name val="Calibri"/>
      <family val="2"/>
      <scheme val="minor"/>
    </font>
    <font>
      <sz val="8"/>
      <color theme="0" tint="-0.249977111117893"/>
      <name val="Calibri"/>
      <family val="2"/>
      <scheme val="minor"/>
    </font>
    <font>
      <sz val="12"/>
      <color rgb="FF000000"/>
      <name val="Gotham A"/>
    </font>
    <font>
      <sz val="11"/>
      <color indexed="8"/>
      <name val="Calibri"/>
      <family val="2"/>
    </font>
    <font>
      <sz val="11"/>
      <color theme="1" tint="0.499984740745262"/>
      <name val="Calibri"/>
      <family val="2"/>
      <scheme val="minor"/>
    </font>
    <font>
      <sz val="11"/>
      <color rgb="FFFF0000"/>
      <name val="Calibri"/>
      <family val="2"/>
      <scheme val="minor"/>
    </font>
    <font>
      <sz val="14"/>
      <color rgb="FF484848"/>
      <name val="Arial"/>
      <family val="2"/>
    </font>
    <font>
      <sz val="11"/>
      <color rgb="FF484848"/>
      <name val="Calibri"/>
      <family val="2"/>
      <scheme val="minor"/>
    </font>
    <font>
      <sz val="11"/>
      <color theme="0" tint="-0.499984740745262"/>
      <name val="Calibri"/>
      <family val="2"/>
      <scheme val="minor"/>
    </font>
    <font>
      <sz val="11"/>
      <color theme="0" tint="-0.34998626667073579"/>
      <name val="Calibri"/>
      <family val="2"/>
      <scheme val="minor"/>
    </font>
    <font>
      <u/>
      <sz val="11"/>
      <color theme="0" tint="-0.34998626667073579"/>
      <name val="Calibri"/>
      <family val="2"/>
      <scheme val="minor"/>
    </font>
    <font>
      <b/>
      <u/>
      <sz val="11"/>
      <color theme="0" tint="-0.34998626667073579"/>
      <name val="Calibri"/>
      <family val="2"/>
      <scheme val="minor"/>
    </font>
    <font>
      <b/>
      <sz val="11"/>
      <color theme="0" tint="-0.34998626667073579"/>
      <name val="Calibri"/>
      <family val="2"/>
      <scheme val="minor"/>
    </font>
    <font>
      <sz val="8"/>
      <color theme="0" tint="-0.34998626667073579"/>
      <name val="Arial"/>
      <family val="2"/>
    </font>
    <font>
      <b/>
      <sz val="10"/>
      <color theme="0" tint="-0.34998626667073579"/>
      <name val="Calibri"/>
      <family val="2"/>
      <scheme val="minor"/>
    </font>
  </fonts>
  <fills count="18">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rgb="FFCCCCFF"/>
        <bgColor rgb="FFCCCCFF"/>
      </patternFill>
    </fill>
    <fill>
      <patternFill patternType="solid">
        <fgColor rgb="FFFFFFCC"/>
        <bgColor rgb="FFFFFFCC"/>
      </patternFill>
    </fill>
    <fill>
      <patternFill patternType="solid">
        <fgColor rgb="FF333300"/>
        <bgColor rgb="FF333300"/>
      </patternFill>
    </fill>
    <fill>
      <patternFill patternType="solid">
        <fgColor rgb="FFCCFFFF"/>
        <bgColor rgb="FFCCFFFF"/>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FF0000"/>
        <bgColor indexed="64"/>
      </patternFill>
    </fill>
    <fill>
      <patternFill patternType="solid">
        <fgColor theme="0" tint="-0.14999847407452621"/>
        <bgColor indexed="64"/>
      </patternFill>
    </fill>
    <fill>
      <patternFill patternType="solid">
        <fgColor rgb="FFFFFFFF"/>
        <bgColor indexed="64"/>
      </patternFill>
    </fill>
    <fill>
      <patternFill patternType="solid">
        <fgColor rgb="FF7030A0"/>
        <bgColor indexed="64"/>
      </patternFill>
    </fill>
  </fills>
  <borders count="42">
    <border>
      <left/>
      <right/>
      <top/>
      <bottom/>
      <diagonal/>
    </border>
    <border>
      <left style="thin">
        <color rgb="FF0000FF"/>
      </left>
      <right style="thin">
        <color rgb="FF0000FF"/>
      </right>
      <top style="thin">
        <color rgb="FF0000FF"/>
      </top>
      <bottom style="thin">
        <color rgb="FF0000FF"/>
      </bottom>
      <diagonal/>
    </border>
    <border>
      <left/>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rgb="FF2D2D2D"/>
      </left>
      <right style="medium">
        <color rgb="FF2D2D2D"/>
      </right>
      <top style="medium">
        <color rgb="FF2D2D2D"/>
      </top>
      <bottom style="medium">
        <color rgb="FF2D2D2D"/>
      </bottom>
      <diagonal/>
    </border>
    <border>
      <left style="medium">
        <color rgb="FF2D2D2D"/>
      </left>
      <right/>
      <top style="medium">
        <color rgb="FF2D2D2D"/>
      </top>
      <bottom style="medium">
        <color rgb="FF2D2D2D"/>
      </bottom>
      <diagonal/>
    </border>
    <border>
      <left/>
      <right/>
      <top style="medium">
        <color rgb="FF2D2D2D"/>
      </top>
      <bottom style="medium">
        <color rgb="FF2D2D2D"/>
      </bottom>
      <diagonal/>
    </border>
    <border>
      <left style="medium">
        <color indexed="64"/>
      </left>
      <right/>
      <top style="medium">
        <color indexed="64"/>
      </top>
      <bottom style="medium">
        <color rgb="FF2D2D2D"/>
      </bottom>
      <diagonal/>
    </border>
    <border>
      <left/>
      <right/>
      <top style="medium">
        <color indexed="64"/>
      </top>
      <bottom style="medium">
        <color rgb="FF2D2D2D"/>
      </bottom>
      <diagonal/>
    </border>
    <border>
      <left/>
      <right style="medium">
        <color indexed="64"/>
      </right>
      <top style="medium">
        <color indexed="64"/>
      </top>
      <bottom style="medium">
        <color rgb="FF2D2D2D"/>
      </bottom>
      <diagonal/>
    </border>
    <border>
      <left style="medium">
        <color indexed="64"/>
      </left>
      <right style="medium">
        <color rgb="FF2D2D2D"/>
      </right>
      <top style="medium">
        <color rgb="FF2D2D2D"/>
      </top>
      <bottom style="medium">
        <color rgb="FF2D2D2D"/>
      </bottom>
      <diagonal/>
    </border>
    <border>
      <left style="medium">
        <color rgb="FF2D2D2D"/>
      </left>
      <right style="medium">
        <color indexed="64"/>
      </right>
      <top style="medium">
        <color rgb="FF2D2D2D"/>
      </top>
      <bottom style="medium">
        <color rgb="FF2D2D2D"/>
      </bottom>
      <diagonal/>
    </border>
    <border>
      <left style="medium">
        <color indexed="64"/>
      </left>
      <right style="medium">
        <color rgb="FF2D2D2D"/>
      </right>
      <top style="medium">
        <color rgb="FF2D2D2D"/>
      </top>
      <bottom style="medium">
        <color indexed="64"/>
      </bottom>
      <diagonal/>
    </border>
    <border>
      <left style="medium">
        <color rgb="FF2D2D2D"/>
      </left>
      <right style="medium">
        <color rgb="FF2D2D2D"/>
      </right>
      <top style="medium">
        <color rgb="FF2D2D2D"/>
      </top>
      <bottom style="medium">
        <color indexed="64"/>
      </bottom>
      <diagonal/>
    </border>
    <border>
      <left style="medium">
        <color rgb="FF2D2D2D"/>
      </left>
      <right style="medium">
        <color indexed="64"/>
      </right>
      <top style="medium">
        <color rgb="FF2D2D2D"/>
      </top>
      <bottom style="medium">
        <color indexed="64"/>
      </bottom>
      <diagonal/>
    </border>
  </borders>
  <cellStyleXfs count="203">
    <xf numFmtId="0" fontId="0" fillId="0" borderId="0"/>
    <xf numFmtId="9" fontId="1" fillId="0" borderId="0" applyFont="0" applyFill="0" applyBorder="0" applyAlignment="0" applyProtection="0"/>
    <xf numFmtId="0" fontId="8" fillId="0" borderId="0"/>
    <xf numFmtId="165" fontId="8" fillId="0" borderId="0" applyFont="0" applyFill="0" applyBorder="0" applyAlignment="0" applyProtection="0"/>
    <xf numFmtId="9" fontId="8" fillId="0" borderId="0" applyFont="0" applyFill="0" applyBorder="0" applyAlignment="0" applyProtection="0"/>
    <xf numFmtId="0" fontId="9" fillId="5" borderId="0" applyNumberFormat="0" applyBorder="0" applyAlignment="0" applyProtection="0"/>
    <xf numFmtId="0" fontId="8" fillId="6" borderId="1" applyNumberFormat="0" applyFont="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8" fillId="0" borderId="0" applyNumberFormat="0" applyFont="0" applyFill="0" applyBorder="0" applyAlignment="0" applyProtection="0"/>
    <xf numFmtId="0" fontId="11" fillId="0" borderId="0" applyNumberFormat="0" applyFill="0" applyBorder="0" applyProtection="0">
      <alignment horizontal="center" vertical="center"/>
    </xf>
    <xf numFmtId="0" fontId="12" fillId="7" borderId="0" applyNumberFormat="0" applyBorder="0" applyProtection="0">
      <alignment horizontal="left" vertical="center" indent="1"/>
    </xf>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8" fillId="0" borderId="0" applyNumberFormat="0" applyBorder="0" applyProtection="0"/>
    <xf numFmtId="0" fontId="17" fillId="0" borderId="0" applyNumberFormat="0" applyBorder="0" applyProtection="0"/>
    <xf numFmtId="0" fontId="19" fillId="0" borderId="0" applyNumberFormat="0" applyBorder="0" applyProtection="0"/>
    <xf numFmtId="0" fontId="18" fillId="0" borderId="0" applyNumberFormat="0" applyBorder="0" applyProtection="0"/>
    <xf numFmtId="0" fontId="18" fillId="0" borderId="0" applyNumberFormat="0" applyBorder="0" applyProtection="0"/>
    <xf numFmtId="0" fontId="17" fillId="0" borderId="0" applyNumberFormat="0" applyBorder="0" applyProtection="0"/>
    <xf numFmtId="0" fontId="17" fillId="0" borderId="0" applyNumberFormat="0" applyBorder="0" applyProtection="0"/>
    <xf numFmtId="0" fontId="18" fillId="0" borderId="0" applyNumberFormat="0" applyBorder="0" applyProtection="0"/>
    <xf numFmtId="0" fontId="18" fillId="0" borderId="0" applyNumberFormat="0" applyBorder="0" applyProtection="0"/>
    <xf numFmtId="0" fontId="8" fillId="0" borderId="0" applyNumberFormat="0" applyFont="0" applyBorder="0" applyProtection="0"/>
    <xf numFmtId="0" fontId="18" fillId="0" borderId="0" applyNumberFormat="0" applyBorder="0" applyProtection="0"/>
    <xf numFmtId="0" fontId="18"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8" fillId="0" borderId="0" applyNumberFormat="0" applyBorder="0" applyProtection="0"/>
    <xf numFmtId="0" fontId="18" fillId="0" borderId="0" applyNumberFormat="0" applyBorder="0" applyProtection="0"/>
    <xf numFmtId="0" fontId="18" fillId="0" borderId="0" applyNumberFormat="0" applyBorder="0" applyProtection="0"/>
    <xf numFmtId="0" fontId="18" fillId="0" borderId="0" applyNumberFormat="0" applyBorder="0" applyProtection="0"/>
    <xf numFmtId="0" fontId="17" fillId="0" borderId="0" applyNumberFormat="0" applyBorder="0" applyProtection="0"/>
    <xf numFmtId="0" fontId="8" fillId="0" borderId="0" applyNumberFormat="0" applyFon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17" fillId="0" borderId="0" applyNumberFormat="0" applyBorder="0" applyProtection="0"/>
    <xf numFmtId="0" fontId="8" fillId="0" borderId="0" applyNumberFormat="0" applyFont="0" applyFill="0" applyBorder="0" applyAlignment="0">
      <protection hidden="1"/>
    </xf>
    <xf numFmtId="0" fontId="17" fillId="0" borderId="0" applyNumberFormat="0" applyBorder="0" applyProtection="0"/>
    <xf numFmtId="0" fontId="17" fillId="0" borderId="0" applyNumberFormat="0" applyBorder="0" applyProtection="0"/>
    <xf numFmtId="0" fontId="8" fillId="8" borderId="0" applyNumberFormat="0" applyFont="0" applyBorder="0" applyAlignment="0" applyProtection="0"/>
    <xf numFmtId="43" fontId="1" fillId="0" borderId="0" applyFont="0" applyFill="0" applyBorder="0" applyAlignment="0" applyProtection="0"/>
  </cellStyleXfs>
  <cellXfs count="713">
    <xf numFmtId="0" fontId="0" fillId="0" borderId="0" xfId="0"/>
    <xf numFmtId="0" fontId="2" fillId="0" borderId="0" xfId="0" applyFont="1"/>
    <xf numFmtId="164" fontId="0" fillId="0" borderId="0" xfId="0" applyNumberFormat="1"/>
    <xf numFmtId="9" fontId="0" fillId="0" borderId="0" xfId="0" applyNumberFormat="1"/>
    <xf numFmtId="0" fontId="2" fillId="0" borderId="0" xfId="0" applyFont="1" applyFill="1"/>
    <xf numFmtId="0" fontId="0" fillId="0" borderId="0" xfId="0" applyFill="1"/>
    <xf numFmtId="164" fontId="0" fillId="0" borderId="0" xfId="1" applyNumberFormat="1" applyFont="1" applyFill="1"/>
    <xf numFmtId="164" fontId="0" fillId="0" borderId="0" xfId="0" applyNumberFormat="1" applyFill="1"/>
    <xf numFmtId="0" fontId="0" fillId="0" borderId="0" xfId="0" applyFill="1" applyAlignment="1">
      <alignment wrapText="1"/>
    </xf>
    <xf numFmtId="0" fontId="7" fillId="0" borderId="0" xfId="0" applyFont="1"/>
    <xf numFmtId="0" fontId="2" fillId="0" borderId="0" xfId="0" applyFont="1" applyAlignment="1">
      <alignment wrapText="1"/>
    </xf>
    <xf numFmtId="9" fontId="0" fillId="0" borderId="0" xfId="1" applyFont="1"/>
    <xf numFmtId="0" fontId="0" fillId="0" borderId="0" xfId="0" applyFont="1"/>
    <xf numFmtId="0" fontId="20" fillId="0" borderId="0" xfId="115" applyFont="1" applyFill="1" applyAlignment="1">
      <alignment wrapText="1"/>
    </xf>
    <xf numFmtId="0" fontId="20" fillId="0" borderId="2" xfId="115" applyFont="1" applyFill="1" applyBorder="1" applyAlignment="1">
      <alignment horizontal="left" wrapText="1"/>
    </xf>
    <xf numFmtId="0" fontId="20" fillId="0" borderId="2" xfId="115" applyFont="1" applyFill="1" applyBorder="1" applyAlignment="1">
      <alignment wrapText="1"/>
    </xf>
    <xf numFmtId="0" fontId="20" fillId="0" borderId="2" xfId="2" applyFont="1" applyBorder="1" applyAlignment="1">
      <alignment wrapText="1"/>
    </xf>
    <xf numFmtId="3" fontId="0" fillId="0" borderId="0" xfId="0" applyNumberFormat="1"/>
    <xf numFmtId="9" fontId="0" fillId="3" borderId="0" xfId="1" applyFont="1" applyFill="1"/>
    <xf numFmtId="0" fontId="0" fillId="0" borderId="3" xfId="0" applyBorder="1"/>
    <xf numFmtId="0" fontId="2" fillId="0" borderId="4" xfId="0" applyFont="1" applyBorder="1"/>
    <xf numFmtId="0" fontId="2" fillId="0" borderId="6" xfId="0" applyFont="1" applyBorder="1"/>
    <xf numFmtId="164" fontId="0" fillId="2" borderId="0" xfId="0" applyNumberFormat="1" applyFill="1" applyBorder="1"/>
    <xf numFmtId="0" fontId="2" fillId="0" borderId="6" xfId="0" applyFont="1" applyFill="1" applyBorder="1"/>
    <xf numFmtId="164" fontId="0" fillId="2" borderId="0" xfId="1" applyNumberFormat="1" applyFont="1" applyFill="1" applyBorder="1"/>
    <xf numFmtId="0" fontId="6" fillId="0" borderId="6" xfId="0" applyFont="1" applyFill="1" applyBorder="1"/>
    <xf numFmtId="0" fontId="0" fillId="0" borderId="8" xfId="0" applyBorder="1"/>
    <xf numFmtId="164" fontId="0" fillId="0" borderId="9" xfId="0" applyNumberFormat="1" applyFill="1" applyBorder="1"/>
    <xf numFmtId="0" fontId="0" fillId="0" borderId="0" xfId="0" applyBorder="1"/>
    <xf numFmtId="0" fontId="0" fillId="0" borderId="7" xfId="0" applyBorder="1"/>
    <xf numFmtId="0" fontId="0" fillId="0" borderId="9" xfId="0" applyBorder="1"/>
    <xf numFmtId="0" fontId="2" fillId="0" borderId="6" xfId="0" applyFont="1" applyBorder="1" applyAlignment="1">
      <alignment horizontal="left"/>
    </xf>
    <xf numFmtId="0" fontId="0" fillId="0" borderId="0" xfId="0" applyAlignment="1">
      <alignment horizontal="right"/>
    </xf>
    <xf numFmtId="2" fontId="0" fillId="0" borderId="0" xfId="0" applyNumberFormat="1" applyFont="1" applyBorder="1" applyAlignment="1">
      <alignment horizontal="center"/>
    </xf>
    <xf numFmtId="2" fontId="0" fillId="0" borderId="7" xfId="0" applyNumberFormat="1" applyFont="1" applyBorder="1" applyAlignment="1">
      <alignment horizontal="center"/>
    </xf>
    <xf numFmtId="2" fontId="0" fillId="0" borderId="6" xfId="0" applyNumberFormat="1" applyFont="1" applyBorder="1" applyAlignment="1">
      <alignment horizontal="center"/>
    </xf>
    <xf numFmtId="2" fontId="0" fillId="0" borderId="8" xfId="0" applyNumberFormat="1" applyFont="1" applyBorder="1" applyAlignment="1">
      <alignment horizontal="center"/>
    </xf>
    <xf numFmtId="2" fontId="0" fillId="0" borderId="9" xfId="0" applyNumberFormat="1" applyFont="1" applyBorder="1" applyAlignment="1">
      <alignment horizontal="center"/>
    </xf>
    <xf numFmtId="2" fontId="0" fillId="0" borderId="10" xfId="0" applyNumberFormat="1" applyFont="1" applyBorder="1" applyAlignment="1">
      <alignment horizontal="center"/>
    </xf>
    <xf numFmtId="2" fontId="0" fillId="4" borderId="0" xfId="0" applyNumberFormat="1" applyFill="1"/>
    <xf numFmtId="0" fontId="2" fillId="0" borderId="3" xfId="0" applyFont="1" applyBorder="1" applyAlignment="1">
      <alignment horizontal="left"/>
    </xf>
    <xf numFmtId="0" fontId="0" fillId="0" borderId="0" xfId="0" applyAlignment="1">
      <alignment wrapText="1"/>
    </xf>
    <xf numFmtId="0" fontId="0" fillId="0" borderId="0" xfId="0" applyFont="1" applyAlignment="1">
      <alignment wrapText="1"/>
    </xf>
    <xf numFmtId="0" fontId="0" fillId="0" borderId="0" xfId="0" applyAlignment="1"/>
    <xf numFmtId="0" fontId="0" fillId="0" borderId="0" xfId="0" quotePrefix="1" applyAlignment="1">
      <alignment wrapText="1"/>
    </xf>
    <xf numFmtId="0" fontId="21" fillId="0" borderId="0" xfId="0" applyFont="1"/>
    <xf numFmtId="0" fontId="22" fillId="0" borderId="0" xfId="0" applyFont="1" applyAlignment="1">
      <alignment wrapText="1"/>
    </xf>
    <xf numFmtId="2" fontId="22" fillId="0" borderId="0" xfId="0" applyNumberFormat="1" applyFont="1" applyAlignment="1">
      <alignment wrapText="1"/>
    </xf>
    <xf numFmtId="2" fontId="0" fillId="0" borderId="0" xfId="0" applyNumberFormat="1" applyAlignment="1">
      <alignment wrapText="1"/>
    </xf>
    <xf numFmtId="0" fontId="2" fillId="0" borderId="0" xfId="0" quotePrefix="1" applyFont="1" applyAlignment="1">
      <alignment wrapText="1"/>
    </xf>
    <xf numFmtId="0" fontId="7" fillId="0" borderId="0" xfId="0" applyFont="1" applyAlignment="1">
      <alignment wrapText="1"/>
    </xf>
    <xf numFmtId="0" fontId="0" fillId="0" borderId="0" xfId="0" applyFont="1" applyFill="1"/>
    <xf numFmtId="164" fontId="0" fillId="0" borderId="0" xfId="0" applyNumberFormat="1" applyFill="1" applyBorder="1"/>
    <xf numFmtId="0" fontId="0" fillId="0" borderId="3" xfId="0" applyBorder="1" applyAlignment="1">
      <alignment wrapText="1"/>
    </xf>
    <xf numFmtId="0" fontId="2" fillId="0" borderId="4" xfId="0" applyFont="1" applyBorder="1" applyAlignment="1">
      <alignment wrapText="1"/>
    </xf>
    <xf numFmtId="0" fontId="2" fillId="0" borderId="0" xfId="0" applyFont="1" applyFill="1" applyBorder="1" applyAlignment="1">
      <alignment wrapText="1"/>
    </xf>
    <xf numFmtId="0" fontId="0" fillId="0" borderId="4" xfId="0" applyBorder="1"/>
    <xf numFmtId="0" fontId="0" fillId="0" borderId="5" xfId="0" applyBorder="1"/>
    <xf numFmtId="0" fontId="0" fillId="0" borderId="10" xfId="0" applyFill="1" applyBorder="1"/>
    <xf numFmtId="164" fontId="0" fillId="2" borderId="4" xfId="0" applyNumberFormat="1" applyFill="1" applyBorder="1"/>
    <xf numFmtId="164" fontId="0" fillId="2" borderId="9" xfId="0" applyNumberFormat="1" applyFill="1" applyBorder="1"/>
    <xf numFmtId="0" fontId="0" fillId="0" borderId="0" xfId="0" quotePrefix="1" applyNumberFormat="1" applyAlignment="1">
      <alignment wrapText="1"/>
    </xf>
    <xf numFmtId="0" fontId="0" fillId="0" borderId="0" xfId="0" quotePrefix="1" applyNumberFormat="1"/>
    <xf numFmtId="0" fontId="23" fillId="0" borderId="0" xfId="0" applyFont="1"/>
    <xf numFmtId="0" fontId="0" fillId="2" borderId="0" xfId="0" applyFill="1"/>
    <xf numFmtId="0" fontId="23" fillId="0" borderId="0" xfId="0" applyFont="1" applyAlignment="1">
      <alignment wrapText="1"/>
    </xf>
    <xf numFmtId="10" fontId="0" fillId="0" borderId="0" xfId="0" applyNumberFormat="1" applyFill="1"/>
    <xf numFmtId="10" fontId="24" fillId="0" borderId="0" xfId="1" applyNumberFormat="1" applyFont="1" applyFill="1"/>
    <xf numFmtId="9" fontId="0" fillId="0" borderId="0" xfId="0" applyNumberFormat="1" applyFill="1"/>
    <xf numFmtId="10" fontId="3" fillId="0" borderId="0" xfId="1" applyNumberFormat="1" applyFont="1" applyFill="1"/>
    <xf numFmtId="2" fontId="0" fillId="0" borderId="0" xfId="0" applyNumberFormat="1" applyFill="1"/>
    <xf numFmtId="0" fontId="0" fillId="9" borderId="0" xfId="0" applyFill="1"/>
    <xf numFmtId="166" fontId="0" fillId="0" borderId="0" xfId="0" applyNumberFormat="1"/>
    <xf numFmtId="0" fontId="0" fillId="10" borderId="0" xfId="0" applyFill="1"/>
    <xf numFmtId="0" fontId="0" fillId="11" borderId="0" xfId="0" applyFill="1"/>
    <xf numFmtId="167" fontId="0" fillId="0" borderId="0" xfId="0" applyNumberFormat="1" applyAlignment="1">
      <alignment wrapText="1"/>
    </xf>
    <xf numFmtId="0" fontId="0" fillId="4" borderId="0" xfId="0" applyFill="1"/>
    <xf numFmtId="0" fontId="0" fillId="0" borderId="4" xfId="0" applyBorder="1" applyAlignment="1">
      <alignment wrapText="1"/>
    </xf>
    <xf numFmtId="0" fontId="2" fillId="0" borderId="4" xfId="0" applyFont="1" applyBorder="1" applyAlignment="1">
      <alignment horizontal="center"/>
    </xf>
    <xf numFmtId="0" fontId="2" fillId="0" borderId="5" xfId="0" applyFont="1" applyBorder="1" applyAlignment="1">
      <alignment horizontal="center"/>
    </xf>
    <xf numFmtId="0" fontId="2" fillId="0" borderId="0" xfId="0" applyFont="1" applyBorder="1" applyAlignment="1">
      <alignment wrapText="1"/>
    </xf>
    <xf numFmtId="0" fontId="0" fillId="0" borderId="0" xfId="0" applyBorder="1" applyAlignment="1">
      <alignment wrapText="1"/>
    </xf>
    <xf numFmtId="0" fontId="2" fillId="0" borderId="7" xfId="0" applyFont="1" applyBorder="1" applyAlignment="1">
      <alignment wrapText="1"/>
    </xf>
    <xf numFmtId="0" fontId="0" fillId="0" borderId="6" xfId="0" applyBorder="1"/>
    <xf numFmtId="0" fontId="0" fillId="0" borderId="0" xfId="0" applyFill="1" applyBorder="1"/>
    <xf numFmtId="164" fontId="0" fillId="0" borderId="0" xfId="1" applyNumberFormat="1" applyFont="1" applyBorder="1" applyAlignment="1">
      <alignment horizontal="left"/>
    </xf>
    <xf numFmtId="164" fontId="0" fillId="2" borderId="7" xfId="1" applyNumberFormat="1" applyFont="1" applyFill="1" applyBorder="1"/>
    <xf numFmtId="164" fontId="0" fillId="0" borderId="0" xfId="0" applyNumberFormat="1" applyBorder="1"/>
    <xf numFmtId="0" fontId="0" fillId="0" borderId="0" xfId="0" applyBorder="1" applyAlignment="1">
      <alignment horizontal="left"/>
    </xf>
    <xf numFmtId="164" fontId="0" fillId="2" borderId="7" xfId="0" applyNumberFormat="1" applyFill="1" applyBorder="1"/>
    <xf numFmtId="164" fontId="0" fillId="0" borderId="7" xfId="0" applyNumberFormat="1" applyBorder="1"/>
    <xf numFmtId="0" fontId="0" fillId="0" borderId="9" xfId="0" applyFill="1" applyBorder="1"/>
    <xf numFmtId="0" fontId="2" fillId="0" borderId="3" xfId="0" applyFont="1" applyBorder="1" applyAlignment="1">
      <alignment wrapText="1"/>
    </xf>
    <xf numFmtId="0" fontId="2" fillId="0" borderId="5" xfId="0" applyFont="1" applyBorder="1" applyAlignment="1">
      <alignment wrapText="1"/>
    </xf>
    <xf numFmtId="0" fontId="2" fillId="0" borderId="6" xfId="0" applyFont="1" applyBorder="1" applyAlignment="1">
      <alignment wrapText="1"/>
    </xf>
    <xf numFmtId="164" fontId="0" fillId="2" borderId="6" xfId="1" applyNumberFormat="1" applyFont="1" applyFill="1" applyBorder="1"/>
    <xf numFmtId="164" fontId="0" fillId="0" borderId="6" xfId="0" applyNumberFormat="1" applyFill="1" applyBorder="1"/>
    <xf numFmtId="164" fontId="0" fillId="0" borderId="7" xfId="0" applyNumberFormat="1" applyFill="1" applyBorder="1"/>
    <xf numFmtId="164" fontId="0" fillId="0" borderId="0" xfId="1" applyNumberFormat="1" applyFont="1" applyFill="1" applyBorder="1"/>
    <xf numFmtId="9" fontId="0" fillId="0" borderId="0" xfId="0" applyNumberFormat="1" applyFill="1" applyBorder="1"/>
    <xf numFmtId="164" fontId="3" fillId="2" borderId="0" xfId="1" applyNumberFormat="1" applyFont="1" applyFill="1" applyBorder="1"/>
    <xf numFmtId="9" fontId="0" fillId="0" borderId="0" xfId="0" applyNumberFormat="1" applyFill="1" applyBorder="1" applyAlignment="1">
      <alignment wrapText="1"/>
    </xf>
    <xf numFmtId="0" fontId="0" fillId="0" borderId="5" xfId="0" applyBorder="1" applyAlignment="1">
      <alignment wrapText="1"/>
    </xf>
    <xf numFmtId="164" fontId="0" fillId="0" borderId="6" xfId="1" applyNumberFormat="1" applyFont="1" applyFill="1" applyBorder="1"/>
    <xf numFmtId="164" fontId="0" fillId="0" borderId="7" xfId="1" applyNumberFormat="1" applyFont="1" applyBorder="1" applyAlignment="1">
      <alignment horizontal="left"/>
    </xf>
    <xf numFmtId="0" fontId="0" fillId="0" borderId="6" xfId="0" applyFill="1" applyBorder="1"/>
    <xf numFmtId="0" fontId="0" fillId="0" borderId="7" xfId="0" applyBorder="1" applyAlignment="1">
      <alignment horizontal="left"/>
    </xf>
    <xf numFmtId="164" fontId="3" fillId="2" borderId="7" xfId="1" applyNumberFormat="1" applyFont="1" applyFill="1" applyBorder="1"/>
    <xf numFmtId="164" fontId="0" fillId="0" borderId="7" xfId="1" applyNumberFormat="1" applyFont="1" applyFill="1" applyBorder="1"/>
    <xf numFmtId="164" fontId="0" fillId="0" borderId="9" xfId="0" applyNumberFormat="1" applyBorder="1"/>
    <xf numFmtId="164" fontId="0" fillId="3" borderId="0" xfId="0" applyNumberFormat="1" applyFill="1" applyBorder="1"/>
    <xf numFmtId="0" fontId="0" fillId="3" borderId="0" xfId="0" applyFill="1" applyBorder="1"/>
    <xf numFmtId="164" fontId="0" fillId="3" borderId="7" xfId="0" applyNumberFormat="1" applyFill="1" applyBorder="1"/>
    <xf numFmtId="164" fontId="0" fillId="3" borderId="6" xfId="0" applyNumberFormat="1" applyFill="1" applyBorder="1"/>
    <xf numFmtId="164" fontId="0" fillId="3" borderId="0" xfId="1" applyNumberFormat="1" applyFont="1" applyFill="1" applyBorder="1"/>
    <xf numFmtId="164" fontId="0" fillId="3" borderId="7" xfId="1" applyNumberFormat="1" applyFont="1" applyFill="1" applyBorder="1"/>
    <xf numFmtId="0" fontId="0" fillId="3" borderId="6" xfId="0" applyFill="1" applyBorder="1"/>
    <xf numFmtId="0" fontId="0" fillId="2" borderId="0" xfId="0" applyFill="1" applyBorder="1"/>
    <xf numFmtId="164" fontId="0" fillId="2" borderId="6" xfId="0" applyNumberFormat="1" applyFill="1" applyBorder="1"/>
    <xf numFmtId="0" fontId="0" fillId="2" borderId="6" xfId="0" applyFill="1" applyBorder="1"/>
    <xf numFmtId="164" fontId="0" fillId="3" borderId="9" xfId="0" applyNumberFormat="1" applyFill="1" applyBorder="1"/>
    <xf numFmtId="0" fontId="0" fillId="3" borderId="9" xfId="0" applyFill="1" applyBorder="1"/>
    <xf numFmtId="164" fontId="0" fillId="3" borderId="9" xfId="1" applyNumberFormat="1" applyFont="1" applyFill="1" applyBorder="1"/>
    <xf numFmtId="164" fontId="0" fillId="3" borderId="10" xfId="1" applyNumberFormat="1" applyFont="1" applyFill="1" applyBorder="1"/>
    <xf numFmtId="164" fontId="0" fillId="3" borderId="6" xfId="1" applyNumberFormat="1" applyFont="1" applyFill="1" applyBorder="1"/>
    <xf numFmtId="9" fontId="0" fillId="3" borderId="0" xfId="0" applyNumberFormat="1" applyFill="1" applyBorder="1"/>
    <xf numFmtId="0" fontId="0" fillId="3" borderId="6" xfId="0" applyFill="1" applyBorder="1" applyAlignment="1">
      <alignment wrapText="1"/>
    </xf>
    <xf numFmtId="0" fontId="0" fillId="2" borderId="6" xfId="0" applyFill="1" applyBorder="1" applyAlignment="1">
      <alignment wrapText="1"/>
    </xf>
    <xf numFmtId="0" fontId="0" fillId="2" borderId="0" xfId="0" applyFont="1" applyFill="1" applyBorder="1"/>
    <xf numFmtId="164" fontId="3" fillId="0" borderId="0" xfId="1" applyNumberFormat="1" applyFont="1" applyFill="1" applyBorder="1"/>
    <xf numFmtId="164" fontId="3" fillId="3" borderId="0" xfId="1" applyNumberFormat="1" applyFont="1" applyFill="1" applyBorder="1"/>
    <xf numFmtId="164" fontId="3" fillId="3" borderId="7" xfId="1" applyNumberFormat="1" applyFont="1" applyFill="1" applyBorder="1"/>
    <xf numFmtId="164" fontId="0" fillId="2" borderId="0" xfId="0" applyNumberFormat="1" applyFill="1" applyBorder="1" applyAlignment="1">
      <alignment wrapText="1"/>
    </xf>
    <xf numFmtId="164" fontId="0" fillId="0" borderId="0" xfId="0" applyNumberFormat="1" applyFill="1" applyBorder="1" applyAlignment="1">
      <alignment wrapText="1"/>
    </xf>
    <xf numFmtId="164" fontId="0" fillId="2" borderId="0" xfId="0" applyNumberFormat="1" applyFont="1" applyFill="1" applyBorder="1"/>
    <xf numFmtId="164" fontId="0" fillId="3" borderId="0" xfId="0" applyNumberFormat="1" applyFill="1" applyBorder="1" applyAlignment="1">
      <alignment wrapText="1"/>
    </xf>
    <xf numFmtId="164" fontId="0" fillId="3" borderId="0" xfId="0" applyNumberFormat="1" applyFont="1" applyFill="1" applyBorder="1"/>
    <xf numFmtId="2" fontId="0" fillId="0" borderId="0" xfId="0" applyNumberFormat="1"/>
    <xf numFmtId="0" fontId="2" fillId="2" borderId="0" xfId="0" applyFont="1" applyFill="1" applyAlignment="1">
      <alignment wrapText="1"/>
    </xf>
    <xf numFmtId="0" fontId="2" fillId="0" borderId="0" xfId="0" applyFont="1" applyFill="1" applyBorder="1" applyAlignment="1">
      <alignment horizontal="right"/>
    </xf>
    <xf numFmtId="43" fontId="0" fillId="0" borderId="0" xfId="202" applyFont="1" applyFill="1"/>
    <xf numFmtId="43" fontId="0" fillId="10" borderId="0" xfId="202" applyFont="1" applyFill="1"/>
    <xf numFmtId="43" fontId="0" fillId="10" borderId="0" xfId="202" applyFont="1" applyFill="1" applyBorder="1"/>
    <xf numFmtId="166" fontId="0" fillId="11" borderId="0" xfId="0" applyNumberFormat="1" applyFill="1"/>
    <xf numFmtId="0" fontId="0" fillId="0" borderId="8" xfId="0" applyFill="1" applyBorder="1"/>
    <xf numFmtId="0" fontId="2" fillId="0" borderId="0" xfId="0" applyFont="1" applyBorder="1"/>
    <xf numFmtId="0" fontId="2" fillId="0" borderId="3" xfId="0" applyFont="1" applyBorder="1"/>
    <xf numFmtId="43" fontId="0" fillId="0" borderId="0" xfId="0" applyNumberFormat="1" applyAlignment="1">
      <alignment wrapText="1"/>
    </xf>
    <xf numFmtId="2" fontId="0" fillId="11" borderId="0" xfId="0" applyNumberFormat="1" applyFill="1"/>
    <xf numFmtId="0" fontId="2" fillId="0" borderId="0" xfId="0" applyFont="1" applyFill="1" applyBorder="1"/>
    <xf numFmtId="168" fontId="0" fillId="0" borderId="0" xfId="202" applyNumberFormat="1" applyFont="1" applyFill="1"/>
    <xf numFmtId="43" fontId="0" fillId="10" borderId="0" xfId="0" applyNumberFormat="1" applyFill="1"/>
    <xf numFmtId="168" fontId="0" fillId="0" borderId="0" xfId="0" applyNumberFormat="1" applyFill="1"/>
    <xf numFmtId="0" fontId="2" fillId="0" borderId="0" xfId="0" applyFont="1" applyAlignment="1">
      <alignment horizontal="right"/>
    </xf>
    <xf numFmtId="0" fontId="2" fillId="0" borderId="3" xfId="0" applyFont="1" applyBorder="1" applyAlignment="1">
      <alignment horizontal="center" wrapText="1"/>
    </xf>
    <xf numFmtId="164" fontId="0" fillId="2" borderId="3" xfId="1" applyNumberFormat="1" applyFont="1" applyFill="1" applyBorder="1"/>
    <xf numFmtId="164" fontId="0" fillId="2" borderId="4" xfId="1" applyNumberFormat="1" applyFont="1" applyFill="1" applyBorder="1"/>
    <xf numFmtId="9" fontId="0" fillId="2" borderId="3" xfId="0" applyNumberFormat="1" applyFill="1" applyBorder="1"/>
    <xf numFmtId="164" fontId="0" fillId="2" borderId="5" xfId="0" applyNumberFormat="1" applyFill="1" applyBorder="1"/>
    <xf numFmtId="9" fontId="0" fillId="2" borderId="6" xfId="0" applyNumberFormat="1" applyFill="1" applyBorder="1"/>
    <xf numFmtId="9" fontId="0" fillId="0" borderId="0" xfId="0" applyNumberFormat="1" applyBorder="1" applyAlignment="1">
      <alignment horizontal="right"/>
    </xf>
    <xf numFmtId="9" fontId="0" fillId="0" borderId="0" xfId="0" applyNumberFormat="1" applyFill="1" applyBorder="1" applyAlignment="1">
      <alignment horizontal="right"/>
    </xf>
    <xf numFmtId="164" fontId="0" fillId="2" borderId="10" xfId="0" applyNumberFormat="1" applyFill="1" applyBorder="1"/>
    <xf numFmtId="9" fontId="0" fillId="0" borderId="9" xfId="0" applyNumberFormat="1" applyFill="1" applyBorder="1" applyAlignment="1">
      <alignment horizontal="right"/>
    </xf>
    <xf numFmtId="9" fontId="0" fillId="2" borderId="8" xfId="0" applyNumberFormat="1" applyFill="1" applyBorder="1"/>
    <xf numFmtId="9" fontId="0" fillId="0" borderId="4" xfId="0" applyNumberFormat="1" applyFill="1" applyBorder="1" applyAlignment="1">
      <alignment horizontal="right"/>
    </xf>
    <xf numFmtId="164" fontId="0" fillId="2" borderId="8" xfId="0" applyNumberFormat="1" applyFill="1" applyBorder="1"/>
    <xf numFmtId="0" fontId="2" fillId="0" borderId="11" xfId="0" applyFont="1" applyBorder="1" applyAlignment="1">
      <alignment wrapText="1"/>
    </xf>
    <xf numFmtId="0" fontId="2" fillId="0" borderId="12" xfId="0" applyFont="1" applyBorder="1" applyAlignment="1">
      <alignment wrapText="1"/>
    </xf>
    <xf numFmtId="0" fontId="2" fillId="0" borderId="13" xfId="0" applyFont="1" applyBorder="1" applyAlignment="1">
      <alignment wrapText="1"/>
    </xf>
    <xf numFmtId="0" fontId="2" fillId="0" borderId="0" xfId="0" applyFont="1" applyAlignment="1"/>
    <xf numFmtId="0" fontId="0" fillId="0" borderId="6" xfId="0" applyBorder="1" applyAlignment="1">
      <alignment horizontal="right"/>
    </xf>
    <xf numFmtId="0" fontId="0" fillId="0" borderId="7" xfId="0" applyBorder="1" applyAlignment="1">
      <alignment horizontal="right"/>
    </xf>
    <xf numFmtId="0" fontId="0" fillId="0" borderId="8" xfId="0" applyBorder="1" applyAlignment="1">
      <alignment horizontal="right"/>
    </xf>
    <xf numFmtId="0" fontId="2" fillId="0" borderId="3" xfId="0" applyFont="1" applyBorder="1" applyAlignment="1"/>
    <xf numFmtId="0" fontId="0" fillId="0" borderId="10" xfId="0" applyBorder="1" applyAlignment="1">
      <alignment horizontal="right"/>
    </xf>
    <xf numFmtId="0" fontId="7" fillId="0" borderId="0" xfId="0" applyFont="1" applyBorder="1" applyAlignment="1"/>
    <xf numFmtId="164" fontId="0" fillId="0" borderId="6" xfId="0" applyNumberFormat="1" applyFont="1" applyFill="1" applyBorder="1"/>
    <xf numFmtId="164" fontId="0" fillId="0" borderId="8" xfId="0" applyNumberFormat="1" applyFont="1" applyFill="1" applyBorder="1"/>
    <xf numFmtId="0" fontId="0" fillId="3" borderId="0" xfId="0" applyFill="1"/>
    <xf numFmtId="0" fontId="0" fillId="3" borderId="7" xfId="0" applyFill="1" applyBorder="1"/>
    <xf numFmtId="0" fontId="0" fillId="3" borderId="8" xfId="0" applyFill="1" applyBorder="1"/>
    <xf numFmtId="0" fontId="0" fillId="3" borderId="10" xfId="0" applyFill="1" applyBorder="1"/>
    <xf numFmtId="43" fontId="0" fillId="3" borderId="0" xfId="0" applyNumberFormat="1" applyFill="1" applyBorder="1"/>
    <xf numFmtId="43" fontId="0" fillId="3" borderId="7" xfId="0" applyNumberFormat="1" applyFill="1" applyBorder="1"/>
    <xf numFmtId="0" fontId="2" fillId="0" borderId="5" xfId="0" applyFont="1" applyBorder="1" applyAlignment="1"/>
    <xf numFmtId="43" fontId="0" fillId="0" borderId="0" xfId="0" applyNumberFormat="1"/>
    <xf numFmtId="43" fontId="0" fillId="0" borderId="6" xfId="202" applyFont="1" applyFill="1" applyBorder="1"/>
    <xf numFmtId="43" fontId="0" fillId="0" borderId="0" xfId="202" applyFont="1" applyFill="1" applyBorder="1"/>
    <xf numFmtId="0" fontId="0" fillId="0" borderId="7" xfId="0" applyFill="1" applyBorder="1"/>
    <xf numFmtId="43" fontId="0" fillId="0" borderId="8" xfId="202" applyFont="1" applyFill="1" applyBorder="1"/>
    <xf numFmtId="43" fontId="0" fillId="0" borderId="9" xfId="202" applyFont="1" applyFill="1" applyBorder="1"/>
    <xf numFmtId="0" fontId="0" fillId="0" borderId="0" xfId="0" applyFont="1" applyFill="1" applyBorder="1"/>
    <xf numFmtId="10" fontId="3" fillId="4" borderId="0" xfId="1" applyNumberFormat="1" applyFont="1" applyFill="1"/>
    <xf numFmtId="10" fontId="0" fillId="4" borderId="0" xfId="0" applyNumberFormat="1" applyFill="1"/>
    <xf numFmtId="0" fontId="2" fillId="0" borderId="4" xfId="0" applyFont="1" applyFill="1" applyBorder="1" applyAlignment="1">
      <alignment wrapText="1"/>
    </xf>
    <xf numFmtId="0" fontId="6" fillId="0" borderId="4" xfId="0" applyFont="1" applyFill="1" applyBorder="1" applyAlignment="1">
      <alignment wrapText="1"/>
    </xf>
    <xf numFmtId="0" fontId="2" fillId="0" borderId="5" xfId="0" applyFont="1" applyFill="1" applyBorder="1" applyAlignment="1">
      <alignment wrapText="1"/>
    </xf>
    <xf numFmtId="43" fontId="0" fillId="3" borderId="9" xfId="0" applyNumberFormat="1" applyFill="1" applyBorder="1"/>
    <xf numFmtId="0" fontId="0" fillId="0" borderId="14" xfId="0" applyBorder="1"/>
    <xf numFmtId="0" fontId="2" fillId="0" borderId="15" xfId="0" applyFont="1" applyBorder="1"/>
    <xf numFmtId="0" fontId="2" fillId="0" borderId="15" xfId="0" applyFont="1" applyFill="1" applyBorder="1"/>
    <xf numFmtId="0" fontId="6" fillId="0" borderId="15" xfId="0" applyFont="1" applyFill="1" applyBorder="1"/>
    <xf numFmtId="0" fontId="2" fillId="0" borderId="16" xfId="0" applyFont="1" applyFill="1" applyBorder="1"/>
    <xf numFmtId="0" fontId="7" fillId="0" borderId="0" xfId="0" applyFont="1" applyAlignment="1">
      <alignment horizontal="right"/>
    </xf>
    <xf numFmtId="0" fontId="2" fillId="0" borderId="0" xfId="0" applyFont="1" applyAlignment="1">
      <alignment horizontal="right" wrapText="1"/>
    </xf>
    <xf numFmtId="0" fontId="7" fillId="0" borderId="0" xfId="0" applyFont="1" applyBorder="1"/>
    <xf numFmtId="169" fontId="0" fillId="3" borderId="10" xfId="0" applyNumberFormat="1" applyFill="1" applyBorder="1"/>
    <xf numFmtId="0" fontId="0" fillId="0" borderId="6" xfId="0" applyFill="1" applyBorder="1" applyAlignment="1">
      <alignment horizontal="center"/>
    </xf>
    <xf numFmtId="171" fontId="0" fillId="3" borderId="9" xfId="0" applyNumberFormat="1" applyFill="1" applyBorder="1"/>
    <xf numFmtId="171" fontId="0" fillId="3" borderId="10" xfId="0" applyNumberFormat="1" applyFill="1" applyBorder="1"/>
    <xf numFmtId="0" fontId="0" fillId="0" borderId="0" xfId="0" applyFill="1" applyBorder="1" applyAlignment="1">
      <alignment horizontal="center"/>
    </xf>
    <xf numFmtId="43" fontId="0" fillId="0" borderId="0" xfId="0" applyNumberFormat="1" applyFill="1" applyBorder="1"/>
    <xf numFmtId="171" fontId="0" fillId="0" borderId="0" xfId="0" applyNumberFormat="1" applyFill="1" applyBorder="1"/>
    <xf numFmtId="43" fontId="0" fillId="0" borderId="0" xfId="202" applyFont="1"/>
    <xf numFmtId="0" fontId="0" fillId="0" borderId="0" xfId="0" applyFont="1" applyAlignment="1">
      <alignment horizontal="right"/>
    </xf>
    <xf numFmtId="0" fontId="0" fillId="0" borderId="0" xfId="0" applyFill="1" applyBorder="1" applyAlignment="1">
      <alignment horizontal="right"/>
    </xf>
    <xf numFmtId="170" fontId="0" fillId="2" borderId="0" xfId="0" applyNumberFormat="1" applyFill="1" applyBorder="1"/>
    <xf numFmtId="170" fontId="0" fillId="2" borderId="7" xfId="0" applyNumberFormat="1" applyFill="1" applyBorder="1"/>
    <xf numFmtId="170" fontId="0" fillId="2" borderId="6" xfId="0" applyNumberFormat="1" applyFill="1" applyBorder="1"/>
    <xf numFmtId="43" fontId="0" fillId="0" borderId="0" xfId="0" applyNumberFormat="1" applyFill="1"/>
    <xf numFmtId="0" fontId="7" fillId="0" borderId="0" xfId="0" applyFont="1" applyFill="1" applyBorder="1"/>
    <xf numFmtId="172" fontId="0" fillId="3" borderId="0" xfId="0" applyNumberFormat="1" applyFill="1" applyBorder="1"/>
    <xf numFmtId="171" fontId="0" fillId="3" borderId="0" xfId="0" applyNumberFormat="1" applyFill="1" applyBorder="1"/>
    <xf numFmtId="43" fontId="0" fillId="0" borderId="0" xfId="202" applyFont="1" applyAlignment="1">
      <alignment wrapText="1"/>
    </xf>
    <xf numFmtId="172" fontId="0" fillId="0" borderId="0" xfId="0" applyNumberFormat="1" applyFill="1" applyBorder="1"/>
    <xf numFmtId="174" fontId="0" fillId="0" borderId="0" xfId="0" applyNumberFormat="1" applyFill="1" applyBorder="1"/>
    <xf numFmtId="174" fontId="0" fillId="3" borderId="0" xfId="0" applyNumberFormat="1" applyFill="1" applyBorder="1"/>
    <xf numFmtId="174" fontId="0" fillId="0" borderId="0" xfId="0" applyNumberFormat="1"/>
    <xf numFmtId="173" fontId="0" fillId="0" borderId="0" xfId="0" applyNumberFormat="1"/>
    <xf numFmtId="175" fontId="0" fillId="0" borderId="0" xfId="0" applyNumberFormat="1" applyFill="1" applyBorder="1"/>
    <xf numFmtId="176" fontId="0" fillId="0" borderId="0" xfId="0" applyNumberFormat="1" applyFill="1" applyBorder="1"/>
    <xf numFmtId="176" fontId="0" fillId="3" borderId="0" xfId="0" applyNumberFormat="1" applyFill="1" applyBorder="1"/>
    <xf numFmtId="43" fontId="0" fillId="3" borderId="0" xfId="0" applyNumberFormat="1" applyFill="1"/>
    <xf numFmtId="175" fontId="0" fillId="3" borderId="0" xfId="0" applyNumberFormat="1" applyFill="1" applyBorder="1"/>
    <xf numFmtId="175" fontId="0" fillId="0" borderId="0" xfId="0" applyNumberFormat="1"/>
    <xf numFmtId="171" fontId="0" fillId="0" borderId="0" xfId="0" applyNumberFormat="1" applyBorder="1"/>
    <xf numFmtId="171" fontId="0" fillId="0" borderId="7" xfId="0" applyNumberFormat="1" applyBorder="1"/>
    <xf numFmtId="171" fontId="0" fillId="3" borderId="7" xfId="0" applyNumberFormat="1" applyFill="1" applyBorder="1"/>
    <xf numFmtId="43" fontId="0" fillId="3" borderId="6" xfId="0" applyNumberFormat="1" applyFill="1" applyBorder="1"/>
    <xf numFmtId="43" fontId="0" fillId="3" borderId="8" xfId="0" applyNumberFormat="1" applyFill="1" applyBorder="1"/>
    <xf numFmtId="0" fontId="7" fillId="0" borderId="11" xfId="0" applyFont="1" applyBorder="1" applyAlignment="1"/>
    <xf numFmtId="0" fontId="0" fillId="0" borderId="12" xfId="0" applyBorder="1"/>
    <xf numFmtId="0" fontId="7" fillId="0" borderId="12" xfId="0" applyFont="1" applyBorder="1" applyAlignment="1"/>
    <xf numFmtId="0" fontId="7" fillId="0" borderId="13" xfId="0" applyFont="1" applyBorder="1" applyAlignment="1"/>
    <xf numFmtId="0" fontId="7" fillId="0" borderId="11" xfId="0" applyFont="1" applyBorder="1"/>
    <xf numFmtId="166" fontId="0" fillId="0" borderId="0" xfId="0" applyNumberFormat="1" applyFill="1"/>
    <xf numFmtId="0" fontId="2" fillId="0" borderId="3" xfId="0" applyFont="1" applyBorder="1" applyAlignment="1">
      <alignment horizontal="center"/>
    </xf>
    <xf numFmtId="0" fontId="2" fillId="0" borderId="0" xfId="0" applyFont="1" applyFill="1" applyAlignment="1">
      <alignment wrapText="1"/>
    </xf>
    <xf numFmtId="170" fontId="0" fillId="10" borderId="0" xfId="0" applyNumberFormat="1" applyFill="1"/>
    <xf numFmtId="9" fontId="0" fillId="0" borderId="9" xfId="0" applyNumberFormat="1" applyBorder="1"/>
    <xf numFmtId="9" fontId="0" fillId="0" borderId="0" xfId="0" applyNumberFormat="1" applyBorder="1"/>
    <xf numFmtId="9" fontId="0" fillId="2" borderId="0" xfId="1" applyFont="1" applyFill="1" applyBorder="1"/>
    <xf numFmtId="43" fontId="0" fillId="0" borderId="0" xfId="202" applyNumberFormat="1" applyFont="1" applyAlignment="1">
      <alignment wrapText="1"/>
    </xf>
    <xf numFmtId="10" fontId="0" fillId="11" borderId="0" xfId="0" applyNumberFormat="1" applyFill="1"/>
    <xf numFmtId="0" fontId="25" fillId="0" borderId="0" xfId="0" applyFont="1" applyAlignment="1">
      <alignment wrapText="1"/>
    </xf>
    <xf numFmtId="0" fontId="25" fillId="0" borderId="0" xfId="0" applyFont="1"/>
    <xf numFmtId="0" fontId="25" fillId="2" borderId="0" xfId="0" applyFont="1" applyFill="1"/>
    <xf numFmtId="0" fontId="0" fillId="0" borderId="0" xfId="0" applyFont="1" applyAlignment="1">
      <alignment horizontal="left"/>
    </xf>
    <xf numFmtId="0" fontId="0" fillId="0" borderId="17" xfId="0" applyBorder="1"/>
    <xf numFmtId="0" fontId="0" fillId="0" borderId="20" xfId="0" applyBorder="1"/>
    <xf numFmtId="0" fontId="0" fillId="0" borderId="22" xfId="0" applyBorder="1"/>
    <xf numFmtId="0" fontId="0" fillId="0" borderId="23" xfId="0" applyBorder="1"/>
    <xf numFmtId="167" fontId="0" fillId="0" borderId="23" xfId="0" applyNumberFormat="1" applyBorder="1"/>
    <xf numFmtId="0" fontId="3" fillId="0" borderId="0" xfId="0" applyFont="1" applyAlignment="1">
      <alignment wrapText="1"/>
    </xf>
    <xf numFmtId="0" fontId="3" fillId="0" borderId="0" xfId="0" applyFont="1"/>
    <xf numFmtId="43" fontId="3" fillId="0" borderId="0" xfId="202" applyNumberFormat="1" applyFont="1" applyAlignment="1">
      <alignment wrapText="1"/>
    </xf>
    <xf numFmtId="177" fontId="0" fillId="0" borderId="0" xfId="0" applyNumberFormat="1" applyAlignment="1">
      <alignment wrapText="1"/>
    </xf>
    <xf numFmtId="170" fontId="0" fillId="0" borderId="0" xfId="0" applyNumberFormat="1"/>
    <xf numFmtId="172" fontId="0" fillId="10" borderId="0" xfId="0" applyNumberFormat="1" applyFill="1"/>
    <xf numFmtId="168" fontId="0" fillId="10" borderId="0" xfId="0" applyNumberFormat="1" applyFill="1"/>
    <xf numFmtId="177" fontId="0" fillId="10" borderId="0" xfId="0" applyNumberFormat="1" applyFill="1"/>
    <xf numFmtId="43" fontId="0" fillId="10" borderId="0" xfId="0" applyNumberFormat="1" applyFill="1" applyBorder="1"/>
    <xf numFmtId="167" fontId="0" fillId="0" borderId="0" xfId="0" applyNumberFormat="1"/>
    <xf numFmtId="177" fontId="1" fillId="0" borderId="0" xfId="202" applyNumberFormat="1" applyFont="1" applyAlignment="1">
      <alignment horizontal="right"/>
    </xf>
    <xf numFmtId="0" fontId="2" fillId="0" borderId="0" xfId="0" applyFont="1" applyBorder="1" applyAlignment="1">
      <alignment horizontal="center"/>
    </xf>
    <xf numFmtId="164" fontId="0" fillId="2" borderId="0" xfId="1" applyNumberFormat="1" applyFont="1" applyFill="1"/>
    <xf numFmtId="9" fontId="0" fillId="2" borderId="0" xfId="1" applyFont="1" applyFill="1"/>
    <xf numFmtId="164" fontId="0" fillId="0" borderId="0" xfId="1" applyNumberFormat="1" applyFont="1"/>
    <xf numFmtId="164" fontId="0" fillId="0" borderId="0" xfId="1" applyNumberFormat="1" applyFont="1" applyFill="1" applyAlignment="1">
      <alignment wrapText="1"/>
    </xf>
    <xf numFmtId="10" fontId="0" fillId="0" borderId="0" xfId="1" applyNumberFormat="1" applyFont="1"/>
    <xf numFmtId="0" fontId="21" fillId="0" borderId="0" xfId="0" applyFont="1" applyAlignment="1">
      <alignment wrapText="1"/>
    </xf>
    <xf numFmtId="0" fontId="21" fillId="2" borderId="0" xfId="0" applyFont="1" applyFill="1"/>
    <xf numFmtId="177" fontId="0" fillId="0" borderId="0" xfId="202" applyNumberFormat="1" applyFont="1"/>
    <xf numFmtId="164" fontId="2" fillId="0" borderId="0" xfId="0" applyNumberFormat="1" applyFont="1"/>
    <xf numFmtId="0" fontId="27" fillId="0" borderId="0" xfId="0" applyFont="1"/>
    <xf numFmtId="0" fontId="28" fillId="12" borderId="9" xfId="0" applyFont="1" applyFill="1" applyBorder="1" applyAlignment="1">
      <alignment horizontal="center" vertical="center"/>
    </xf>
    <xf numFmtId="0" fontId="27" fillId="0" borderId="0" xfId="0" applyFont="1" applyAlignment="1">
      <alignment wrapText="1"/>
    </xf>
    <xf numFmtId="0" fontId="27" fillId="12" borderId="0" xfId="0" applyFont="1" applyFill="1"/>
    <xf numFmtId="0" fontId="29" fillId="0" borderId="0" xfId="0" applyFont="1" applyAlignment="1">
      <alignment wrapText="1"/>
    </xf>
    <xf numFmtId="177" fontId="27" fillId="0" borderId="0" xfId="202" applyNumberFormat="1" applyFont="1"/>
    <xf numFmtId="0" fontId="27" fillId="0" borderId="0" xfId="0" applyFont="1" applyFill="1" applyAlignment="1">
      <alignment wrapText="1"/>
    </xf>
    <xf numFmtId="0" fontId="29" fillId="0" borderId="0" xfId="0" quotePrefix="1" applyFont="1" applyAlignment="1">
      <alignment wrapText="1"/>
    </xf>
    <xf numFmtId="0" fontId="29" fillId="0" borderId="0" xfId="0" applyFont="1" applyAlignment="1">
      <alignment horizontal="left" wrapText="1"/>
    </xf>
    <xf numFmtId="0" fontId="27" fillId="0" borderId="0" xfId="0" applyFont="1" applyAlignment="1">
      <alignment horizontal="left" wrapText="1"/>
    </xf>
    <xf numFmtId="0" fontId="29" fillId="0" borderId="0" xfId="0" applyFont="1" applyFill="1"/>
    <xf numFmtId="0" fontId="30" fillId="0" borderId="0" xfId="0" applyFont="1" applyAlignment="1">
      <alignment wrapText="1"/>
    </xf>
    <xf numFmtId="177" fontId="27" fillId="0" borderId="0" xfId="202" applyNumberFormat="1" applyFont="1" applyAlignment="1">
      <alignment wrapText="1"/>
    </xf>
    <xf numFmtId="0" fontId="27" fillId="12" borderId="0" xfId="0" applyFont="1" applyFill="1" applyAlignment="1">
      <alignment wrapText="1"/>
    </xf>
    <xf numFmtId="0" fontId="27" fillId="12" borderId="5" xfId="0" applyFont="1" applyFill="1" applyBorder="1" applyAlignment="1">
      <alignment horizontal="center" vertical="center"/>
    </xf>
    <xf numFmtId="0" fontId="28" fillId="12" borderId="10" xfId="0" applyFont="1" applyFill="1" applyBorder="1" applyAlignment="1">
      <alignment horizontal="center" vertical="center"/>
    </xf>
    <xf numFmtId="0" fontId="29" fillId="0" borderId="0" xfId="0" applyFont="1" applyBorder="1" applyAlignment="1">
      <alignment vertical="center"/>
    </xf>
    <xf numFmtId="0" fontId="29" fillId="0" borderId="0" xfId="0" applyFont="1" applyBorder="1" applyAlignment="1">
      <alignment horizontal="center" vertical="center"/>
    </xf>
    <xf numFmtId="0" fontId="31" fillId="0" borderId="0" xfId="0" applyFont="1" applyBorder="1" applyAlignment="1">
      <alignment vertical="center"/>
    </xf>
    <xf numFmtId="0" fontId="31" fillId="0" borderId="0" xfId="0" applyFont="1" applyBorder="1" applyAlignment="1">
      <alignment horizontal="center" vertical="center"/>
    </xf>
    <xf numFmtId="177" fontId="27" fillId="0" borderId="0" xfId="202" applyNumberFormat="1" applyFont="1" applyAlignment="1"/>
    <xf numFmtId="177" fontId="27" fillId="0" borderId="0" xfId="202" applyNumberFormat="1" applyFont="1" applyFill="1"/>
    <xf numFmtId="177" fontId="27" fillId="0" borderId="0" xfId="202" applyNumberFormat="1" applyFont="1" applyFill="1" applyAlignment="1">
      <alignment wrapText="1"/>
    </xf>
    <xf numFmtId="0" fontId="29" fillId="0" borderId="0" xfId="0" applyFont="1" applyBorder="1" applyAlignment="1">
      <alignment vertical="center" wrapText="1"/>
    </xf>
    <xf numFmtId="1" fontId="0" fillId="0" borderId="0" xfId="0" applyNumberFormat="1"/>
    <xf numFmtId="9" fontId="1" fillId="0" borderId="0" xfId="1" applyFont="1" applyAlignment="1">
      <alignment horizontal="right"/>
    </xf>
    <xf numFmtId="3" fontId="20" fillId="0" borderId="0" xfId="0" applyNumberFormat="1" applyFont="1" applyFill="1" applyAlignment="1">
      <alignment horizontal="right" wrapText="1"/>
    </xf>
    <xf numFmtId="1" fontId="0" fillId="0" borderId="6" xfId="0" applyNumberFormat="1" applyBorder="1"/>
    <xf numFmtId="1" fontId="0" fillId="0" borderId="0" xfId="0" applyNumberFormat="1" applyBorder="1"/>
    <xf numFmtId="1" fontId="0" fillId="0" borderId="0" xfId="0" applyNumberFormat="1" applyFill="1" applyBorder="1"/>
    <xf numFmtId="1" fontId="0" fillId="0" borderId="7" xfId="0" applyNumberFormat="1" applyBorder="1"/>
    <xf numFmtId="9" fontId="0" fillId="13" borderId="0" xfId="1" applyFont="1" applyFill="1"/>
    <xf numFmtId="164" fontId="0" fillId="13" borderId="0" xfId="1" applyNumberFormat="1" applyFont="1" applyFill="1"/>
    <xf numFmtId="164" fontId="0" fillId="0" borderId="4" xfId="0" applyNumberFormat="1" applyBorder="1" applyAlignment="1">
      <alignment horizontal="center"/>
    </xf>
    <xf numFmtId="164" fontId="0" fillId="0" borderId="0" xfId="0" applyNumberFormat="1" applyFill="1" applyBorder="1" applyAlignment="1">
      <alignment horizontal="center"/>
    </xf>
    <xf numFmtId="164" fontId="0" fillId="0" borderId="4" xfId="0" applyNumberFormat="1" applyFill="1" applyBorder="1" applyAlignment="1">
      <alignment horizontal="center"/>
    </xf>
    <xf numFmtId="0" fontId="8" fillId="0" borderId="0" xfId="2"/>
    <xf numFmtId="0" fontId="20" fillId="0" borderId="0" xfId="115" applyFont="1" applyFill="1" applyAlignment="1">
      <alignment horizontal="left"/>
    </xf>
    <xf numFmtId="0" fontId="20" fillId="0" borderId="0" xfId="115" applyFont="1" applyFill="1" applyAlignment="1">
      <alignment wrapText="1"/>
    </xf>
    <xf numFmtId="0" fontId="20" fillId="0" borderId="0" xfId="115" applyFont="1" applyFill="1" applyAlignment="1"/>
    <xf numFmtId="3" fontId="20" fillId="0" borderId="0" xfId="2" applyNumberFormat="1" applyFont="1" applyFill="1" applyAlignment="1">
      <alignment horizontal="right"/>
    </xf>
    <xf numFmtId="3" fontId="20" fillId="0" borderId="0" xfId="2" applyNumberFormat="1" applyFont="1" applyFill="1" applyAlignment="1">
      <alignment horizontal="right" wrapText="1"/>
    </xf>
    <xf numFmtId="3" fontId="8" fillId="0" borderId="0" xfId="2" applyNumberFormat="1"/>
    <xf numFmtId="0" fontId="8" fillId="0" borderId="0" xfId="2"/>
    <xf numFmtId="0" fontId="20" fillId="0" borderId="0" xfId="115" applyFont="1" applyFill="1" applyAlignment="1">
      <alignment horizontal="left"/>
    </xf>
    <xf numFmtId="0" fontId="20" fillId="0" borderId="0" xfId="115" applyFont="1" applyFill="1" applyAlignment="1">
      <alignment wrapText="1"/>
    </xf>
    <xf numFmtId="0" fontId="20" fillId="0" borderId="0" xfId="115" applyFont="1" applyFill="1" applyAlignment="1"/>
    <xf numFmtId="3" fontId="20" fillId="0" borderId="0" xfId="2" applyNumberFormat="1" applyFont="1" applyFill="1" applyAlignment="1">
      <alignment horizontal="right"/>
    </xf>
    <xf numFmtId="3" fontId="20" fillId="0" borderId="0" xfId="2" applyNumberFormat="1" applyFont="1" applyFill="1" applyAlignment="1">
      <alignment horizontal="right" wrapText="1"/>
    </xf>
    <xf numFmtId="3" fontId="8" fillId="0" borderId="0" xfId="2" applyNumberFormat="1"/>
    <xf numFmtId="0" fontId="0" fillId="0" borderId="0" xfId="0" applyAlignment="1">
      <alignment horizontal="center"/>
    </xf>
    <xf numFmtId="0" fontId="2" fillId="0" borderId="0" xfId="0" applyFont="1" applyAlignment="1">
      <alignment horizontal="center" wrapText="1"/>
    </xf>
    <xf numFmtId="0" fontId="2" fillId="0" borderId="0" xfId="0" applyFont="1" applyFill="1" applyAlignment="1">
      <alignment horizontal="right" wrapText="1"/>
    </xf>
    <xf numFmtId="167" fontId="0" fillId="0" borderId="0" xfId="0" applyNumberFormat="1" applyFill="1"/>
    <xf numFmtId="0" fontId="26" fillId="0" borderId="0" xfId="0" applyFont="1" applyFill="1" applyAlignment="1">
      <alignment horizontal="right"/>
    </xf>
    <xf numFmtId="0" fontId="6" fillId="0" borderId="0" xfId="0" applyFont="1" applyFill="1" applyBorder="1"/>
    <xf numFmtId="167" fontId="0" fillId="12" borderId="0" xfId="0" applyNumberFormat="1" applyFill="1"/>
    <xf numFmtId="0" fontId="0" fillId="0" borderId="20" xfId="0" applyBorder="1" applyAlignment="1">
      <alignment wrapText="1"/>
    </xf>
    <xf numFmtId="0" fontId="0" fillId="0" borderId="0" xfId="0" applyBorder="1" applyAlignment="1">
      <alignment horizontal="center"/>
    </xf>
    <xf numFmtId="166" fontId="0" fillId="0" borderId="0" xfId="0" applyNumberFormat="1" applyBorder="1"/>
    <xf numFmtId="2" fontId="0" fillId="0" borderId="0" xfId="0" applyNumberFormat="1" applyBorder="1"/>
    <xf numFmtId="167" fontId="0" fillId="0" borderId="0" xfId="0" applyNumberFormat="1" applyBorder="1" applyAlignment="1">
      <alignment horizontal="center"/>
    </xf>
    <xf numFmtId="167" fontId="0" fillId="0" borderId="0" xfId="0" applyNumberFormat="1" applyBorder="1"/>
    <xf numFmtId="167" fontId="0" fillId="12" borderId="0" xfId="0" applyNumberFormat="1" applyFill="1" applyBorder="1"/>
    <xf numFmtId="167" fontId="0" fillId="0" borderId="23" xfId="0" applyNumberFormat="1" applyBorder="1" applyAlignment="1">
      <alignment horizontal="center"/>
    </xf>
    <xf numFmtId="167" fontId="0" fillId="0" borderId="23" xfId="0" applyNumberFormat="1" applyBorder="1" applyAlignment="1">
      <alignment horizontal="right"/>
    </xf>
    <xf numFmtId="2" fontId="0" fillId="0" borderId="23" xfId="0" applyNumberFormat="1" applyBorder="1"/>
    <xf numFmtId="166" fontId="0" fillId="0" borderId="0" xfId="0" applyNumberFormat="1" applyFill="1" applyBorder="1"/>
    <xf numFmtId="167" fontId="0" fillId="13" borderId="0" xfId="0" applyNumberFormat="1" applyFill="1" applyBorder="1"/>
    <xf numFmtId="0" fontId="0" fillId="0" borderId="0" xfId="0" applyBorder="1" applyAlignment="1"/>
    <xf numFmtId="43" fontId="1" fillId="10" borderId="0" xfId="202" applyFont="1" applyFill="1"/>
    <xf numFmtId="43" fontId="0" fillId="0" borderId="0" xfId="202" applyNumberFormat="1" applyFont="1"/>
    <xf numFmtId="0" fontId="0" fillId="0" borderId="19" xfId="0" applyBorder="1" applyAlignment="1">
      <alignment horizontal="center"/>
    </xf>
    <xf numFmtId="0" fontId="0" fillId="0" borderId="28" xfId="0" applyFill="1" applyBorder="1" applyAlignment="1">
      <alignment wrapText="1"/>
    </xf>
    <xf numFmtId="0" fontId="0" fillId="0" borderId="29" xfId="0" applyFill="1" applyBorder="1"/>
    <xf numFmtId="167" fontId="0" fillId="12" borderId="29" xfId="0" applyNumberFormat="1" applyFill="1" applyBorder="1"/>
    <xf numFmtId="167" fontId="0" fillId="0" borderId="29" xfId="0" applyNumberFormat="1" applyFill="1" applyBorder="1"/>
    <xf numFmtId="0" fontId="0" fillId="12" borderId="7" xfId="0" applyFill="1" applyBorder="1"/>
    <xf numFmtId="0" fontId="0" fillId="0" borderId="5" xfId="0" applyFill="1" applyBorder="1" applyAlignment="1">
      <alignment wrapText="1"/>
    </xf>
    <xf numFmtId="167" fontId="0" fillId="0" borderId="0" xfId="0" applyNumberFormat="1" applyFill="1" applyBorder="1" applyAlignment="1">
      <alignment horizontal="right"/>
    </xf>
    <xf numFmtId="167" fontId="0" fillId="0" borderId="23" xfId="0" applyNumberFormat="1" applyFill="1" applyBorder="1"/>
    <xf numFmtId="0" fontId="0" fillId="0" borderId="21" xfId="0" applyBorder="1" applyAlignment="1">
      <alignment wrapText="1"/>
    </xf>
    <xf numFmtId="0" fontId="0" fillId="0" borderId="21" xfId="0" applyBorder="1"/>
    <xf numFmtId="0" fontId="0" fillId="0" borderId="21" xfId="0" applyBorder="1" applyAlignment="1">
      <alignment horizontal="left"/>
    </xf>
    <xf numFmtId="0" fontId="0" fillId="0" borderId="24" xfId="0" applyBorder="1" applyAlignment="1">
      <alignment horizontal="left"/>
    </xf>
    <xf numFmtId="177" fontId="0" fillId="0" borderId="0" xfId="0" applyNumberFormat="1"/>
    <xf numFmtId="0" fontId="0" fillId="14" borderId="20" xfId="0" applyFill="1" applyBorder="1"/>
    <xf numFmtId="0" fontId="0" fillId="15" borderId="0" xfId="0" applyFill="1"/>
    <xf numFmtId="0" fontId="0" fillId="0" borderId="18" xfId="0" applyFont="1" applyBorder="1"/>
    <xf numFmtId="0" fontId="0" fillId="0" borderId="18" xfId="0" applyFont="1" applyBorder="1" applyAlignment="1">
      <alignment horizontal="right"/>
    </xf>
    <xf numFmtId="0" fontId="0" fillId="15" borderId="18" xfId="0" applyFont="1" applyFill="1" applyBorder="1"/>
    <xf numFmtId="0" fontId="0" fillId="0" borderId="0" xfId="0" applyAlignment="1">
      <alignment horizontal="center"/>
    </xf>
    <xf numFmtId="0" fontId="21" fillId="0" borderId="0" xfId="0" applyFont="1" applyBorder="1" applyAlignment="1">
      <alignment wrapText="1"/>
    </xf>
    <xf numFmtId="167" fontId="21" fillId="0" borderId="0" xfId="0" applyNumberFormat="1" applyFont="1" applyBorder="1" applyAlignment="1">
      <alignment horizontal="center"/>
    </xf>
    <xf numFmtId="167" fontId="21" fillId="0" borderId="0" xfId="0" applyNumberFormat="1" applyFont="1" applyBorder="1"/>
    <xf numFmtId="0" fontId="0" fillId="11" borderId="0" xfId="1" applyNumberFormat="1" applyFont="1" applyFill="1"/>
    <xf numFmtId="0" fontId="27" fillId="11" borderId="0" xfId="1" applyNumberFormat="1" applyFont="1" applyFill="1"/>
    <xf numFmtId="0" fontId="27" fillId="11" borderId="0" xfId="0" applyFont="1" applyFill="1" applyAlignment="1">
      <alignment wrapText="1"/>
    </xf>
    <xf numFmtId="0" fontId="32" fillId="0" borderId="0" xfId="0" applyFont="1"/>
    <xf numFmtId="0" fontId="32" fillId="0" borderId="0" xfId="0" applyFont="1" applyAlignment="1">
      <alignment wrapText="1"/>
    </xf>
    <xf numFmtId="177" fontId="32" fillId="0" borderId="0" xfId="202" applyNumberFormat="1" applyFont="1" applyFill="1" applyAlignment="1">
      <alignment wrapText="1"/>
    </xf>
    <xf numFmtId="177" fontId="32" fillId="0" borderId="0" xfId="202" applyNumberFormat="1" applyFont="1" applyAlignment="1">
      <alignment wrapText="1"/>
    </xf>
    <xf numFmtId="0" fontId="32" fillId="0" borderId="0" xfId="0" applyFont="1" applyAlignment="1">
      <alignment horizontal="left" wrapText="1"/>
    </xf>
    <xf numFmtId="43" fontId="27" fillId="0" borderId="0" xfId="0" applyNumberFormat="1" applyFont="1"/>
    <xf numFmtId="0" fontId="6" fillId="0" borderId="0" xfId="0" applyFont="1"/>
    <xf numFmtId="0" fontId="3" fillId="0" borderId="0" xfId="0" applyFont="1" applyAlignment="1">
      <alignment horizontal="right"/>
    </xf>
    <xf numFmtId="43" fontId="3" fillId="0" borderId="0" xfId="202" applyFont="1"/>
    <xf numFmtId="43" fontId="3" fillId="0" borderId="0" xfId="202" applyFont="1" applyFill="1"/>
    <xf numFmtId="0" fontId="6" fillId="0" borderId="0" xfId="0" applyFont="1" applyAlignment="1">
      <alignment wrapText="1"/>
    </xf>
    <xf numFmtId="43" fontId="3" fillId="10" borderId="0" xfId="202" applyFont="1" applyFill="1"/>
    <xf numFmtId="43" fontId="3" fillId="10" borderId="0" xfId="0" applyNumberFormat="1" applyFont="1" applyFill="1"/>
    <xf numFmtId="9" fontId="3" fillId="0" borderId="0" xfId="0" applyNumberFormat="1" applyFont="1"/>
    <xf numFmtId="0" fontId="0" fillId="10" borderId="18" xfId="0" applyFont="1" applyFill="1" applyBorder="1"/>
    <xf numFmtId="167" fontId="0" fillId="0" borderId="22" xfId="0" applyNumberFormat="1" applyFont="1" applyFill="1" applyBorder="1"/>
    <xf numFmtId="167" fontId="0" fillId="0" borderId="24" xfId="0" applyNumberFormat="1" applyFont="1" applyFill="1" applyBorder="1"/>
    <xf numFmtId="43" fontId="1" fillId="0" borderId="0" xfId="202" applyFont="1" applyFill="1"/>
    <xf numFmtId="167" fontId="0" fillId="0" borderId="0" xfId="0" applyNumberFormat="1" applyFill="1" applyBorder="1"/>
    <xf numFmtId="167" fontId="0" fillId="0" borderId="30" xfId="0" applyNumberFormat="1" applyFill="1" applyBorder="1"/>
    <xf numFmtId="0" fontId="0" fillId="12" borderId="0" xfId="0" applyFill="1"/>
    <xf numFmtId="0" fontId="33" fillId="16" borderId="31" xfId="0" applyFont="1" applyFill="1" applyBorder="1" applyAlignment="1">
      <alignment vertical="center" wrapText="1"/>
    </xf>
    <xf numFmtId="0" fontId="33" fillId="16" borderId="31" xfId="0" applyFont="1" applyFill="1" applyBorder="1" applyAlignment="1">
      <alignment horizontal="right" vertical="center" wrapText="1"/>
    </xf>
    <xf numFmtId="0" fontId="33" fillId="16" borderId="31" xfId="0" applyFont="1" applyFill="1" applyBorder="1" applyAlignment="1">
      <alignment horizontal="left" vertical="center" wrapText="1"/>
    </xf>
    <xf numFmtId="0" fontId="33" fillId="16" borderId="32" xfId="0" applyFont="1" applyFill="1" applyBorder="1" applyAlignment="1">
      <alignment horizontal="left" vertical="center" wrapText="1"/>
    </xf>
    <xf numFmtId="0" fontId="13" fillId="0" borderId="0" xfId="56"/>
    <xf numFmtId="0" fontId="34" fillId="0" borderId="0" xfId="0" applyNumberFormat="1" applyFont="1" applyFill="1" applyBorder="1" applyAlignment="1" applyProtection="1"/>
    <xf numFmtId="0" fontId="33" fillId="16" borderId="32" xfId="0" applyFont="1" applyFill="1" applyBorder="1" applyAlignment="1">
      <alignment horizontal="right" vertical="center" wrapText="1"/>
    </xf>
    <xf numFmtId="0" fontId="33" fillId="0" borderId="0" xfId="0" applyFont="1" applyFill="1" applyBorder="1" applyAlignment="1">
      <alignment horizontal="left" vertical="center" wrapText="1"/>
    </xf>
    <xf numFmtId="0" fontId="33" fillId="0" borderId="0" xfId="0" applyFont="1" applyFill="1" applyBorder="1" applyAlignment="1">
      <alignment horizontal="right" vertical="center" wrapText="1"/>
    </xf>
    <xf numFmtId="0" fontId="33" fillId="16" borderId="37" xfId="0" applyFont="1" applyFill="1" applyBorder="1" applyAlignment="1">
      <alignment horizontal="left" vertical="center" wrapText="1"/>
    </xf>
    <xf numFmtId="0" fontId="33" fillId="16" borderId="38" xfId="0" applyFont="1" applyFill="1" applyBorder="1" applyAlignment="1">
      <alignment horizontal="left" vertical="center" wrapText="1"/>
    </xf>
    <xf numFmtId="0" fontId="33" fillId="16" borderId="39" xfId="0" applyFont="1" applyFill="1" applyBorder="1" applyAlignment="1">
      <alignment horizontal="right" vertical="center" wrapText="1"/>
    </xf>
    <xf numFmtId="0" fontId="33" fillId="16" borderId="40" xfId="0" applyFont="1" applyFill="1" applyBorder="1" applyAlignment="1">
      <alignment horizontal="right" vertical="center" wrapText="1"/>
    </xf>
    <xf numFmtId="0" fontId="33" fillId="16" borderId="41" xfId="0" applyFont="1" applyFill="1" applyBorder="1" applyAlignment="1">
      <alignment horizontal="right" vertical="center" wrapText="1"/>
    </xf>
    <xf numFmtId="9" fontId="0" fillId="10" borderId="0" xfId="0" applyNumberFormat="1" applyFill="1"/>
    <xf numFmtId="0" fontId="35" fillId="0" borderId="0" xfId="0" applyFont="1" applyAlignment="1">
      <alignment wrapText="1"/>
    </xf>
    <xf numFmtId="10" fontId="35" fillId="0" borderId="0" xfId="0" applyNumberFormat="1" applyFont="1" applyFill="1"/>
    <xf numFmtId="0" fontId="35" fillId="0" borderId="0" xfId="0" applyFont="1"/>
    <xf numFmtId="2" fontId="35" fillId="0" borderId="0" xfId="1" applyNumberFormat="1" applyFont="1"/>
    <xf numFmtId="10" fontId="0" fillId="0" borderId="0" xfId="0" applyNumberFormat="1"/>
    <xf numFmtId="9" fontId="0" fillId="4" borderId="0" xfId="0" applyNumberFormat="1" applyFill="1"/>
    <xf numFmtId="0" fontId="2" fillId="0" borderId="7" xfId="0" applyFont="1" applyFill="1" applyBorder="1"/>
    <xf numFmtId="170" fontId="0" fillId="2" borderId="8" xfId="0" applyNumberFormat="1" applyFill="1" applyBorder="1"/>
    <xf numFmtId="170" fontId="0" fillId="2" borderId="9" xfId="0" applyNumberFormat="1" applyFill="1" applyBorder="1"/>
    <xf numFmtId="170" fontId="0" fillId="2" borderId="10" xfId="0" applyNumberFormat="1" applyFill="1" applyBorder="1"/>
    <xf numFmtId="180" fontId="0" fillId="0" borderId="0" xfId="0" applyNumberFormat="1"/>
    <xf numFmtId="167" fontId="0" fillId="4" borderId="0" xfId="0" applyNumberFormat="1" applyFill="1"/>
    <xf numFmtId="0" fontId="0" fillId="0" borderId="0" xfId="0" applyAlignment="1">
      <alignment horizontal="center"/>
    </xf>
    <xf numFmtId="0" fontId="33" fillId="0" borderId="0" xfId="0" applyFont="1" applyFill="1" applyBorder="1" applyAlignment="1">
      <alignment horizontal="left" vertical="center" wrapText="1"/>
    </xf>
    <xf numFmtId="167" fontId="0" fillId="0" borderId="0" xfId="0" quotePrefix="1" applyNumberFormat="1"/>
    <xf numFmtId="0" fontId="2" fillId="0" borderId="3" xfId="0" applyFont="1" applyBorder="1" applyAlignment="1">
      <alignment horizontal="center" wrapText="1"/>
    </xf>
    <xf numFmtId="0" fontId="2" fillId="0" borderId="4" xfId="0" applyFont="1" applyBorder="1" applyAlignment="1">
      <alignment horizontal="center" wrapText="1"/>
    </xf>
    <xf numFmtId="0" fontId="2" fillId="0" borderId="11" xfId="0" applyFont="1" applyBorder="1" applyAlignment="1">
      <alignment horizontal="center" wrapText="1"/>
    </xf>
    <xf numFmtId="0" fontId="0" fillId="17" borderId="0" xfId="0" applyFill="1"/>
    <xf numFmtId="0" fontId="0" fillId="17" borderId="0" xfId="0" applyFill="1" applyAlignment="1">
      <alignment wrapText="1"/>
    </xf>
    <xf numFmtId="43" fontId="0" fillId="17" borderId="0" xfId="202" applyNumberFormat="1" applyFont="1" applyFill="1" applyAlignment="1">
      <alignment wrapText="1"/>
    </xf>
    <xf numFmtId="0" fontId="2" fillId="17" borderId="0" xfId="0" applyFont="1" applyFill="1" applyAlignment="1">
      <alignment wrapText="1"/>
    </xf>
    <xf numFmtId="1" fontId="21" fillId="0" borderId="0" xfId="0" applyNumberFormat="1" applyFont="1"/>
    <xf numFmtId="0" fontId="3" fillId="10" borderId="0" xfId="0" applyFont="1" applyFill="1"/>
    <xf numFmtId="0" fontId="0" fillId="17" borderId="0" xfId="0" applyFill="1" applyBorder="1"/>
    <xf numFmtId="164" fontId="2" fillId="0" borderId="0" xfId="0" applyNumberFormat="1" applyFont="1" applyAlignment="1">
      <alignment horizontal="right"/>
    </xf>
    <xf numFmtId="0" fontId="0" fillId="0" borderId="6" xfId="0" applyBorder="1" applyAlignment="1">
      <alignment wrapText="1"/>
    </xf>
    <xf numFmtId="164" fontId="0" fillId="0" borderId="12" xfId="0" applyNumberFormat="1" applyBorder="1" applyAlignment="1">
      <alignment wrapText="1"/>
    </xf>
    <xf numFmtId="164" fontId="0" fillId="0" borderId="13" xfId="0" applyNumberFormat="1" applyBorder="1" applyAlignment="1">
      <alignment wrapText="1"/>
    </xf>
    <xf numFmtId="0" fontId="2" fillId="0" borderId="14" xfId="0" applyFont="1" applyBorder="1" applyAlignment="1">
      <alignment wrapText="1"/>
    </xf>
    <xf numFmtId="178" fontId="0" fillId="0" borderId="15" xfId="0" applyNumberFormat="1" applyBorder="1"/>
    <xf numFmtId="0" fontId="0" fillId="0" borderId="14" xfId="0" applyFill="1" applyBorder="1"/>
    <xf numFmtId="0" fontId="0" fillId="0" borderId="15" xfId="0" applyBorder="1"/>
    <xf numFmtId="43" fontId="0" fillId="0" borderId="15" xfId="0" applyNumberFormat="1" applyBorder="1"/>
    <xf numFmtId="179" fontId="0" fillId="3" borderId="16" xfId="0" applyNumberFormat="1" applyFill="1" applyBorder="1"/>
    <xf numFmtId="0" fontId="0" fillId="3" borderId="15" xfId="0" applyFill="1" applyBorder="1"/>
    <xf numFmtId="178" fontId="0" fillId="3" borderId="16" xfId="0" applyNumberFormat="1" applyFill="1" applyBorder="1"/>
    <xf numFmtId="178" fontId="0" fillId="3" borderId="15" xfId="0" applyNumberFormat="1" applyFill="1" applyBorder="1"/>
    <xf numFmtId="0" fontId="0" fillId="0" borderId="0" xfId="0" applyFont="1" applyFill="1" applyAlignment="1">
      <alignment horizontal="left"/>
    </xf>
    <xf numFmtId="43" fontId="0" fillId="0" borderId="0" xfId="202" applyNumberFormat="1" applyFont="1" applyFill="1" applyAlignment="1">
      <alignment wrapText="1"/>
    </xf>
    <xf numFmtId="43" fontId="0" fillId="0" borderId="0" xfId="202" applyFont="1" applyFill="1" applyAlignment="1">
      <alignment wrapText="1"/>
    </xf>
    <xf numFmtId="0" fontId="0" fillId="0" borderId="0" xfId="0" applyFont="1" applyFill="1" applyAlignment="1">
      <alignment wrapText="1"/>
    </xf>
    <xf numFmtId="177" fontId="0" fillId="0" borderId="0" xfId="0" applyNumberFormat="1" applyFill="1"/>
    <xf numFmtId="169" fontId="0" fillId="3" borderId="6" xfId="0" applyNumberFormat="1" applyFill="1" applyBorder="1"/>
    <xf numFmtId="169" fontId="0" fillId="3" borderId="0" xfId="0" applyNumberFormat="1" applyFill="1" applyBorder="1"/>
    <xf numFmtId="169" fontId="0" fillId="3" borderId="7" xfId="0" applyNumberFormat="1" applyFill="1" applyBorder="1"/>
    <xf numFmtId="0" fontId="0" fillId="0" borderId="0" xfId="0" applyFill="1" applyAlignment="1"/>
    <xf numFmtId="43" fontId="0" fillId="0" borderId="0" xfId="202" applyNumberFormat="1" applyFont="1" applyBorder="1"/>
    <xf numFmtId="43" fontId="0" fillId="0" borderId="0" xfId="0" applyNumberFormat="1" applyBorder="1"/>
    <xf numFmtId="0" fontId="0" fillId="0" borderId="0" xfId="0" applyAlignment="1">
      <alignment horizontal="center" wrapText="1"/>
    </xf>
    <xf numFmtId="177" fontId="0" fillId="0" borderId="0" xfId="202" applyNumberFormat="1" applyFont="1" applyBorder="1"/>
    <xf numFmtId="177" fontId="0" fillId="0" borderId="9" xfId="202" applyNumberFormat="1" applyFont="1" applyBorder="1"/>
    <xf numFmtId="177" fontId="0" fillId="0" borderId="10" xfId="202" applyNumberFormat="1" applyFont="1" applyBorder="1"/>
    <xf numFmtId="0" fontId="25" fillId="0" borderId="0" xfId="0" quotePrefix="1" applyNumberFormat="1" applyFont="1" applyAlignment="1">
      <alignment wrapText="1"/>
    </xf>
    <xf numFmtId="0" fontId="25" fillId="0" borderId="0" xfId="0" quotePrefix="1" applyNumberFormat="1" applyFont="1"/>
    <xf numFmtId="9" fontId="0" fillId="0" borderId="0" xfId="1" applyFont="1" applyBorder="1"/>
    <xf numFmtId="164" fontId="3" fillId="0" borderId="0" xfId="0" applyNumberFormat="1" applyFont="1"/>
    <xf numFmtId="0" fontId="36" fillId="4" borderId="0" xfId="0" applyFont="1" applyFill="1"/>
    <xf numFmtId="0" fontId="36" fillId="0" borderId="0" xfId="0" applyFont="1" applyFill="1"/>
    <xf numFmtId="0" fontId="36" fillId="0" borderId="0" xfId="0" applyFont="1"/>
    <xf numFmtId="2" fontId="21" fillId="0" borderId="0" xfId="0" applyNumberFormat="1" applyFont="1" applyAlignment="1">
      <alignment wrapText="1"/>
    </xf>
    <xf numFmtId="43" fontId="21" fillId="0" borderId="0" xfId="202" applyNumberFormat="1" applyFont="1" applyAlignment="1">
      <alignment wrapText="1"/>
    </xf>
    <xf numFmtId="0" fontId="21" fillId="0" borderId="0" xfId="0" applyFont="1" applyAlignment="1"/>
    <xf numFmtId="43" fontId="21" fillId="0" borderId="0" xfId="0" applyNumberFormat="1" applyFont="1" applyAlignment="1">
      <alignment wrapText="1"/>
    </xf>
    <xf numFmtId="177" fontId="21" fillId="0" borderId="0" xfId="0" applyNumberFormat="1" applyFont="1" applyAlignment="1">
      <alignment wrapText="1"/>
    </xf>
    <xf numFmtId="0" fontId="21" fillId="0" borderId="0" xfId="0" applyFont="1" applyFill="1" applyAlignment="1">
      <alignment wrapText="1"/>
    </xf>
    <xf numFmtId="0" fontId="26" fillId="0" borderId="0" xfId="0" applyFont="1" applyAlignment="1">
      <alignment wrapText="1"/>
    </xf>
    <xf numFmtId="167" fontId="21" fillId="0" borderId="0" xfId="0" applyNumberFormat="1" applyFont="1" applyAlignment="1">
      <alignment wrapText="1"/>
    </xf>
    <xf numFmtId="0" fontId="21" fillId="0" borderId="0" xfId="0" applyFont="1" applyAlignment="1">
      <alignment horizontal="left"/>
    </xf>
    <xf numFmtId="43" fontId="21" fillId="0" borderId="0" xfId="202" applyFont="1" applyAlignment="1">
      <alignment wrapText="1"/>
    </xf>
    <xf numFmtId="0" fontId="21" fillId="0" borderId="0" xfId="0" applyFont="1" applyFill="1" applyAlignment="1">
      <alignment horizontal="left"/>
    </xf>
    <xf numFmtId="43" fontId="21" fillId="0" borderId="0" xfId="202" applyFont="1" applyFill="1" applyAlignment="1">
      <alignment wrapText="1"/>
    </xf>
    <xf numFmtId="43" fontId="21" fillId="0" borderId="0" xfId="202" applyNumberFormat="1" applyFont="1" applyFill="1" applyAlignment="1">
      <alignment wrapText="1"/>
    </xf>
    <xf numFmtId="0" fontId="21" fillId="4" borderId="0" xfId="0" applyFont="1" applyFill="1" applyAlignment="1">
      <alignment wrapText="1"/>
    </xf>
    <xf numFmtId="0" fontId="21" fillId="3" borderId="0" xfId="0" applyFont="1" applyFill="1" applyAlignment="1">
      <alignment wrapText="1"/>
    </xf>
    <xf numFmtId="0" fontId="21" fillId="3" borderId="0" xfId="0" applyFont="1" applyFill="1" applyAlignment="1">
      <alignment horizontal="left"/>
    </xf>
    <xf numFmtId="43" fontId="21" fillId="4" borderId="0" xfId="0" applyNumberFormat="1" applyFont="1" applyFill="1" applyAlignment="1">
      <alignment wrapText="1"/>
    </xf>
    <xf numFmtId="43" fontId="21" fillId="0" borderId="0" xfId="0" applyNumberFormat="1" applyFont="1" applyFill="1" applyAlignment="1">
      <alignment wrapText="1"/>
    </xf>
    <xf numFmtId="0" fontId="26" fillId="0" borderId="0" xfId="0" applyFont="1" applyFill="1" applyAlignment="1">
      <alignment wrapText="1"/>
    </xf>
    <xf numFmtId="0" fontId="21" fillId="0" borderId="0" xfId="0" applyFont="1" applyFill="1" applyAlignment="1">
      <alignment horizontal="left" wrapText="1"/>
    </xf>
    <xf numFmtId="43" fontId="21" fillId="0" borderId="0" xfId="202" applyNumberFormat="1" applyFont="1" applyAlignment="1">
      <alignment horizontal="right" wrapText="1"/>
    </xf>
    <xf numFmtId="0" fontId="26" fillId="0" borderId="0" xfId="0" applyFont="1" applyFill="1"/>
    <xf numFmtId="43" fontId="21" fillId="0" borderId="0" xfId="0" applyNumberFormat="1" applyFont="1"/>
    <xf numFmtId="0" fontId="2" fillId="0" borderId="3" xfId="0" applyFont="1" applyFill="1" applyBorder="1" applyAlignment="1">
      <alignment wrapText="1"/>
    </xf>
    <xf numFmtId="177" fontId="0" fillId="0" borderId="0" xfId="202" applyNumberFormat="1" applyFont="1" applyBorder="1" applyAlignment="1">
      <alignment horizontal="center"/>
    </xf>
    <xf numFmtId="177" fontId="0" fillId="0" borderId="9" xfId="202" applyNumberFormat="1" applyFont="1" applyBorder="1" applyAlignment="1">
      <alignment horizontal="center"/>
    </xf>
    <xf numFmtId="14" fontId="2" fillId="0" borderId="0" xfId="0" applyNumberFormat="1" applyFont="1"/>
    <xf numFmtId="0" fontId="37" fillId="0" borderId="0" xfId="0" applyFont="1" applyBorder="1" applyAlignment="1">
      <alignment horizontal="left" vertical="top" wrapText="1"/>
    </xf>
    <xf numFmtId="0" fontId="0" fillId="0" borderId="0" xfId="0" applyFont="1" applyBorder="1"/>
    <xf numFmtId="0" fontId="38" fillId="0" borderId="0" xfId="0" applyFont="1" applyBorder="1" applyAlignment="1">
      <alignment horizontal="left" vertical="top" wrapText="1"/>
    </xf>
    <xf numFmtId="0" fontId="0" fillId="0" borderId="3" xfId="0" applyFont="1" applyBorder="1"/>
    <xf numFmtId="0" fontId="0" fillId="0" borderId="6" xfId="0" applyFont="1" applyBorder="1"/>
    <xf numFmtId="0" fontId="38" fillId="0" borderId="7" xfId="0" applyFont="1" applyBorder="1" applyAlignment="1">
      <alignment horizontal="left" vertical="top" wrapText="1"/>
    </xf>
    <xf numFmtId="0" fontId="38" fillId="0" borderId="8" xfId="0" applyFont="1" applyBorder="1" applyAlignment="1">
      <alignment horizontal="left" vertical="top" wrapText="1"/>
    </xf>
    <xf numFmtId="0" fontId="0" fillId="0" borderId="5" xfId="0" applyFont="1" applyBorder="1"/>
    <xf numFmtId="0" fontId="38" fillId="0" borderId="6" xfId="0" applyFont="1" applyBorder="1" applyAlignment="1">
      <alignment horizontal="left" vertical="top" wrapText="1"/>
    </xf>
    <xf numFmtId="0" fontId="3" fillId="0" borderId="0" xfId="0" applyFont="1" applyFill="1"/>
    <xf numFmtId="0" fontId="3" fillId="0" borderId="0" xfId="0" applyFont="1" applyBorder="1" applyAlignment="1">
      <alignment vertical="center"/>
    </xf>
    <xf numFmtId="0" fontId="3" fillId="0" borderId="0" xfId="0" applyFont="1" applyFill="1" applyBorder="1" applyAlignment="1">
      <alignment vertical="center"/>
    </xf>
    <xf numFmtId="177" fontId="0" fillId="4" borderId="0" xfId="202" applyNumberFormat="1" applyFont="1" applyFill="1"/>
    <xf numFmtId="2" fontId="0" fillId="0" borderId="0" xfId="0" applyNumberFormat="1" applyFont="1" applyBorder="1"/>
    <xf numFmtId="0" fontId="38" fillId="0" borderId="0" xfId="0" applyFont="1" applyBorder="1" applyAlignment="1">
      <alignment horizontal="left" vertical="top"/>
    </xf>
    <xf numFmtId="0" fontId="38" fillId="0" borderId="0" xfId="0" applyFont="1" applyFill="1" applyBorder="1" applyAlignment="1">
      <alignment horizontal="left" vertical="top"/>
    </xf>
    <xf numFmtId="0" fontId="36" fillId="0" borderId="0" xfId="0" applyFont="1" applyFill="1" applyBorder="1" applyAlignment="1">
      <alignment horizontal="left" vertical="top"/>
    </xf>
    <xf numFmtId="9" fontId="0" fillId="0" borderId="0" xfId="0" applyNumberFormat="1" applyFont="1" applyFill="1" applyBorder="1" applyAlignment="1">
      <alignment horizontal="right" vertical="top"/>
    </xf>
    <xf numFmtId="183" fontId="0" fillId="2" borderId="7" xfId="1" applyNumberFormat="1" applyFont="1" applyFill="1" applyBorder="1"/>
    <xf numFmtId="184" fontId="0" fillId="2" borderId="0" xfId="1" applyNumberFormat="1" applyFont="1" applyFill="1" applyBorder="1"/>
    <xf numFmtId="185" fontId="0" fillId="3" borderId="0" xfId="1" applyNumberFormat="1" applyFont="1" applyFill="1" applyBorder="1"/>
    <xf numFmtId="185" fontId="0" fillId="3" borderId="0" xfId="0" applyNumberFormat="1" applyFill="1" applyBorder="1"/>
    <xf numFmtId="183" fontId="0" fillId="2" borderId="7" xfId="0" applyNumberFormat="1" applyFill="1" applyBorder="1"/>
    <xf numFmtId="177" fontId="38" fillId="0" borderId="7" xfId="202" applyNumberFormat="1" applyFont="1" applyBorder="1" applyAlignment="1">
      <alignment horizontal="left" vertical="top" wrapText="1"/>
    </xf>
    <xf numFmtId="177" fontId="38" fillId="0" borderId="10" xfId="202" applyNumberFormat="1" applyFont="1" applyBorder="1" applyAlignment="1">
      <alignment horizontal="left" vertical="top" wrapText="1"/>
    </xf>
    <xf numFmtId="177" fontId="38" fillId="0" borderId="9" xfId="202" applyNumberFormat="1" applyFont="1" applyBorder="1" applyAlignment="1">
      <alignment horizontal="left" vertical="top" wrapText="1"/>
    </xf>
    <xf numFmtId="0" fontId="39" fillId="0" borderId="0" xfId="0" applyFont="1"/>
    <xf numFmtId="177" fontId="39" fillId="0" borderId="0" xfId="202" applyNumberFormat="1" applyFont="1"/>
    <xf numFmtId="177" fontId="39" fillId="0" borderId="0" xfId="0" applyNumberFormat="1" applyFont="1"/>
    <xf numFmtId="0" fontId="39" fillId="0" borderId="0" xfId="0" applyFont="1" applyAlignment="1">
      <alignment horizontal="right"/>
    </xf>
    <xf numFmtId="0" fontId="39" fillId="0" borderId="0" xfId="0" applyFont="1" applyAlignment="1">
      <alignment horizontal="right" wrapText="1"/>
    </xf>
    <xf numFmtId="177" fontId="39" fillId="0" borderId="0" xfId="202" applyNumberFormat="1" applyFont="1" applyAlignment="1">
      <alignment horizontal="right"/>
    </xf>
    <xf numFmtId="9" fontId="39" fillId="0" borderId="0" xfId="1" applyFont="1" applyAlignment="1">
      <alignment horizontal="right"/>
    </xf>
    <xf numFmtId="177" fontId="3" fillId="0" borderId="0" xfId="0" applyNumberFormat="1" applyFont="1" applyFill="1"/>
    <xf numFmtId="43" fontId="3" fillId="0" borderId="0" xfId="0" applyNumberFormat="1" applyFont="1" applyFill="1"/>
    <xf numFmtId="0" fontId="6" fillId="0" borderId="0" xfId="0" applyFont="1" applyFill="1"/>
    <xf numFmtId="182" fontId="3" fillId="0" borderId="0" xfId="1" applyNumberFormat="1" applyFont="1" applyFill="1"/>
    <xf numFmtId="9" fontId="3" fillId="0" borderId="0" xfId="1" applyFont="1" applyFill="1"/>
    <xf numFmtId="177" fontId="0" fillId="4" borderId="0" xfId="0" applyNumberFormat="1" applyFill="1"/>
    <xf numFmtId="164" fontId="0" fillId="3" borderId="0" xfId="0" quotePrefix="1" applyNumberFormat="1" applyFill="1" applyBorder="1"/>
    <xf numFmtId="177" fontId="0" fillId="0" borderId="0" xfId="202" applyNumberFormat="1" applyFont="1" applyFill="1"/>
    <xf numFmtId="164" fontId="0" fillId="0" borderId="0" xfId="1" applyNumberFormat="1" applyFont="1" applyFill="1" applyBorder="1" applyAlignment="1">
      <alignment wrapText="1"/>
    </xf>
    <xf numFmtId="177" fontId="0" fillId="3" borderId="0" xfId="0" applyNumberFormat="1" applyFill="1" applyBorder="1"/>
    <xf numFmtId="177" fontId="3" fillId="0" borderId="0" xfId="0" applyNumberFormat="1" applyFont="1"/>
    <xf numFmtId="43" fontId="3" fillId="0" borderId="0" xfId="0" applyNumberFormat="1" applyFont="1"/>
    <xf numFmtId="177" fontId="1" fillId="0" borderId="0" xfId="202" applyNumberFormat="1" applyFont="1"/>
    <xf numFmtId="177" fontId="1" fillId="0" borderId="0" xfId="202" applyNumberFormat="1" applyFont="1" applyFill="1"/>
    <xf numFmtId="43" fontId="0" fillId="0" borderId="0" xfId="0" applyNumberFormat="1" applyFont="1"/>
    <xf numFmtId="177" fontId="2" fillId="0" borderId="0" xfId="0" applyNumberFormat="1" applyFont="1"/>
    <xf numFmtId="0" fontId="40" fillId="0" borderId="0" xfId="0" applyFont="1"/>
    <xf numFmtId="0" fontId="40" fillId="0" borderId="0" xfId="0" applyFont="1" applyAlignment="1">
      <alignment wrapText="1"/>
    </xf>
    <xf numFmtId="0" fontId="40" fillId="2" borderId="0" xfId="0" applyFont="1" applyFill="1"/>
    <xf numFmtId="0" fontId="6" fillId="0" borderId="0" xfId="0" applyFont="1" applyFill="1" applyBorder="1" applyAlignment="1">
      <alignment vertical="center"/>
    </xf>
    <xf numFmtId="1" fontId="0" fillId="4" borderId="0" xfId="0" applyNumberFormat="1" applyFill="1"/>
    <xf numFmtId="0" fontId="2" fillId="0" borderId="4" xfId="0" applyFont="1" applyBorder="1" applyAlignment="1">
      <alignment horizontal="center"/>
    </xf>
    <xf numFmtId="0" fontId="2" fillId="0" borderId="5" xfId="0" applyFont="1" applyBorder="1" applyAlignment="1">
      <alignment horizontal="center"/>
    </xf>
    <xf numFmtId="0" fontId="0" fillId="0" borderId="0" xfId="0" applyAlignment="1">
      <alignment horizontal="center"/>
    </xf>
    <xf numFmtId="0" fontId="2" fillId="0" borderId="0" xfId="0" applyFont="1" applyAlignment="1">
      <alignment horizontal="center" wrapText="1"/>
    </xf>
    <xf numFmtId="0" fontId="2" fillId="0" borderId="0" xfId="0" applyFont="1" applyAlignment="1">
      <alignment horizontal="center"/>
    </xf>
    <xf numFmtId="0" fontId="0" fillId="0" borderId="4" xfId="0" applyFont="1" applyBorder="1" applyAlignment="1">
      <alignment horizontal="center"/>
    </xf>
    <xf numFmtId="0" fontId="0" fillId="0" borderId="5" xfId="0" applyFont="1" applyBorder="1" applyAlignment="1">
      <alignment horizontal="center"/>
    </xf>
    <xf numFmtId="0" fontId="0" fillId="0" borderId="0" xfId="0" applyAlignment="1">
      <alignment horizontal="left" wrapText="1"/>
    </xf>
    <xf numFmtId="0" fontId="2" fillId="0" borderId="3" xfId="0" applyFont="1" applyBorder="1" applyAlignment="1">
      <alignment horizontal="center" wrapText="1"/>
    </xf>
    <xf numFmtId="0" fontId="2" fillId="0" borderId="5" xfId="0" applyFont="1" applyBorder="1" applyAlignment="1">
      <alignment horizontal="center" wrapText="1"/>
    </xf>
    <xf numFmtId="0" fontId="0" fillId="2" borderId="0" xfId="0" applyFill="1" applyAlignment="1">
      <alignment horizontal="center" vertical="center"/>
    </xf>
    <xf numFmtId="0" fontId="0" fillId="13" borderId="0" xfId="0" applyFill="1" applyAlignment="1">
      <alignment horizontal="center" vertical="center"/>
    </xf>
    <xf numFmtId="0" fontId="0" fillId="0" borderId="0" xfId="0" applyAlignment="1">
      <alignment horizontal="center" wrapText="1"/>
    </xf>
    <xf numFmtId="0" fontId="0" fillId="0" borderId="0" xfId="0" applyAlignment="1">
      <alignment horizontal="left" vertical="center"/>
    </xf>
    <xf numFmtId="0" fontId="2" fillId="0" borderId="11" xfId="0" applyFont="1" applyBorder="1" applyAlignment="1">
      <alignment horizontal="center" wrapText="1"/>
    </xf>
    <xf numFmtId="0" fontId="2" fillId="0" borderId="12" xfId="0" applyFont="1" applyBorder="1" applyAlignment="1">
      <alignment horizontal="center" wrapText="1"/>
    </xf>
    <xf numFmtId="0" fontId="2" fillId="0" borderId="13" xfId="0" applyFont="1" applyBorder="1" applyAlignment="1">
      <alignment horizontal="center" wrapText="1"/>
    </xf>
    <xf numFmtId="0" fontId="2" fillId="0" borderId="4" xfId="0" applyFont="1" applyBorder="1" applyAlignment="1">
      <alignment horizontal="center" wrapText="1"/>
    </xf>
    <xf numFmtId="0" fontId="2" fillId="0" borderId="0" xfId="0" applyFont="1" applyAlignment="1">
      <alignment horizontal="left"/>
    </xf>
    <xf numFmtId="0" fontId="33" fillId="16" borderId="32" xfId="0" applyFont="1" applyFill="1" applyBorder="1" applyAlignment="1">
      <alignment horizontal="left" vertical="center" wrapText="1"/>
    </xf>
    <xf numFmtId="0" fontId="33" fillId="16" borderId="33" xfId="0" applyFont="1" applyFill="1" applyBorder="1" applyAlignment="1">
      <alignment horizontal="left" vertical="center" wrapText="1"/>
    </xf>
    <xf numFmtId="0" fontId="33" fillId="16" borderId="34" xfId="0" applyFont="1" applyFill="1" applyBorder="1" applyAlignment="1">
      <alignment horizontal="left" vertical="center" wrapText="1"/>
    </xf>
    <xf numFmtId="0" fontId="33" fillId="16" borderId="35" xfId="0" applyFont="1" applyFill="1" applyBorder="1" applyAlignment="1">
      <alignment horizontal="left" vertical="center" wrapText="1"/>
    </xf>
    <xf numFmtId="0" fontId="33" fillId="16" borderId="36" xfId="0" applyFont="1" applyFill="1" applyBorder="1" applyAlignment="1">
      <alignment horizontal="left" vertical="center" wrapText="1"/>
    </xf>
    <xf numFmtId="0" fontId="33" fillId="0" borderId="0" xfId="0" applyFont="1" applyFill="1" applyBorder="1" applyAlignment="1">
      <alignment horizontal="left" vertical="center" wrapText="1"/>
    </xf>
    <xf numFmtId="0" fontId="7" fillId="0" borderId="0" xfId="0" applyFont="1" applyBorder="1" applyAlignment="1">
      <alignment horizontal="center" wrapText="1"/>
    </xf>
    <xf numFmtId="0" fontId="2" fillId="0" borderId="3" xfId="0" applyFont="1" applyBorder="1" applyAlignment="1">
      <alignment horizontal="center"/>
    </xf>
    <xf numFmtId="0" fontId="0" fillId="0" borderId="18" xfId="0" applyBorder="1" applyAlignment="1">
      <alignment horizontal="center" wrapText="1"/>
    </xf>
    <xf numFmtId="0" fontId="0" fillId="0" borderId="19" xfId="0" applyBorder="1" applyAlignment="1">
      <alignment horizontal="center" wrapText="1"/>
    </xf>
    <xf numFmtId="0" fontId="21" fillId="0" borderId="0" xfId="0" applyFont="1" applyBorder="1" applyAlignment="1">
      <alignment horizontal="center" wrapText="1"/>
    </xf>
    <xf numFmtId="0" fontId="0" fillId="0" borderId="0"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0" fontId="21" fillId="0" borderId="25" xfId="0" applyFont="1" applyBorder="1" applyAlignment="1">
      <alignment horizontal="center"/>
    </xf>
    <xf numFmtId="0" fontId="21" fillId="0" borderId="26" xfId="0" applyFont="1" applyBorder="1" applyAlignment="1">
      <alignment horizontal="center"/>
    </xf>
    <xf numFmtId="0" fontId="21" fillId="0" borderId="27" xfId="0" applyFont="1" applyBorder="1" applyAlignment="1">
      <alignment horizontal="center"/>
    </xf>
    <xf numFmtId="0" fontId="2" fillId="0" borderId="0" xfId="0" applyFont="1" applyFill="1" applyBorder="1" applyAlignment="1">
      <alignment horizontal="right" wrapText="1"/>
    </xf>
    <xf numFmtId="167" fontId="0" fillId="0" borderId="0" xfId="0" applyNumberFormat="1" applyFill="1" applyAlignment="1">
      <alignment horizontal="center"/>
    </xf>
    <xf numFmtId="0" fontId="0" fillId="0" borderId="0" xfId="0" applyFill="1" applyAlignment="1">
      <alignment horizontal="center"/>
    </xf>
    <xf numFmtId="0" fontId="0" fillId="0" borderId="17" xfId="0" applyBorder="1" applyAlignment="1">
      <alignment horizontal="center"/>
    </xf>
    <xf numFmtId="0" fontId="0" fillId="0" borderId="19" xfId="0" applyBorder="1" applyAlignment="1">
      <alignment horizontal="center"/>
    </xf>
    <xf numFmtId="177" fontId="27" fillId="0" borderId="0" xfId="202" applyNumberFormat="1" applyFont="1" applyAlignment="1">
      <alignment horizontal="left" vertical="center" wrapText="1"/>
    </xf>
    <xf numFmtId="0" fontId="28" fillId="12" borderId="4" xfId="0" applyFont="1" applyFill="1" applyBorder="1" applyAlignment="1">
      <alignment horizontal="center" vertical="center"/>
    </xf>
    <xf numFmtId="0" fontId="31" fillId="0" borderId="0" xfId="0" applyFont="1" applyBorder="1" applyAlignment="1">
      <alignment horizontal="center" vertical="center"/>
    </xf>
    <xf numFmtId="0" fontId="31" fillId="0" borderId="0" xfId="0" applyFont="1" applyBorder="1" applyAlignment="1">
      <alignment horizontal="center" vertical="center" wrapText="1"/>
    </xf>
    <xf numFmtId="177" fontId="27" fillId="0" borderId="0" xfId="202" applyNumberFormat="1" applyFont="1" applyAlignment="1">
      <alignment horizontal="center" vertical="center" wrapText="1"/>
    </xf>
    <xf numFmtId="0" fontId="40" fillId="4" borderId="0" xfId="0" applyFont="1" applyFill="1"/>
    <xf numFmtId="43" fontId="40" fillId="0" borderId="0" xfId="0" applyNumberFormat="1" applyFont="1"/>
    <xf numFmtId="177" fontId="40" fillId="0" borderId="0" xfId="0" applyNumberFormat="1" applyFont="1"/>
    <xf numFmtId="43" fontId="40" fillId="0" borderId="0" xfId="202" applyFont="1"/>
    <xf numFmtId="0" fontId="0" fillId="0" borderId="0" xfId="0" applyAlignment="1">
      <alignment horizontal="left" vertical="top" wrapText="1"/>
    </xf>
    <xf numFmtId="0" fontId="0" fillId="0" borderId="0" xfId="0" applyAlignment="1">
      <alignment horizontal="left"/>
    </xf>
    <xf numFmtId="9" fontId="40" fillId="0" borderId="0" xfId="1" applyFont="1"/>
    <xf numFmtId="0" fontId="40" fillId="0" borderId="0" xfId="0" applyFont="1" applyAlignment="1">
      <alignment horizontal="left" wrapText="1"/>
    </xf>
    <xf numFmtId="0" fontId="40" fillId="10" borderId="0" xfId="0" applyFont="1" applyFill="1"/>
    <xf numFmtId="0" fontId="40" fillId="11" borderId="0" xfId="0" applyFont="1" applyFill="1"/>
    <xf numFmtId="0" fontId="42" fillId="0" borderId="0" xfId="0" applyFont="1"/>
    <xf numFmtId="0" fontId="43" fillId="0" borderId="0" xfId="0" applyFont="1"/>
    <xf numFmtId="43" fontId="40" fillId="4" borderId="0" xfId="202" applyFont="1" applyFill="1"/>
    <xf numFmtId="0" fontId="44" fillId="11" borderId="0" xfId="0" applyFont="1" applyFill="1" applyAlignment="1">
      <alignment horizontal="center"/>
    </xf>
    <xf numFmtId="0" fontId="44" fillId="0" borderId="0" xfId="0" applyFont="1" applyAlignment="1">
      <alignment horizontal="left"/>
    </xf>
    <xf numFmtId="0" fontId="43" fillId="0" borderId="3" xfId="0" applyFont="1" applyBorder="1"/>
    <xf numFmtId="0" fontId="40" fillId="0" borderId="4" xfId="0" applyFont="1" applyBorder="1"/>
    <xf numFmtId="0" fontId="43" fillId="0" borderId="4" xfId="0" applyFont="1" applyBorder="1" applyAlignment="1">
      <alignment wrapText="1"/>
    </xf>
    <xf numFmtId="0" fontId="43" fillId="0" borderId="5" xfId="0" applyFont="1" applyBorder="1" applyAlignment="1">
      <alignment wrapText="1"/>
    </xf>
    <xf numFmtId="0" fontId="43" fillId="0" borderId="0" xfId="0" applyFont="1" applyAlignment="1">
      <alignment wrapText="1"/>
    </xf>
    <xf numFmtId="0" fontId="43" fillId="0" borderId="3" xfId="0" applyFont="1" applyBorder="1" applyAlignment="1">
      <alignment wrapText="1"/>
    </xf>
    <xf numFmtId="0" fontId="40" fillId="0" borderId="5" xfId="0" applyFont="1" applyBorder="1"/>
    <xf numFmtId="0" fontId="43" fillId="0" borderId="11" xfId="0" applyFont="1" applyBorder="1" applyAlignment="1">
      <alignment horizontal="center" wrapText="1"/>
    </xf>
    <xf numFmtId="0" fontId="43" fillId="0" borderId="13" xfId="0" applyFont="1" applyBorder="1" applyAlignment="1"/>
    <xf numFmtId="0" fontId="43" fillId="0" borderId="3" xfId="0" applyFont="1" applyBorder="1" applyAlignment="1">
      <alignment horizontal="center" wrapText="1"/>
    </xf>
    <xf numFmtId="0" fontId="43" fillId="0" borderId="5" xfId="0" applyFont="1" applyBorder="1" applyAlignment="1">
      <alignment horizontal="center" wrapText="1"/>
    </xf>
    <xf numFmtId="0" fontId="40" fillId="0" borderId="6" xfId="0" applyFont="1" applyBorder="1"/>
    <xf numFmtId="0" fontId="43" fillId="0" borderId="0" xfId="0" applyFont="1" applyBorder="1"/>
    <xf numFmtId="0" fontId="43" fillId="0" borderId="7" xfId="0" applyFont="1" applyBorder="1"/>
    <xf numFmtId="0" fontId="43" fillId="0" borderId="6" xfId="0" applyFont="1" applyBorder="1"/>
    <xf numFmtId="0" fontId="40" fillId="0" borderId="0" xfId="0" applyFont="1" applyBorder="1"/>
    <xf numFmtId="0" fontId="40" fillId="0" borderId="3" xfId="0" applyFont="1" applyBorder="1"/>
    <xf numFmtId="0" fontId="43" fillId="0" borderId="5" xfId="0" applyFont="1" applyBorder="1"/>
    <xf numFmtId="164" fontId="40" fillId="2" borderId="0" xfId="0" applyNumberFormat="1" applyFont="1" applyFill="1" applyBorder="1"/>
    <xf numFmtId="0" fontId="40" fillId="0" borderId="0" xfId="0" applyFont="1" applyFill="1" applyBorder="1"/>
    <xf numFmtId="164" fontId="40" fillId="2" borderId="0" xfId="1" applyNumberFormat="1" applyFont="1" applyFill="1" applyBorder="1"/>
    <xf numFmtId="164" fontId="40" fillId="0" borderId="0" xfId="1" applyNumberFormat="1" applyFont="1" applyFill="1" applyBorder="1"/>
    <xf numFmtId="9" fontId="40" fillId="0" borderId="0" xfId="0" applyNumberFormat="1" applyFont="1" applyFill="1" applyBorder="1"/>
    <xf numFmtId="164" fontId="40" fillId="2" borderId="7" xfId="1" applyNumberFormat="1" applyFont="1" applyFill="1" applyBorder="1"/>
    <xf numFmtId="164" fontId="40" fillId="2" borderId="0" xfId="1" applyNumberFormat="1" applyFont="1" applyFill="1"/>
    <xf numFmtId="0" fontId="40" fillId="2" borderId="6" xfId="0" applyFont="1" applyFill="1" applyBorder="1"/>
    <xf numFmtId="0" fontId="40" fillId="0" borderId="0" xfId="0" applyFont="1" applyFill="1"/>
    <xf numFmtId="43" fontId="40" fillId="0" borderId="6" xfId="202" applyFont="1" applyBorder="1"/>
    <xf numFmtId="43" fontId="40" fillId="0" borderId="7" xfId="202" applyFont="1" applyBorder="1"/>
    <xf numFmtId="43" fontId="40" fillId="0" borderId="6" xfId="202" applyFont="1" applyBorder="1" applyAlignment="1">
      <alignment horizontal="center"/>
    </xf>
    <xf numFmtId="43" fontId="40" fillId="0" borderId="7" xfId="202" applyFont="1" applyBorder="1" applyAlignment="1">
      <alignment horizontal="center"/>
    </xf>
    <xf numFmtId="0" fontId="45" fillId="0" borderId="0" xfId="0" applyFont="1" applyAlignment="1">
      <alignment horizontal="center"/>
    </xf>
    <xf numFmtId="164" fontId="40" fillId="0" borderId="0" xfId="0" applyNumberFormat="1" applyFont="1" applyFill="1" applyBorder="1"/>
    <xf numFmtId="164" fontId="40" fillId="2" borderId="7" xfId="0" applyNumberFormat="1" applyFont="1" applyFill="1" applyBorder="1"/>
    <xf numFmtId="9" fontId="40" fillId="0" borderId="0" xfId="0" applyNumberFormat="1" applyFont="1"/>
    <xf numFmtId="164" fontId="40" fillId="3" borderId="0" xfId="1" applyNumberFormat="1" applyFont="1" applyFill="1" applyBorder="1"/>
    <xf numFmtId="164" fontId="40" fillId="0" borderId="7" xfId="1" applyNumberFormat="1" applyFont="1" applyFill="1" applyBorder="1"/>
    <xf numFmtId="164" fontId="40" fillId="0" borderId="0" xfId="1" applyNumberFormat="1" applyFont="1" applyFill="1"/>
    <xf numFmtId="0" fontId="40" fillId="0" borderId="6" xfId="0" applyFont="1" applyFill="1" applyBorder="1"/>
    <xf numFmtId="0" fontId="43" fillId="0" borderId="6" xfId="0" applyFont="1" applyFill="1" applyBorder="1"/>
    <xf numFmtId="9" fontId="40" fillId="2" borderId="7" xfId="0" applyNumberFormat="1" applyFont="1" applyFill="1" applyBorder="1"/>
    <xf numFmtId="9" fontId="40" fillId="2" borderId="0" xfId="1" applyFont="1" applyFill="1" applyBorder="1"/>
    <xf numFmtId="9" fontId="40" fillId="2" borderId="7" xfId="1" applyFont="1" applyFill="1" applyBorder="1"/>
    <xf numFmtId="9" fontId="40" fillId="2" borderId="0" xfId="1" applyFont="1" applyFill="1"/>
    <xf numFmtId="164" fontId="40" fillId="3" borderId="0" xfId="0" applyNumberFormat="1" applyFont="1" applyFill="1" applyBorder="1"/>
    <xf numFmtId="164" fontId="40" fillId="3" borderId="7" xfId="0" applyNumberFormat="1" applyFont="1" applyFill="1" applyBorder="1"/>
    <xf numFmtId="164" fontId="40" fillId="3" borderId="0" xfId="0" applyNumberFormat="1" applyFont="1" applyFill="1"/>
    <xf numFmtId="0" fontId="40" fillId="3" borderId="6" xfId="0" applyFont="1" applyFill="1" applyBorder="1"/>
    <xf numFmtId="0" fontId="40" fillId="0" borderId="8" xfId="0" applyFont="1" applyFill="1" applyBorder="1"/>
    <xf numFmtId="164" fontId="40" fillId="0" borderId="9" xfId="0" applyNumberFormat="1" applyFont="1" applyFill="1" applyBorder="1"/>
    <xf numFmtId="0" fontId="40" fillId="0" borderId="9" xfId="0" applyFont="1" applyFill="1" applyBorder="1"/>
    <xf numFmtId="164" fontId="40" fillId="0" borderId="9" xfId="1" applyNumberFormat="1" applyFont="1" applyFill="1" applyBorder="1"/>
    <xf numFmtId="164" fontId="40" fillId="0" borderId="10" xfId="1" applyNumberFormat="1" applyFont="1" applyFill="1" applyBorder="1"/>
    <xf numFmtId="9" fontId="40" fillId="0" borderId="0" xfId="0" applyNumberFormat="1" applyFont="1" applyBorder="1"/>
    <xf numFmtId="164" fontId="40" fillId="0" borderId="0" xfId="0" applyNumberFormat="1" applyFont="1" applyFill="1"/>
    <xf numFmtId="0" fontId="43" fillId="0" borderId="0" xfId="0" applyFont="1" applyAlignment="1">
      <alignment horizontal="right"/>
    </xf>
    <xf numFmtId="43" fontId="40" fillId="10" borderId="0" xfId="202" applyFont="1" applyFill="1"/>
    <xf numFmtId="0" fontId="43" fillId="0" borderId="0" xfId="0" applyFont="1" applyFill="1" applyBorder="1" applyAlignment="1">
      <alignment horizontal="right"/>
    </xf>
    <xf numFmtId="0" fontId="40" fillId="0" borderId="8" xfId="0" applyFont="1" applyBorder="1"/>
    <xf numFmtId="0" fontId="40" fillId="0" borderId="9" xfId="0" applyFont="1" applyBorder="1"/>
    <xf numFmtId="9" fontId="40" fillId="0" borderId="9" xfId="0" applyNumberFormat="1" applyFont="1" applyBorder="1"/>
    <xf numFmtId="164" fontId="40" fillId="2" borderId="10" xfId="0" applyNumberFormat="1" applyFont="1" applyFill="1" applyBorder="1"/>
    <xf numFmtId="0" fontId="43" fillId="0" borderId="0" xfId="0" applyFont="1" applyFill="1" applyAlignment="1">
      <alignment horizontal="right"/>
    </xf>
    <xf numFmtId="164" fontId="40" fillId="0" borderId="10" xfId="0" applyNumberFormat="1" applyFont="1" applyFill="1" applyBorder="1"/>
    <xf numFmtId="43" fontId="40" fillId="0" borderId="8" xfId="202" applyFont="1" applyBorder="1"/>
    <xf numFmtId="43" fontId="40" fillId="0" borderId="10" xfId="202" applyFont="1" applyBorder="1"/>
    <xf numFmtId="43" fontId="40" fillId="0" borderId="8" xfId="202" applyFont="1" applyBorder="1" applyAlignment="1">
      <alignment horizontal="center"/>
    </xf>
    <xf numFmtId="43" fontId="40" fillId="0" borderId="10" xfId="202" applyFont="1" applyBorder="1" applyAlignment="1">
      <alignment horizontal="center"/>
    </xf>
    <xf numFmtId="0" fontId="43" fillId="0" borderId="0" xfId="0" applyFont="1" applyFill="1" applyBorder="1"/>
    <xf numFmtId="2" fontId="40" fillId="0" borderId="0" xfId="0" applyNumberFormat="1" applyFont="1" applyFill="1" applyBorder="1"/>
    <xf numFmtId="43" fontId="40" fillId="0" borderId="0" xfId="202" applyFont="1" applyFill="1"/>
    <xf numFmtId="2" fontId="43" fillId="0" borderId="0" xfId="0" applyNumberFormat="1" applyFont="1" applyFill="1" applyBorder="1" applyAlignment="1">
      <alignment horizontal="right"/>
    </xf>
    <xf numFmtId="43" fontId="40" fillId="10" borderId="0" xfId="202" applyFont="1" applyFill="1" applyBorder="1" applyAlignment="1">
      <alignment horizontal="center"/>
    </xf>
    <xf numFmtId="2" fontId="40" fillId="0" borderId="0" xfId="0" applyNumberFormat="1" applyFont="1"/>
    <xf numFmtId="2" fontId="45" fillId="0" borderId="0" xfId="0" applyNumberFormat="1" applyFont="1" applyFill="1" applyBorder="1" applyAlignment="1">
      <alignment horizontal="center"/>
    </xf>
    <xf numFmtId="0" fontId="3" fillId="0" borderId="0" xfId="0" applyFont="1" applyAlignment="1"/>
    <xf numFmtId="9" fontId="3" fillId="0" borderId="0" xfId="1" applyFont="1"/>
    <xf numFmtId="164" fontId="3" fillId="0" borderId="20" xfId="1" applyNumberFormat="1" applyFont="1" applyBorder="1"/>
    <xf numFmtId="0" fontId="3" fillId="0" borderId="21" xfId="0" applyFont="1" applyBorder="1"/>
    <xf numFmtId="43" fontId="3" fillId="0" borderId="0" xfId="0" applyNumberFormat="1" applyFont="1" applyAlignment="1">
      <alignment wrapText="1"/>
    </xf>
    <xf numFmtId="172" fontId="3" fillId="0" borderId="0" xfId="0" applyNumberFormat="1" applyFont="1"/>
    <xf numFmtId="0" fontId="3" fillId="0" borderId="21" xfId="0" applyFont="1" applyBorder="1" applyAlignment="1">
      <alignment wrapText="1"/>
    </xf>
    <xf numFmtId="177" fontId="3" fillId="0" borderId="0" xfId="0" applyNumberFormat="1" applyFont="1" applyAlignment="1">
      <alignment wrapText="1"/>
    </xf>
    <xf numFmtId="0" fontId="3" fillId="4" borderId="0" xfId="0" applyFont="1" applyFill="1"/>
    <xf numFmtId="177" fontId="3" fillId="0" borderId="0" xfId="202" applyNumberFormat="1" applyFont="1"/>
    <xf numFmtId="0" fontId="3" fillId="0" borderId="0" xfId="0" applyFont="1" applyFill="1" applyAlignment="1">
      <alignment wrapText="1"/>
    </xf>
    <xf numFmtId="164" fontId="3" fillId="0" borderId="22" xfId="0" applyNumberFormat="1" applyFont="1" applyBorder="1"/>
    <xf numFmtId="0" fontId="3" fillId="0" borderId="24" xfId="0" applyFont="1" applyBorder="1"/>
    <xf numFmtId="0" fontId="6" fillId="0" borderId="17" xfId="0" applyFont="1" applyBorder="1" applyAlignment="1">
      <alignment horizontal="center" wrapText="1"/>
    </xf>
    <xf numFmtId="0" fontId="6" fillId="0" borderId="19" xfId="0" applyFont="1" applyBorder="1" applyAlignment="1">
      <alignment horizontal="center" wrapText="1"/>
    </xf>
    <xf numFmtId="43" fontId="26" fillId="0" borderId="0" xfId="202" applyNumberFormat="1" applyFont="1" applyAlignment="1">
      <alignment wrapText="1"/>
    </xf>
    <xf numFmtId="0" fontId="3" fillId="4" borderId="0" xfId="0" applyFont="1" applyFill="1" applyAlignment="1">
      <alignment horizontal="left"/>
    </xf>
  </cellXfs>
  <cellStyles count="203">
    <cellStyle name="CellBlue1" xfId="5"/>
    <cellStyle name="cf1" xfId="6"/>
    <cellStyle name="Comma" xfId="202" builtinId="3"/>
    <cellStyle name="Comma 10" xfId="7"/>
    <cellStyle name="Comma 11" xfId="3"/>
    <cellStyle name="Comma 2" xfId="8"/>
    <cellStyle name="Comma 2 2" xfId="9"/>
    <cellStyle name="Comma 2 2 2" xfId="10"/>
    <cellStyle name="Comma 2 3" xfId="11"/>
    <cellStyle name="Comma 2 3 2" xfId="12"/>
    <cellStyle name="Comma 2 4" xfId="13"/>
    <cellStyle name="Comma 3" xfId="14"/>
    <cellStyle name="Comma 3 2" xfId="15"/>
    <cellStyle name="Comma 3 3" xfId="16"/>
    <cellStyle name="Comma 3 4" xfId="17"/>
    <cellStyle name="Comma 3 5" xfId="18"/>
    <cellStyle name="Comma 4" xfId="19"/>
    <cellStyle name="Comma 4 2" xfId="20"/>
    <cellStyle name="Comma 4 3" xfId="21"/>
    <cellStyle name="Comma 5" xfId="22"/>
    <cellStyle name="Comma 5 2" xfId="23"/>
    <cellStyle name="Comma 6" xfId="24"/>
    <cellStyle name="Comma 7" xfId="25"/>
    <cellStyle name="Comma 7 10" xfId="26"/>
    <cellStyle name="Comma 7 11" xfId="27"/>
    <cellStyle name="Comma 7 12" xfId="28"/>
    <cellStyle name="Comma 7 13" xfId="29"/>
    <cellStyle name="Comma 7 2" xfId="30"/>
    <cellStyle name="Comma 7 3" xfId="31"/>
    <cellStyle name="Comma 7 4" xfId="32"/>
    <cellStyle name="Comma 7 5" xfId="33"/>
    <cellStyle name="Comma 7 6" xfId="34"/>
    <cellStyle name="Comma 7 7" xfId="35"/>
    <cellStyle name="Comma 7 8" xfId="36"/>
    <cellStyle name="Comma 7 9" xfId="37"/>
    <cellStyle name="Comma 8" xfId="38"/>
    <cellStyle name="Comma 9" xfId="39"/>
    <cellStyle name="Description" xfId="40"/>
    <cellStyle name="Description 10" xfId="41"/>
    <cellStyle name="Description 11" xfId="42"/>
    <cellStyle name="Description 12" xfId="43"/>
    <cellStyle name="Description 13" xfId="44"/>
    <cellStyle name="Description 2" xfId="45"/>
    <cellStyle name="Description 3" xfId="46"/>
    <cellStyle name="Description 4" xfId="47"/>
    <cellStyle name="Description 5" xfId="48"/>
    <cellStyle name="Description 6" xfId="49"/>
    <cellStyle name="Description 7" xfId="50"/>
    <cellStyle name="Description 8" xfId="51"/>
    <cellStyle name="Description 9" xfId="52"/>
    <cellStyle name="Graphics" xfId="53"/>
    <cellStyle name="Hazardous" xfId="54"/>
    <cellStyle name="HdgDescription" xfId="55"/>
    <cellStyle name="Hyperlink" xfId="56"/>
    <cellStyle name="Hyperlink 2" xfId="57"/>
    <cellStyle name="Hyperlink 2 2" xfId="58"/>
    <cellStyle name="Hyperlink 3" xfId="59"/>
    <cellStyle name="Hyperlink 4" xfId="60"/>
    <cellStyle name="Normal" xfId="0" builtinId="0"/>
    <cellStyle name="Normal 10" xfId="61"/>
    <cellStyle name="Normal 10 2" xfId="62"/>
    <cellStyle name="Normal 11" xfId="63"/>
    <cellStyle name="Normal 11 10" xfId="64"/>
    <cellStyle name="Normal 11 11" xfId="65"/>
    <cellStyle name="Normal 11 12" xfId="66"/>
    <cellStyle name="Normal 11 13" xfId="67"/>
    <cellStyle name="Normal 11 2" xfId="68"/>
    <cellStyle name="Normal 11 3" xfId="69"/>
    <cellStyle name="Normal 11 4" xfId="70"/>
    <cellStyle name="Normal 11 5" xfId="71"/>
    <cellStyle name="Normal 11 6" xfId="72"/>
    <cellStyle name="Normal 11 7" xfId="73"/>
    <cellStyle name="Normal 11 8" xfId="74"/>
    <cellStyle name="Normal 11 9" xfId="75"/>
    <cellStyle name="Normal 12" xfId="76"/>
    <cellStyle name="Normal 12 10" xfId="77"/>
    <cellStyle name="Normal 12 11" xfId="78"/>
    <cellStyle name="Normal 12 12" xfId="79"/>
    <cellStyle name="Normal 12 13" xfId="80"/>
    <cellStyle name="Normal 12 2" xfId="81"/>
    <cellStyle name="Normal 12 3" xfId="82"/>
    <cellStyle name="Normal 12 4" xfId="83"/>
    <cellStyle name="Normal 12 5" xfId="84"/>
    <cellStyle name="Normal 12 6" xfId="85"/>
    <cellStyle name="Normal 12 7" xfId="86"/>
    <cellStyle name="Normal 12 8" xfId="87"/>
    <cellStyle name="Normal 12 9" xfId="88"/>
    <cellStyle name="Normal 13" xfId="89"/>
    <cellStyle name="Normal 13 10" xfId="90"/>
    <cellStyle name="Normal 13 11" xfId="91"/>
    <cellStyle name="Normal 13 12" xfId="92"/>
    <cellStyle name="Normal 13 13" xfId="93"/>
    <cellStyle name="Normal 13 2" xfId="94"/>
    <cellStyle name="Normal 13 3" xfId="95"/>
    <cellStyle name="Normal 13 4" xfId="96"/>
    <cellStyle name="Normal 13 5" xfId="97"/>
    <cellStyle name="Normal 13 6" xfId="98"/>
    <cellStyle name="Normal 13 7" xfId="99"/>
    <cellStyle name="Normal 13 8" xfId="100"/>
    <cellStyle name="Normal 13 9" xfId="101"/>
    <cellStyle name="Normal 14" xfId="102"/>
    <cellStyle name="Normal 15" xfId="103"/>
    <cellStyle name="Normal 16" xfId="104"/>
    <cellStyle name="Normal 17" xfId="105"/>
    <cellStyle name="Normal 18" xfId="106"/>
    <cellStyle name="Normal 19" xfId="107"/>
    <cellStyle name="Normal 2" xfId="108"/>
    <cellStyle name="Normal 2 2" xfId="109"/>
    <cellStyle name="Normal 2 2 2" xfId="110"/>
    <cellStyle name="Normal 2 2 3" xfId="111"/>
    <cellStyle name="Normal 2 2 4" xfId="112"/>
    <cellStyle name="Normal 2 3" xfId="113"/>
    <cellStyle name="Normal 2 4" xfId="114"/>
    <cellStyle name="Normal 20" xfId="115"/>
    <cellStyle name="Normal 21" xfId="2"/>
    <cellStyle name="Normal 3" xfId="116"/>
    <cellStyle name="Normal 3 2" xfId="117"/>
    <cellStyle name="Normal 3 3" xfId="118"/>
    <cellStyle name="Normal 3 4" xfId="119"/>
    <cellStyle name="Normal 4" xfId="120"/>
    <cellStyle name="Normal 4 2" xfId="121"/>
    <cellStyle name="Normal 4 3" xfId="122"/>
    <cellStyle name="Normal 4 4" xfId="123"/>
    <cellStyle name="Normal 4 5" xfId="124"/>
    <cellStyle name="Normal 5" xfId="125"/>
    <cellStyle name="Normal 5 2" xfId="126"/>
    <cellStyle name="Normal 6" xfId="127"/>
    <cellStyle name="Normal 6 2" xfId="128"/>
    <cellStyle name="Normal 6 3" xfId="129"/>
    <cellStyle name="Normal 7" xfId="130"/>
    <cellStyle name="Normal 7 10" xfId="131"/>
    <cellStyle name="Normal 7 11" xfId="132"/>
    <cellStyle name="Normal 7 12" xfId="133"/>
    <cellStyle name="Normal 7 13" xfId="134"/>
    <cellStyle name="Normal 7 14" xfId="135"/>
    <cellStyle name="Normal 7 2" xfId="136"/>
    <cellStyle name="Normal 7 3" xfId="137"/>
    <cellStyle name="Normal 7 4" xfId="138"/>
    <cellStyle name="Normal 7 5" xfId="139"/>
    <cellStyle name="Normal 7 6" xfId="140"/>
    <cellStyle name="Normal 7 7" xfId="141"/>
    <cellStyle name="Normal 7 8" xfId="142"/>
    <cellStyle name="Normal 7 9" xfId="143"/>
    <cellStyle name="Normal 8" xfId="144"/>
    <cellStyle name="Normal 8 10" xfId="145"/>
    <cellStyle name="Normal 8 11" xfId="146"/>
    <cellStyle name="Normal 8 12" xfId="147"/>
    <cellStyle name="Normal 8 13" xfId="148"/>
    <cellStyle name="Normal 8 14" xfId="149"/>
    <cellStyle name="Normal 8 2" xfId="150"/>
    <cellStyle name="Normal 8 3" xfId="151"/>
    <cellStyle name="Normal 8 4" xfId="152"/>
    <cellStyle name="Normal 8 5" xfId="153"/>
    <cellStyle name="Normal 8 6" xfId="154"/>
    <cellStyle name="Normal 8 7" xfId="155"/>
    <cellStyle name="Normal 8 8" xfId="156"/>
    <cellStyle name="Normal 8 9" xfId="157"/>
    <cellStyle name="Normal 9" xfId="158"/>
    <cellStyle name="Normal 9 10" xfId="159"/>
    <cellStyle name="Normal 9 11" xfId="160"/>
    <cellStyle name="Normal 9 12" xfId="161"/>
    <cellStyle name="Normal 9 13" xfId="162"/>
    <cellStyle name="Normal 9 2" xfId="163"/>
    <cellStyle name="Normal 9 3" xfId="164"/>
    <cellStyle name="Normal 9 4" xfId="165"/>
    <cellStyle name="Normal 9 5" xfId="166"/>
    <cellStyle name="Normal 9 6" xfId="167"/>
    <cellStyle name="Normal 9 7" xfId="168"/>
    <cellStyle name="Normal 9 8" xfId="169"/>
    <cellStyle name="Normal 9 9" xfId="170"/>
    <cellStyle name="Percent" xfId="1" builtinId="5"/>
    <cellStyle name="Percent 10" xfId="171"/>
    <cellStyle name="Percent 11" xfId="4"/>
    <cellStyle name="Percent 2" xfId="172"/>
    <cellStyle name="Percent 2 2" xfId="173"/>
    <cellStyle name="Percent 2 3" xfId="174"/>
    <cellStyle name="Percent 3" xfId="175"/>
    <cellStyle name="Percent 4" xfId="176"/>
    <cellStyle name="Percent 4 2" xfId="177"/>
    <cellStyle name="Percent 4 3" xfId="178"/>
    <cellStyle name="Percent 4 4" xfId="179"/>
    <cellStyle name="Percent 5" xfId="180"/>
    <cellStyle name="Percent 6" xfId="181"/>
    <cellStyle name="Percent 7" xfId="182"/>
    <cellStyle name="Percent 8" xfId="183"/>
    <cellStyle name="Percent 9" xfId="184"/>
    <cellStyle name="Percent 9 10" xfId="185"/>
    <cellStyle name="Percent 9 11" xfId="186"/>
    <cellStyle name="Percent 9 12" xfId="187"/>
    <cellStyle name="Percent 9 13" xfId="188"/>
    <cellStyle name="Percent 9 2" xfId="189"/>
    <cellStyle name="Percent 9 3" xfId="190"/>
    <cellStyle name="Percent 9 4" xfId="191"/>
    <cellStyle name="Percent 9 5" xfId="192"/>
    <cellStyle name="Percent 9 6" xfId="193"/>
    <cellStyle name="Percent 9 7" xfId="194"/>
    <cellStyle name="Percent 9 8" xfId="195"/>
    <cellStyle name="Percent 9 9" xfId="196"/>
    <cellStyle name="Refdb standard" xfId="197"/>
    <cellStyle name="SDMX_protected" xfId="198"/>
    <cellStyle name="Standard 2" xfId="199"/>
    <cellStyle name="Standard_data_tables_JG" xfId="200"/>
    <cellStyle name="Table_HDR" xfId="201"/>
  </cellStyles>
  <dxfs count="0"/>
  <tableStyles count="0" defaultTableStyle="TableStyleMedium2" defaultPivotStyle="PivotStyleLight16"/>
  <colors>
    <mruColors>
      <color rgb="FFFFCC00"/>
      <color rgb="FFED7A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GB" b="0" i="0" baseline="0">
                <a:effectLst/>
              </a:rPr>
              <a:t>UK forestry and wood processing sector GWP impact - Scope 1, 2 &amp; 3 Emissions (tonnes CO2e/yr) (baseline yr 2020)</a:t>
            </a:r>
            <a:endParaRPr lang="en-GB">
              <a:effectLst/>
            </a:endParaRP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barChart>
        <c:barDir val="col"/>
        <c:grouping val="stacked"/>
        <c:varyColors val="0"/>
        <c:ser>
          <c:idx val="0"/>
          <c:order val="0"/>
          <c:tx>
            <c:strRef>
              <c:f>GWP_impact!$Y$3</c:f>
              <c:strCache>
                <c:ptCount val="1"/>
                <c:pt idx="0">
                  <c:v>Scope 1&amp;2</c:v>
                </c:pt>
              </c:strCache>
            </c:strRef>
          </c:tx>
          <c:spPr>
            <a:solidFill>
              <a:schemeClr val="accent6">
                <a:shade val="76000"/>
              </a:schemeClr>
            </a:solidFill>
            <a:ln>
              <a:noFill/>
            </a:ln>
            <a:effectLst/>
          </c:spPr>
          <c:invertIfNegative val="0"/>
          <c:cat>
            <c:strRef>
              <c:f>GWP_impact!$V$4:$V$8</c:f>
              <c:strCache>
                <c:ptCount val="5"/>
                <c:pt idx="0">
                  <c:v>Forestry Operations</c:v>
                </c:pt>
                <c:pt idx="1">
                  <c:v>Timber transport</c:v>
                </c:pt>
                <c:pt idx="2">
                  <c:v>Sawmills</c:v>
                </c:pt>
                <c:pt idx="3">
                  <c:v>Wood Panel Production</c:v>
                </c:pt>
                <c:pt idx="4">
                  <c:v>Wood Fuel Production</c:v>
                </c:pt>
              </c:strCache>
            </c:strRef>
          </c:cat>
          <c:val>
            <c:numRef>
              <c:f>GWP_impact!$Y$4:$Y$8</c:f>
              <c:numCache>
                <c:formatCode>_(* #,##0.00_);_(* \(#,##0.00\);_(* "-"??_);_(@_)</c:formatCode>
                <c:ptCount val="5"/>
                <c:pt idx="0" formatCode="General">
                  <c:v>87768.375757510861</c:v>
                </c:pt>
                <c:pt idx="1">
                  <c:v>165049.9380734413</c:v>
                </c:pt>
                <c:pt idx="2" formatCode="General">
                  <c:v>535481.22154774785</c:v>
                </c:pt>
                <c:pt idx="3">
                  <c:v>931942.64504768979</c:v>
                </c:pt>
                <c:pt idx="4" formatCode="_-* #,##0_-;\-* #,##0_-;_-* &quot;-&quot;??_-;_-@_-">
                  <c:v>225826.24642154807</c:v>
                </c:pt>
              </c:numCache>
            </c:numRef>
          </c:val>
          <c:extLst>
            <c:ext xmlns:c16="http://schemas.microsoft.com/office/drawing/2014/chart" uri="{C3380CC4-5D6E-409C-BE32-E72D297353CC}">
              <c16:uniqueId val="{00000000-DB81-4726-B16E-161ECBFE1271}"/>
            </c:ext>
          </c:extLst>
        </c:ser>
        <c:ser>
          <c:idx val="1"/>
          <c:order val="1"/>
          <c:tx>
            <c:strRef>
              <c:f>GWP_impact!$Z$3</c:f>
              <c:strCache>
                <c:ptCount val="1"/>
                <c:pt idx="0">
                  <c:v>Scope 3 </c:v>
                </c:pt>
              </c:strCache>
            </c:strRef>
          </c:tx>
          <c:spPr>
            <a:solidFill>
              <a:schemeClr val="accent6">
                <a:tint val="77000"/>
              </a:schemeClr>
            </a:solidFill>
            <a:ln>
              <a:noFill/>
            </a:ln>
            <a:effectLst/>
          </c:spPr>
          <c:invertIfNegative val="0"/>
          <c:cat>
            <c:strRef>
              <c:f>GWP_impact!$V$4:$V$8</c:f>
              <c:strCache>
                <c:ptCount val="5"/>
                <c:pt idx="0">
                  <c:v>Forestry Operations</c:v>
                </c:pt>
                <c:pt idx="1">
                  <c:v>Timber transport</c:v>
                </c:pt>
                <c:pt idx="2">
                  <c:v>Sawmills</c:v>
                </c:pt>
                <c:pt idx="3">
                  <c:v>Wood Panel Production</c:v>
                </c:pt>
                <c:pt idx="4">
                  <c:v>Wood Fuel Production</c:v>
                </c:pt>
              </c:strCache>
            </c:strRef>
          </c:cat>
          <c:val>
            <c:numRef>
              <c:f>GWP_impact!$Z$4:$Z$8</c:f>
              <c:numCache>
                <c:formatCode>_-* #,##0_-;\-* #,##0_-;_-* "-"??_-;_-@_-</c:formatCode>
                <c:ptCount val="5"/>
                <c:pt idx="0">
                  <c:v>134.87298839000869</c:v>
                </c:pt>
                <c:pt idx="2">
                  <c:v>12438.57711034175</c:v>
                </c:pt>
                <c:pt idx="3">
                  <c:v>629524.66676845797</c:v>
                </c:pt>
              </c:numCache>
            </c:numRef>
          </c:val>
          <c:extLst>
            <c:ext xmlns:c16="http://schemas.microsoft.com/office/drawing/2014/chart" uri="{C3380CC4-5D6E-409C-BE32-E72D297353CC}">
              <c16:uniqueId val="{00000001-DB81-4726-B16E-161ECBFE1271}"/>
            </c:ext>
          </c:extLst>
        </c:ser>
        <c:dLbls>
          <c:showLegendKey val="0"/>
          <c:showVal val="0"/>
          <c:showCatName val="0"/>
          <c:showSerName val="0"/>
          <c:showPercent val="0"/>
          <c:showBubbleSize val="0"/>
        </c:dLbls>
        <c:gapWidth val="150"/>
        <c:overlap val="100"/>
        <c:axId val="643028184"/>
        <c:axId val="643033760"/>
      </c:barChart>
      <c:catAx>
        <c:axId val="64302818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33760"/>
        <c:crosses val="autoZero"/>
        <c:auto val="1"/>
        <c:lblAlgn val="ctr"/>
        <c:lblOffset val="100"/>
        <c:noMultiLvlLbl val="0"/>
      </c:catAx>
      <c:valAx>
        <c:axId val="6430337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8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GB" b="0" i="0" baseline="0">
                <a:effectLst/>
              </a:rPr>
              <a:t>UK forestry and wood processing sector GWP impact - Scope 1, 2, 3 &amp; 4 Emissions (tonnes CO2e/yr) (baseline yr 2020)</a:t>
            </a:r>
            <a:endParaRPr lang="en-GB">
              <a:effectLst/>
            </a:endParaRP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barChart>
        <c:barDir val="col"/>
        <c:grouping val="stacked"/>
        <c:varyColors val="0"/>
        <c:ser>
          <c:idx val="0"/>
          <c:order val="0"/>
          <c:tx>
            <c:strRef>
              <c:f>GWP_impact!$Y$3</c:f>
              <c:strCache>
                <c:ptCount val="1"/>
                <c:pt idx="0">
                  <c:v>Scope 1&amp;2</c:v>
                </c:pt>
              </c:strCache>
            </c:strRef>
          </c:tx>
          <c:spPr>
            <a:solidFill>
              <a:schemeClr val="accent6">
                <a:shade val="65000"/>
              </a:schemeClr>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GWP_impact!$Y$4:$Y$9</c:f>
              <c:numCache>
                <c:formatCode>_(* #,##0.00_);_(* \(#,##0.00\);_(* "-"??_);_(@_)</c:formatCode>
                <c:ptCount val="6"/>
                <c:pt idx="0" formatCode="General">
                  <c:v>87768.375757510861</c:v>
                </c:pt>
                <c:pt idx="1">
                  <c:v>165049.9380734413</c:v>
                </c:pt>
                <c:pt idx="2" formatCode="General">
                  <c:v>535481.22154774785</c:v>
                </c:pt>
                <c:pt idx="3">
                  <c:v>931942.64504768979</c:v>
                </c:pt>
                <c:pt idx="4" formatCode="_-* #,##0_-;\-* #,##0_-;_-* &quot;-&quot;??_-;_-@_-">
                  <c:v>225826.24642154807</c:v>
                </c:pt>
              </c:numCache>
            </c:numRef>
          </c:val>
          <c:extLst>
            <c:ext xmlns:c16="http://schemas.microsoft.com/office/drawing/2014/chart" uri="{C3380CC4-5D6E-409C-BE32-E72D297353CC}">
              <c16:uniqueId val="{00000000-EAF0-49AD-8EF1-371A12D7CF97}"/>
            </c:ext>
          </c:extLst>
        </c:ser>
        <c:ser>
          <c:idx val="1"/>
          <c:order val="1"/>
          <c:tx>
            <c:strRef>
              <c:f>GWP_impact!$Z$3</c:f>
              <c:strCache>
                <c:ptCount val="1"/>
                <c:pt idx="0">
                  <c:v>Scope 3 </c:v>
                </c:pt>
              </c:strCache>
            </c:strRef>
          </c:tx>
          <c:spPr>
            <a:solidFill>
              <a:schemeClr val="accent6"/>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GWP_impact!$Z$4:$Z$9</c:f>
              <c:numCache>
                <c:formatCode>_-* #,##0_-;\-* #,##0_-;_-* "-"??_-;_-@_-</c:formatCode>
                <c:ptCount val="6"/>
                <c:pt idx="0">
                  <c:v>134.87298839000869</c:v>
                </c:pt>
                <c:pt idx="2">
                  <c:v>12438.57711034175</c:v>
                </c:pt>
                <c:pt idx="3">
                  <c:v>629524.66676845797</c:v>
                </c:pt>
              </c:numCache>
            </c:numRef>
          </c:val>
          <c:extLst>
            <c:ext xmlns:c16="http://schemas.microsoft.com/office/drawing/2014/chart" uri="{C3380CC4-5D6E-409C-BE32-E72D297353CC}">
              <c16:uniqueId val="{00000001-EAF0-49AD-8EF1-371A12D7CF97}"/>
            </c:ext>
          </c:extLst>
        </c:ser>
        <c:ser>
          <c:idx val="2"/>
          <c:order val="2"/>
          <c:tx>
            <c:strRef>
              <c:f>GWP_impact!$AA$3</c:f>
              <c:strCache>
                <c:ptCount val="1"/>
                <c:pt idx="0">
                  <c:v>Scope 4</c:v>
                </c:pt>
              </c:strCache>
            </c:strRef>
          </c:tx>
          <c:spPr>
            <a:solidFill>
              <a:schemeClr val="accent6">
                <a:tint val="65000"/>
              </a:schemeClr>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GWP_impact!$AA$4:$AA$9</c:f>
              <c:numCache>
                <c:formatCode>General</c:formatCode>
                <c:ptCount val="6"/>
                <c:pt idx="0" formatCode="0%">
                  <c:v>3.6222230429100305E-2</c:v>
                </c:pt>
                <c:pt idx="5" formatCode="_-* #,##0_-;\-* #,##0_-;_-* &quot;-&quot;??_-;_-@_-">
                  <c:v>-6827474.550854017</c:v>
                </c:pt>
              </c:numCache>
            </c:numRef>
          </c:val>
          <c:extLst>
            <c:ext xmlns:c16="http://schemas.microsoft.com/office/drawing/2014/chart" uri="{C3380CC4-5D6E-409C-BE32-E72D297353CC}">
              <c16:uniqueId val="{00000003-EAF0-49AD-8EF1-371A12D7CF97}"/>
            </c:ext>
          </c:extLst>
        </c:ser>
        <c:dLbls>
          <c:showLegendKey val="0"/>
          <c:showVal val="0"/>
          <c:showCatName val="0"/>
          <c:showSerName val="0"/>
          <c:showPercent val="0"/>
          <c:showBubbleSize val="0"/>
        </c:dLbls>
        <c:gapWidth val="150"/>
        <c:overlap val="100"/>
        <c:axId val="643028184"/>
        <c:axId val="643033760"/>
      </c:barChart>
      <c:catAx>
        <c:axId val="64302818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33760"/>
        <c:crosses val="autoZero"/>
        <c:auto val="1"/>
        <c:lblAlgn val="ctr"/>
        <c:lblOffset val="100"/>
        <c:noMultiLvlLbl val="0"/>
      </c:catAx>
      <c:valAx>
        <c:axId val="6430337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8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en-GB"/>
              <a:t>UK forestry and wood processing sector GWP impact - Scope 1,2 &amp; 3 Emissions</a:t>
            </a:r>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n-US"/>
        </a:p>
      </c:txPr>
    </c:title>
    <c:autoTitleDeleted val="0"/>
    <c:plotArea>
      <c:layout/>
      <c:pieChart>
        <c:varyColors val="1"/>
        <c:ser>
          <c:idx val="0"/>
          <c:order val="0"/>
          <c:dPt>
            <c:idx val="0"/>
            <c:bubble3D val="0"/>
            <c:spPr>
              <a:gradFill rotWithShape="1">
                <a:gsLst>
                  <a:gs pos="0">
                    <a:schemeClr val="accent6">
                      <a:tint val="54000"/>
                      <a:lumMod val="110000"/>
                      <a:satMod val="105000"/>
                      <a:tint val="67000"/>
                    </a:schemeClr>
                  </a:gs>
                  <a:gs pos="50000">
                    <a:schemeClr val="accent6">
                      <a:tint val="54000"/>
                      <a:lumMod val="105000"/>
                      <a:satMod val="103000"/>
                      <a:tint val="73000"/>
                    </a:schemeClr>
                  </a:gs>
                  <a:gs pos="100000">
                    <a:schemeClr val="accent6">
                      <a:tint val="54000"/>
                      <a:lumMod val="105000"/>
                      <a:satMod val="109000"/>
                      <a:tint val="81000"/>
                    </a:schemeClr>
                  </a:gs>
                </a:gsLst>
                <a:lin ang="5400000" scaled="0"/>
              </a:gradFill>
              <a:ln w="9525" cap="flat" cmpd="sng" algn="ctr">
                <a:solidFill>
                  <a:schemeClr val="accent6">
                    <a:tint val="54000"/>
                    <a:shade val="95000"/>
                  </a:schemeClr>
                </a:solidFill>
                <a:round/>
              </a:ln>
              <a:effectLst/>
            </c:spPr>
            <c:extLst>
              <c:ext xmlns:c16="http://schemas.microsoft.com/office/drawing/2014/chart" uri="{C3380CC4-5D6E-409C-BE32-E72D297353CC}">
                <c16:uniqueId val="{00000001-C425-4916-BAA4-3DB93D210B7B}"/>
              </c:ext>
            </c:extLst>
          </c:dPt>
          <c:dPt>
            <c:idx val="1"/>
            <c:bubble3D val="0"/>
            <c:spPr>
              <a:gradFill rotWithShape="1">
                <a:gsLst>
                  <a:gs pos="0">
                    <a:schemeClr val="accent6">
                      <a:tint val="77000"/>
                      <a:lumMod val="110000"/>
                      <a:satMod val="105000"/>
                      <a:tint val="67000"/>
                    </a:schemeClr>
                  </a:gs>
                  <a:gs pos="50000">
                    <a:schemeClr val="accent6">
                      <a:tint val="77000"/>
                      <a:lumMod val="105000"/>
                      <a:satMod val="103000"/>
                      <a:tint val="73000"/>
                    </a:schemeClr>
                  </a:gs>
                  <a:gs pos="100000">
                    <a:schemeClr val="accent6">
                      <a:tint val="77000"/>
                      <a:lumMod val="105000"/>
                      <a:satMod val="109000"/>
                      <a:tint val="81000"/>
                    </a:schemeClr>
                  </a:gs>
                </a:gsLst>
                <a:lin ang="5400000" scaled="0"/>
              </a:gradFill>
              <a:ln w="9525" cap="flat" cmpd="sng" algn="ctr">
                <a:solidFill>
                  <a:schemeClr val="accent6">
                    <a:tint val="77000"/>
                    <a:shade val="95000"/>
                  </a:schemeClr>
                </a:solidFill>
                <a:round/>
              </a:ln>
              <a:effectLst/>
            </c:spPr>
            <c:extLst>
              <c:ext xmlns:c16="http://schemas.microsoft.com/office/drawing/2014/chart" uri="{C3380CC4-5D6E-409C-BE32-E72D297353CC}">
                <c16:uniqueId val="{00000003-C425-4916-BAA4-3DB93D210B7B}"/>
              </c:ext>
            </c:extLst>
          </c:dPt>
          <c:dPt>
            <c:idx val="2"/>
            <c:bubble3D val="0"/>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w="9525" cap="flat" cmpd="sng" algn="ctr">
                <a:solidFill>
                  <a:schemeClr val="accent6">
                    <a:shade val="95000"/>
                  </a:schemeClr>
                </a:solidFill>
                <a:round/>
              </a:ln>
              <a:effectLst/>
            </c:spPr>
            <c:extLst>
              <c:ext xmlns:c16="http://schemas.microsoft.com/office/drawing/2014/chart" uri="{C3380CC4-5D6E-409C-BE32-E72D297353CC}">
                <c16:uniqueId val="{00000005-C425-4916-BAA4-3DB93D210B7B}"/>
              </c:ext>
            </c:extLst>
          </c:dPt>
          <c:dPt>
            <c:idx val="3"/>
            <c:bubble3D val="0"/>
            <c:spPr>
              <a:gradFill rotWithShape="1">
                <a:gsLst>
                  <a:gs pos="0">
                    <a:schemeClr val="accent6">
                      <a:shade val="76000"/>
                      <a:lumMod val="110000"/>
                      <a:satMod val="105000"/>
                      <a:tint val="67000"/>
                    </a:schemeClr>
                  </a:gs>
                  <a:gs pos="50000">
                    <a:schemeClr val="accent6">
                      <a:shade val="76000"/>
                      <a:lumMod val="105000"/>
                      <a:satMod val="103000"/>
                      <a:tint val="73000"/>
                    </a:schemeClr>
                  </a:gs>
                  <a:gs pos="100000">
                    <a:schemeClr val="accent6">
                      <a:shade val="76000"/>
                      <a:lumMod val="105000"/>
                      <a:satMod val="109000"/>
                      <a:tint val="81000"/>
                    </a:schemeClr>
                  </a:gs>
                </a:gsLst>
                <a:lin ang="5400000" scaled="0"/>
              </a:gradFill>
              <a:ln w="9525" cap="flat" cmpd="sng" algn="ctr">
                <a:solidFill>
                  <a:schemeClr val="accent6">
                    <a:shade val="76000"/>
                    <a:shade val="95000"/>
                  </a:schemeClr>
                </a:solidFill>
                <a:round/>
              </a:ln>
              <a:effectLst/>
            </c:spPr>
            <c:extLst>
              <c:ext xmlns:c16="http://schemas.microsoft.com/office/drawing/2014/chart" uri="{C3380CC4-5D6E-409C-BE32-E72D297353CC}">
                <c16:uniqueId val="{00000007-C425-4916-BAA4-3DB93D210B7B}"/>
              </c:ext>
            </c:extLst>
          </c:dPt>
          <c:dPt>
            <c:idx val="4"/>
            <c:bubble3D val="0"/>
            <c:spPr>
              <a:gradFill rotWithShape="1">
                <a:gsLst>
                  <a:gs pos="0">
                    <a:schemeClr val="accent6">
                      <a:shade val="53000"/>
                      <a:lumMod val="110000"/>
                      <a:satMod val="105000"/>
                      <a:tint val="67000"/>
                    </a:schemeClr>
                  </a:gs>
                  <a:gs pos="50000">
                    <a:schemeClr val="accent6">
                      <a:shade val="53000"/>
                      <a:lumMod val="105000"/>
                      <a:satMod val="103000"/>
                      <a:tint val="73000"/>
                    </a:schemeClr>
                  </a:gs>
                  <a:gs pos="100000">
                    <a:schemeClr val="accent6">
                      <a:shade val="53000"/>
                      <a:lumMod val="105000"/>
                      <a:satMod val="109000"/>
                      <a:tint val="81000"/>
                    </a:schemeClr>
                  </a:gs>
                </a:gsLst>
                <a:lin ang="5400000" scaled="0"/>
              </a:gradFill>
              <a:ln w="9525" cap="flat" cmpd="sng" algn="ctr">
                <a:solidFill>
                  <a:schemeClr val="accent6">
                    <a:shade val="53000"/>
                    <a:shade val="95000"/>
                  </a:schemeClr>
                </a:solidFill>
                <a:round/>
              </a:ln>
              <a:effectLst/>
            </c:spPr>
            <c:extLst>
              <c:ext xmlns:c16="http://schemas.microsoft.com/office/drawing/2014/chart" uri="{C3380CC4-5D6E-409C-BE32-E72D297353CC}">
                <c16:uniqueId val="{00000009-C425-4916-BAA4-3DB93D210B7B}"/>
              </c:ext>
            </c:extLst>
          </c:dPt>
          <c:dLbls>
            <c:dLbl>
              <c:idx val="0"/>
              <c:layout>
                <c:manualLayout>
                  <c:x val="-4.487027405127815E-2"/>
                  <c:y val="0.126251399472714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4334004863987218"/>
                      <c:h val="0.11459002973503314"/>
                    </c:manualLayout>
                  </c15:layout>
                </c:ext>
                <c:ext xmlns:c16="http://schemas.microsoft.com/office/drawing/2014/chart" uri="{C3380CC4-5D6E-409C-BE32-E72D297353CC}">
                  <c16:uniqueId val="{00000001-C425-4916-BAA4-3DB93D210B7B}"/>
                </c:ext>
              </c:extLst>
            </c:dLbl>
            <c:dLbl>
              <c:idx val="1"/>
              <c:layout>
                <c:manualLayout>
                  <c:x val="-5.9624244971543949E-2"/>
                  <c:y val="4.347093310219460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4618718593066135"/>
                      <c:h val="0.10949374199943018"/>
                    </c:manualLayout>
                  </c15:layout>
                </c:ext>
                <c:ext xmlns:c16="http://schemas.microsoft.com/office/drawing/2014/chart" uri="{C3380CC4-5D6E-409C-BE32-E72D297353CC}">
                  <c16:uniqueId val="{00000003-C425-4916-BAA4-3DB93D210B7B}"/>
                </c:ext>
              </c:extLst>
            </c:dLbl>
            <c:dLbl>
              <c:idx val="2"/>
              <c:layout>
                <c:manualLayout>
                  <c:x val="-0.18180196549727004"/>
                  <c:y val="9.4523898379219984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425-4916-BAA4-3DB93D210B7B}"/>
                </c:ext>
              </c:extLst>
            </c:dLbl>
            <c:dLbl>
              <c:idx val="3"/>
              <c:layout>
                <c:manualLayout>
                  <c:x val="0.23381104962805607"/>
                  <c:y val="-0.1798768865293478"/>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C425-4916-BAA4-3DB93D210B7B}"/>
                </c:ext>
              </c:extLst>
            </c:dLbl>
            <c:dLbl>
              <c:idx val="4"/>
              <c:layout>
                <c:manualLayout>
                  <c:x val="6.089080414814662E-2"/>
                  <c:y val="0.1310025842592927"/>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3940731223820668"/>
                      <c:h val="0.10184931039602568"/>
                    </c:manualLayout>
                  </c15:layout>
                </c:ext>
                <c:ext xmlns:c16="http://schemas.microsoft.com/office/drawing/2014/chart" uri="{C3380CC4-5D6E-409C-BE32-E72D297353CC}">
                  <c16:uniqueId val="{00000009-C425-4916-BAA4-3DB93D210B7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inEnd"/>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extLst>
          </c:dLbls>
          <c:cat>
            <c:strRef>
              <c:f>GWP_impact!$V$4:$V$8</c:f>
              <c:strCache>
                <c:ptCount val="5"/>
                <c:pt idx="0">
                  <c:v>Forestry Operations</c:v>
                </c:pt>
                <c:pt idx="1">
                  <c:v>Timber transport</c:v>
                </c:pt>
                <c:pt idx="2">
                  <c:v>Sawmills</c:v>
                </c:pt>
                <c:pt idx="3">
                  <c:v>Wood Panel Production</c:v>
                </c:pt>
                <c:pt idx="4">
                  <c:v>Wood Fuel Production</c:v>
                </c:pt>
              </c:strCache>
            </c:strRef>
          </c:cat>
          <c:val>
            <c:numRef>
              <c:f>GWP_impact!$X$4:$X$8</c:f>
              <c:numCache>
                <c:formatCode>_-* #,##0_-;\-* #,##0_-;_-* "-"??_-;_-@_-</c:formatCode>
                <c:ptCount val="5"/>
                <c:pt idx="0">
                  <c:v>87903.24874590087</c:v>
                </c:pt>
                <c:pt idx="1">
                  <c:v>165049.9380734413</c:v>
                </c:pt>
                <c:pt idx="2">
                  <c:v>547919.7986580896</c:v>
                </c:pt>
                <c:pt idx="3">
                  <c:v>1561467.3118161478</c:v>
                </c:pt>
                <c:pt idx="4">
                  <c:v>225826.24642154807</c:v>
                </c:pt>
              </c:numCache>
            </c:numRef>
          </c:val>
          <c:extLst xmlns:c15="http://schemas.microsoft.com/office/drawing/2012/chart">
            <c:ext xmlns:c16="http://schemas.microsoft.com/office/drawing/2014/chart" uri="{C3380CC4-5D6E-409C-BE32-E72D297353CC}">
              <c16:uniqueId val="{0000000C-C425-4916-BAA4-3DB93D210B7B}"/>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50000"/>
                  <a:lumOff val="50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9">
  <a:schemeClr val="accent6"/>
</cs:colorStyle>
</file>

<file path=xl/charts/colors2.xml><?xml version="1.0" encoding="utf-8"?>
<cs:colorStyle xmlns:cs="http://schemas.microsoft.com/office/drawing/2012/chartStyle" xmlns:a="http://schemas.openxmlformats.org/drawingml/2006/main" meth="withinLinear" id="19">
  <a:schemeClr val="accent6"/>
</cs:colorStyle>
</file>

<file path=xl/charts/colors3.xml><?xml version="1.0" encoding="utf-8"?>
<cs:colorStyle xmlns:cs="http://schemas.microsoft.com/office/drawing/2012/chartStyle" xmlns:a="http://schemas.openxmlformats.org/drawingml/2006/main" meth="withinLinearReversed" id="26">
  <a:schemeClr val="accent6"/>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4">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2</xdr:col>
      <xdr:colOff>47625</xdr:colOff>
      <xdr:row>10</xdr:row>
      <xdr:rowOff>152400</xdr:rowOff>
    </xdr:from>
    <xdr:to>
      <xdr:col>12</xdr:col>
      <xdr:colOff>377366</xdr:colOff>
      <xdr:row>38</xdr:row>
      <xdr:rowOff>91897</xdr:rowOff>
    </xdr:to>
    <xdr:pic>
      <xdr:nvPicPr>
        <xdr:cNvPr id="2" name="Picture 1"/>
        <xdr:cNvPicPr>
          <a:picLocks noChangeAspect="1"/>
        </xdr:cNvPicPr>
      </xdr:nvPicPr>
      <xdr:blipFill>
        <a:blip xmlns:r="http://schemas.openxmlformats.org/officeDocument/2006/relationships" r:embed="rId1"/>
        <a:stretch>
          <a:fillRect/>
        </a:stretch>
      </xdr:blipFill>
      <xdr:spPr>
        <a:xfrm>
          <a:off x="1406525" y="3568700"/>
          <a:ext cx="6425741" cy="50956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34</xdr:col>
      <xdr:colOff>321236</xdr:colOff>
      <xdr:row>2</xdr:row>
      <xdr:rowOff>88902</xdr:rowOff>
    </xdr:from>
    <xdr:to>
      <xdr:col>44</xdr:col>
      <xdr:colOff>451969</xdr:colOff>
      <xdr:row>17</xdr:row>
      <xdr:rowOff>183031</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34</xdr:col>
      <xdr:colOff>302558</xdr:colOff>
      <xdr:row>18</xdr:row>
      <xdr:rowOff>145677</xdr:rowOff>
    </xdr:from>
    <xdr:to>
      <xdr:col>44</xdr:col>
      <xdr:colOff>433291</xdr:colOff>
      <xdr:row>44</xdr:row>
      <xdr:rowOff>49306</xdr:rowOff>
    </xdr:to>
    <xdr:graphicFrame macro="">
      <xdr:nvGraphicFramePr>
        <xdr:cNvPr id="17" name="Chart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45</xdr:col>
      <xdr:colOff>156881</xdr:colOff>
      <xdr:row>2</xdr:row>
      <xdr:rowOff>112059</xdr:rowOff>
    </xdr:from>
    <xdr:to>
      <xdr:col>55</xdr:col>
      <xdr:colOff>305969</xdr:colOff>
      <xdr:row>21</xdr:row>
      <xdr:rowOff>143079</xdr:rowOff>
    </xdr:to>
    <xdr:graphicFrame macro="">
      <xdr:nvGraphicFramePr>
        <xdr:cNvPr id="20" name="Chart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39</xdr:col>
      <xdr:colOff>457199</xdr:colOff>
      <xdr:row>8</xdr:row>
      <xdr:rowOff>76200</xdr:rowOff>
    </xdr:from>
    <xdr:ext cx="346633" cy="264560"/>
    <xdr:sp macro="" textlink="">
      <xdr:nvSpPr>
        <xdr:cNvPr id="23" name="TextBox 22"/>
        <xdr:cNvSpPr txBox="1"/>
      </xdr:nvSpPr>
      <xdr:spPr>
        <a:xfrm>
          <a:off x="40305317" y="2743200"/>
          <a:ext cx="346633"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1100"/>
            <a:t>x%</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19049</xdr:colOff>
      <xdr:row>5</xdr:row>
      <xdr:rowOff>47626</xdr:rowOff>
    </xdr:from>
    <xdr:to>
      <xdr:col>2</xdr:col>
      <xdr:colOff>945002</xdr:colOff>
      <xdr:row>18</xdr:row>
      <xdr:rowOff>114300</xdr:rowOff>
    </xdr:to>
    <xdr:pic>
      <xdr:nvPicPr>
        <xdr:cNvPr id="2" name="Picture 1">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9" y="1027340"/>
          <a:ext cx="4667917" cy="33051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309</xdr:row>
      <xdr:rowOff>12700</xdr:rowOff>
    </xdr:from>
    <xdr:to>
      <xdr:col>3</xdr:col>
      <xdr:colOff>304800</xdr:colOff>
      <xdr:row>318</xdr:row>
      <xdr:rowOff>114644</xdr:rowOff>
    </xdr:to>
    <xdr:pic>
      <xdr:nvPicPr>
        <xdr:cNvPr id="3" name="Picture 2">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56089550"/>
          <a:ext cx="5283200" cy="17592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319</xdr:row>
      <xdr:rowOff>0</xdr:rowOff>
    </xdr:from>
    <xdr:to>
      <xdr:col>2</xdr:col>
      <xdr:colOff>837293</xdr:colOff>
      <xdr:row>328</xdr:row>
      <xdr:rowOff>2497</xdr:rowOff>
    </xdr:to>
    <xdr:pic>
      <xdr:nvPicPr>
        <xdr:cNvPr id="4" name="Picture 3">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57918350"/>
          <a:ext cx="4781550" cy="1657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647700</xdr:colOff>
      <xdr:row>309</xdr:row>
      <xdr:rowOff>127000</xdr:rowOff>
    </xdr:from>
    <xdr:to>
      <xdr:col>9</xdr:col>
      <xdr:colOff>127661</xdr:colOff>
      <xdr:row>320</xdr:row>
      <xdr:rowOff>114300</xdr:rowOff>
    </xdr:to>
    <xdr:pic>
      <xdr:nvPicPr>
        <xdr:cNvPr id="5" name="Picture 4">
          <a:extLst>
            <a:ext uri="{FF2B5EF4-FFF2-40B4-BE49-F238E27FC236}">
              <a16:creationId xmlns:a16="http://schemas.microsoft.com/office/drawing/2014/main" id="{00000000-0008-0000-08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096000" y="56203850"/>
          <a:ext cx="4993577" cy="2012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4">
    <wetp:webextensionref xmlns:r="http://schemas.openxmlformats.org/officeDocument/2006/relationships" r:id="rId1"/>
  </wetp:taskpane>
</wetp:taskpanes>
</file>

<file path=xl/webextensions/webextension1.xml><?xml version="1.0" encoding="utf-8"?>
<we:webextension xmlns:we="http://schemas.microsoft.com/office/webextensions/webextension/2010/11" id="{A3AA10B3-1C64-4F77-9267-FDB16147943C}">
  <we:reference id="wa104168603" version="1.0.0.6" store="en-US" storeType="OMEX"/>
  <we:alternateReferences>
    <we:reference id="WA104168603" version="1.0.0.6" store="WA104168603" storeType="OMEX"/>
  </we:alternateReferences>
  <we:properties>
    <we:property name="savedSettings" value="{&quot;state&quot;:{&quot;seed&quot;:87664,&quot;currentseed&quot;:null,&quot;powerbi&quot;:{&quot;datasetId&quot;:null,&quot;tableName&quot;:null,&quot;datasetName&quot;:null},&quot;powerBILoaded&quot;:false,&quot;VisualizationName&quot;:&quot;Power Bubbles&quot;,&quot;category&quot;:&quot;Category&quot;,&quot;aggregate&quot;:&quot;Sum&quot;,&quot;measure&quot;:&quot;Quantity&quot;,&quot;minDate&quot;:&quot;Date(1645660800000)&quot;,&quot;maxDate&quot;:&quot;Date(1646265600000)&quot;},&quot;date&quot;:&quot;Thu, 10 Mar 2022 10:25:32 GMT&quot;,&quot;appVersion&quot;:&quot;1.140.6206.22452, 28-12-2016 12:28:24&quot;}"/>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4.bin"/><Relationship Id="rId1" Type="http://schemas.openxmlformats.org/officeDocument/2006/relationships/hyperlink" Target="https://extension.psu.edu/calculating-the-green-weight-of-wood-species" TargetMode="External"/><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8" Type="http://schemas.openxmlformats.org/officeDocument/2006/relationships/comments" Target="../comments7.xml"/><Relationship Id="rId3" Type="http://schemas.openxmlformats.org/officeDocument/2006/relationships/hyperlink" Target="https://assets.publishing.service.gov.uk/government/uploads/system/uploads/attachment_data/file/651222/cement-decarbonisation-action-plan.pdf" TargetMode="External"/><Relationship Id="rId7" Type="http://schemas.openxmlformats.org/officeDocument/2006/relationships/vmlDrawing" Target="../drawings/vmlDrawing7.vml"/><Relationship Id="rId2" Type="http://schemas.openxmlformats.org/officeDocument/2006/relationships/hyperlink" Target="https://europeanclimate.org/wp-content/uploads/2019/04/Industrial-Transformation-2050.pdf" TargetMode="External"/><Relationship Id="rId1" Type="http://schemas.openxmlformats.org/officeDocument/2006/relationships/hyperlink" Target="https://assets.publishing.service.gov.uk/government/uploads/system/uploads/attachment_data/file/651222/cement-decarbonisation-action-plan.pdf" TargetMode="External"/><Relationship Id="rId6" Type="http://schemas.openxmlformats.org/officeDocument/2006/relationships/printerSettings" Target="../printerSettings/printerSettings7.bin"/><Relationship Id="rId5" Type="http://schemas.openxmlformats.org/officeDocument/2006/relationships/hyperlink" Target="https://cement.mineralproducts.org/documents/MPA_Cement_GHG_Reduction_Strategy_Technical_Document.pdf" TargetMode="External"/><Relationship Id="rId4" Type="http://schemas.openxmlformats.org/officeDocument/2006/relationships/hyperlink" Target="https://europeanclimate.org/wp-content/uploads/2019/04/Industrial-Transformation-2050.pdf" TargetMode="External"/></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M14"/>
  <sheetViews>
    <sheetView workbookViewId="0">
      <selection activeCell="B59" sqref="A1:XFD1048576"/>
    </sheetView>
  </sheetViews>
  <sheetFormatPr defaultRowHeight="14.5"/>
  <cols>
    <col min="1" max="1" width="10.7265625" bestFit="1" customWidth="1"/>
  </cols>
  <sheetData>
    <row r="1" spans="1:13">
      <c r="A1" s="1" t="s">
        <v>1100</v>
      </c>
    </row>
    <row r="2" spans="1:13" ht="69" customHeight="1">
      <c r="A2" s="610" t="s">
        <v>1101</v>
      </c>
      <c r="B2" s="610"/>
      <c r="C2" s="610"/>
      <c r="D2" s="610"/>
      <c r="E2" s="610"/>
      <c r="F2" s="610"/>
      <c r="G2" s="610"/>
      <c r="H2" s="610"/>
      <c r="I2" s="610"/>
      <c r="J2" s="610"/>
      <c r="K2" s="610"/>
      <c r="L2" s="610"/>
      <c r="M2" s="610"/>
    </row>
    <row r="3" spans="1:13" ht="30.75" customHeight="1">
      <c r="A3" s="567" t="s">
        <v>1102</v>
      </c>
      <c r="B3" s="567"/>
      <c r="C3" s="567"/>
      <c r="D3" s="567"/>
      <c r="E3" s="567"/>
      <c r="F3" s="567"/>
      <c r="G3" s="567"/>
      <c r="H3" s="567"/>
      <c r="I3" s="567"/>
      <c r="J3" s="567"/>
      <c r="K3" s="567"/>
      <c r="L3" s="567"/>
      <c r="M3" s="567"/>
    </row>
    <row r="4" spans="1:13" ht="29.25" customHeight="1">
      <c r="A4" s="611" t="s">
        <v>1103</v>
      </c>
      <c r="B4" s="611"/>
      <c r="C4" s="611"/>
      <c r="D4" s="611"/>
      <c r="E4" s="611"/>
      <c r="F4" s="611"/>
      <c r="G4" s="611"/>
      <c r="H4" s="611"/>
      <c r="I4" s="611"/>
      <c r="J4" s="611"/>
      <c r="K4" s="611"/>
      <c r="L4" s="611"/>
      <c r="M4" s="611"/>
    </row>
    <row r="5" spans="1:13">
      <c r="A5" s="567" t="s">
        <v>1104</v>
      </c>
      <c r="B5" s="567"/>
      <c r="C5" s="567"/>
      <c r="D5" s="567"/>
      <c r="E5" s="567"/>
      <c r="F5" s="567"/>
      <c r="G5" s="567"/>
      <c r="H5" s="567"/>
      <c r="I5" s="567"/>
      <c r="J5" s="567"/>
      <c r="K5" s="567"/>
      <c r="L5" s="567"/>
      <c r="M5" s="567"/>
    </row>
    <row r="6" spans="1:13" ht="35.25" customHeight="1">
      <c r="A6" s="567" t="s">
        <v>1105</v>
      </c>
      <c r="B6" s="567"/>
      <c r="C6" s="567"/>
      <c r="D6" s="567"/>
      <c r="E6" s="567"/>
      <c r="F6" s="567"/>
      <c r="G6" s="567"/>
      <c r="H6" s="567"/>
      <c r="I6" s="567"/>
      <c r="J6" s="567"/>
      <c r="K6" s="567"/>
      <c r="L6" s="567"/>
      <c r="M6" s="567"/>
    </row>
    <row r="7" spans="1:13" ht="33" customHeight="1">
      <c r="A7" s="567" t="s">
        <v>1106</v>
      </c>
      <c r="B7" s="567"/>
      <c r="C7" s="567"/>
      <c r="D7" s="567"/>
      <c r="E7" s="567"/>
      <c r="F7" s="567"/>
      <c r="G7" s="567"/>
      <c r="H7" s="567"/>
      <c r="I7" s="567"/>
      <c r="J7" s="567"/>
      <c r="K7" s="567"/>
      <c r="L7" s="567"/>
      <c r="M7" s="567"/>
    </row>
    <row r="14" spans="1:13">
      <c r="A14" s="505"/>
    </row>
  </sheetData>
  <mergeCells count="6">
    <mergeCell ref="A2:M2"/>
    <mergeCell ref="A3:M3"/>
    <mergeCell ref="A4:M4"/>
    <mergeCell ref="A5:M5"/>
    <mergeCell ref="A6:M6"/>
    <mergeCell ref="A7:M7"/>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AV132"/>
  <sheetViews>
    <sheetView topLeftCell="A33" zoomScaleNormal="100" workbookViewId="0">
      <selection activeCell="A32" sqref="A1:XFD32"/>
    </sheetView>
  </sheetViews>
  <sheetFormatPr defaultRowHeight="14.5"/>
  <cols>
    <col min="1" max="1" width="35.54296875" customWidth="1"/>
    <col min="2" max="2" width="15" customWidth="1"/>
    <col min="3" max="3" width="21.81640625" customWidth="1"/>
    <col min="4" max="4" width="14.54296875" customWidth="1"/>
    <col min="5" max="5" width="16.26953125" customWidth="1"/>
    <col min="6" max="6" width="29.453125" customWidth="1"/>
    <col min="7" max="7" width="9.81640625" customWidth="1"/>
    <col min="8" max="8" width="11.453125" customWidth="1"/>
    <col min="9" max="9" width="16.54296875" customWidth="1"/>
    <col min="10" max="10" width="14" customWidth="1"/>
    <col min="11" max="11" width="18.81640625" customWidth="1"/>
    <col min="12" max="12" width="10.54296875" customWidth="1"/>
    <col min="13" max="13" width="14.26953125" customWidth="1"/>
    <col min="14" max="14" width="33.54296875" customWidth="1"/>
    <col min="15" max="15" width="16.453125" customWidth="1"/>
    <col min="16" max="16" width="28.453125" customWidth="1"/>
    <col min="17" max="17" width="11.54296875" customWidth="1"/>
    <col min="18" max="18" width="34.26953125" customWidth="1"/>
    <col min="19" max="19" width="21.54296875" bestFit="1" customWidth="1"/>
    <col min="20" max="20" width="9.81640625" customWidth="1"/>
    <col min="21" max="21" width="14" customWidth="1"/>
    <col min="22" max="22" width="11.81640625" customWidth="1"/>
    <col min="23" max="23" width="10.26953125" customWidth="1"/>
    <col min="24" max="24" width="17.54296875" customWidth="1"/>
    <col min="25" max="25" width="24.81640625" customWidth="1"/>
    <col min="26" max="26" width="14.26953125" customWidth="1"/>
    <col min="27" max="27" width="13.54296875" customWidth="1"/>
    <col min="28" max="28" width="11.81640625" customWidth="1"/>
    <col min="29" max="29" width="24.7265625" customWidth="1"/>
    <col min="30" max="30" width="37.26953125" customWidth="1"/>
    <col min="31" max="31" width="13.1796875" bestFit="1" customWidth="1"/>
    <col min="32" max="32" width="23.26953125" customWidth="1"/>
    <col min="35" max="35" width="12.81640625" customWidth="1"/>
    <col min="38" max="38" width="13.1796875" customWidth="1"/>
    <col min="39" max="39" width="12.26953125" customWidth="1"/>
    <col min="40" max="40" width="11.453125" customWidth="1"/>
    <col min="43" max="43" width="17.81640625" customWidth="1"/>
    <col min="44" max="44" width="12.1796875" customWidth="1"/>
    <col min="45" max="45" width="11.453125" customWidth="1"/>
    <col min="46" max="46" width="13.26953125" customWidth="1"/>
  </cols>
  <sheetData>
    <row r="1" spans="1:24" s="555" customFormat="1" ht="52.5" hidden="1" customHeight="1">
      <c r="A1" s="613" t="s">
        <v>1112</v>
      </c>
      <c r="B1" s="613"/>
      <c r="C1" s="613"/>
      <c r="D1" s="613"/>
      <c r="E1" s="613"/>
      <c r="F1" s="613"/>
      <c r="G1" s="613"/>
      <c r="H1" s="613"/>
      <c r="I1" s="613"/>
      <c r="J1" s="613"/>
      <c r="K1" s="613"/>
      <c r="M1" s="606" t="s">
        <v>213</v>
      </c>
    </row>
    <row r="2" spans="1:24" s="555" customFormat="1" ht="29.25" hidden="1" customHeight="1">
      <c r="A2" s="613" t="s">
        <v>93</v>
      </c>
      <c r="B2" s="613"/>
      <c r="C2" s="613"/>
      <c r="D2" s="613"/>
      <c r="E2" s="613"/>
      <c r="F2" s="613"/>
      <c r="G2" s="613"/>
      <c r="H2" s="613"/>
      <c r="I2" s="613"/>
      <c r="J2" s="613"/>
      <c r="K2" s="613"/>
      <c r="M2" s="614" t="s">
        <v>212</v>
      </c>
    </row>
    <row r="3" spans="1:24" s="555" customFormat="1" hidden="1">
      <c r="M3" s="615" t="s">
        <v>214</v>
      </c>
    </row>
    <row r="4" spans="1:24" s="555" customFormat="1" hidden="1">
      <c r="A4" s="616" t="s">
        <v>122</v>
      </c>
    </row>
    <row r="5" spans="1:24" s="555" customFormat="1" hidden="1"/>
    <row r="6" spans="1:24" s="555" customFormat="1" hidden="1">
      <c r="B6" s="617" t="s">
        <v>67</v>
      </c>
      <c r="C6" s="617" t="s">
        <v>819</v>
      </c>
      <c r="D6" s="617" t="s">
        <v>159</v>
      </c>
      <c r="E6" s="617" t="s">
        <v>100</v>
      </c>
    </row>
    <row r="7" spans="1:24" s="555" customFormat="1" hidden="1">
      <c r="A7" s="555" t="s">
        <v>87</v>
      </c>
      <c r="B7" s="618">
        <f>C_model!Z114</f>
        <v>0</v>
      </c>
      <c r="C7" s="618">
        <f>C_model!Y114</f>
        <v>0</v>
      </c>
      <c r="D7" s="618">
        <f>C7*1/$B$43</f>
        <v>0</v>
      </c>
      <c r="E7" s="618">
        <f>C_model!X114</f>
        <v>0</v>
      </c>
    </row>
    <row r="8" spans="1:24" s="555" customFormat="1" hidden="1">
      <c r="A8" s="555" t="s">
        <v>92</v>
      </c>
      <c r="B8" s="618">
        <f>C_model!Z115</f>
        <v>0</v>
      </c>
      <c r="C8" s="618">
        <f>C_model!Y115</f>
        <v>0</v>
      </c>
      <c r="D8" s="618">
        <f>C8*1/$B$43</f>
        <v>0</v>
      </c>
      <c r="E8" s="618">
        <f>C_model!X115</f>
        <v>0</v>
      </c>
    </row>
    <row r="9" spans="1:24" s="555" customFormat="1" ht="15" hidden="1" thickBot="1">
      <c r="T9" s="619">
        <f>1/B43</f>
        <v>2.7653337757867376</v>
      </c>
      <c r="U9" s="620" t="s">
        <v>182</v>
      </c>
    </row>
    <row r="10" spans="1:24" s="555" customFormat="1" ht="32.5" hidden="1" customHeight="1" thickBot="1">
      <c r="A10" s="621" t="s">
        <v>193</v>
      </c>
      <c r="B10" s="622"/>
      <c r="C10" s="622"/>
      <c r="D10" s="623"/>
      <c r="E10" s="623"/>
      <c r="F10" s="623"/>
      <c r="G10" s="624"/>
      <c r="H10" s="625"/>
      <c r="I10" s="626" t="s">
        <v>192</v>
      </c>
      <c r="J10" s="622"/>
      <c r="K10" s="622"/>
      <c r="L10" s="622"/>
      <c r="M10" s="627"/>
      <c r="P10" s="628" t="s">
        <v>206</v>
      </c>
      <c r="Q10" s="629"/>
      <c r="R10" s="630" t="s">
        <v>68</v>
      </c>
      <c r="S10" s="631"/>
      <c r="T10" s="630" t="s">
        <v>181</v>
      </c>
      <c r="U10" s="631"/>
    </row>
    <row r="11" spans="1:24" s="555" customFormat="1" hidden="1">
      <c r="A11" s="632"/>
      <c r="B11" s="633" t="s">
        <v>13</v>
      </c>
      <c r="C11" s="633" t="s">
        <v>200</v>
      </c>
      <c r="D11" s="633" t="s">
        <v>13</v>
      </c>
      <c r="E11" s="633"/>
      <c r="F11" s="633"/>
      <c r="G11" s="634"/>
      <c r="H11" s="617"/>
      <c r="I11" s="635"/>
      <c r="J11" s="636"/>
      <c r="K11" s="636"/>
      <c r="L11" s="636"/>
      <c r="M11" s="634" t="s">
        <v>13</v>
      </c>
      <c r="P11" s="637"/>
      <c r="Q11" s="638" t="s">
        <v>13</v>
      </c>
      <c r="R11" s="635" t="s">
        <v>61</v>
      </c>
      <c r="S11" s="634" t="s">
        <v>62</v>
      </c>
      <c r="T11" s="635" t="s">
        <v>61</v>
      </c>
      <c r="U11" s="634" t="s">
        <v>62</v>
      </c>
    </row>
    <row r="12" spans="1:24" s="555" customFormat="1" hidden="1">
      <c r="A12" s="632" t="s">
        <v>5</v>
      </c>
      <c r="B12" s="639">
        <f>100%*2/3</f>
        <v>0.66666666666666663</v>
      </c>
      <c r="C12" s="640" t="s">
        <v>19</v>
      </c>
      <c r="D12" s="641">
        <f>B12/2</f>
        <v>0.33333333333333331</v>
      </c>
      <c r="E12" s="642" t="s">
        <v>161</v>
      </c>
      <c r="F12" s="643">
        <v>0.75</v>
      </c>
      <c r="G12" s="644">
        <f>D12*F12</f>
        <v>0.25</v>
      </c>
      <c r="H12" s="645" t="s">
        <v>471</v>
      </c>
      <c r="I12" s="646" t="s">
        <v>161</v>
      </c>
      <c r="J12" s="636"/>
      <c r="K12" s="640"/>
      <c r="L12" s="636"/>
      <c r="M12" s="644">
        <f>G12/B55</f>
        <v>0.2232142857142857</v>
      </c>
      <c r="N12" s="647" t="s">
        <v>478</v>
      </c>
      <c r="O12" s="647"/>
      <c r="P12" s="635" t="s">
        <v>331</v>
      </c>
      <c r="Q12" s="644">
        <f>M12</f>
        <v>0.2232142857142857</v>
      </c>
      <c r="R12" s="648">
        <f>Q12*$B$7</f>
        <v>0</v>
      </c>
      <c r="S12" s="649">
        <f>Q12*$B$8</f>
        <v>0</v>
      </c>
      <c r="T12" s="650">
        <f t="shared" ref="T12:U13" si="0">$T$9*R12</f>
        <v>0</v>
      </c>
      <c r="U12" s="651">
        <f t="shared" si="0"/>
        <v>0</v>
      </c>
      <c r="V12" s="652"/>
      <c r="W12" s="652"/>
      <c r="X12" s="652"/>
    </row>
    <row r="13" spans="1:24" s="555" customFormat="1" hidden="1">
      <c r="A13" s="632"/>
      <c r="B13" s="653"/>
      <c r="C13" s="640"/>
      <c r="D13" s="640"/>
      <c r="E13" s="640" t="s">
        <v>162</v>
      </c>
      <c r="F13" s="643">
        <v>0.25</v>
      </c>
      <c r="G13" s="654">
        <f>D12*F13</f>
        <v>8.3333333333333329E-2</v>
      </c>
      <c r="H13" s="645" t="s">
        <v>471</v>
      </c>
      <c r="I13" s="646" t="s">
        <v>162</v>
      </c>
      <c r="J13" s="636"/>
      <c r="K13" s="640"/>
      <c r="L13" s="636"/>
      <c r="M13" s="644">
        <f>G13/B55</f>
        <v>7.440476190476189E-2</v>
      </c>
      <c r="N13" s="647" t="s">
        <v>196</v>
      </c>
      <c r="O13" s="647"/>
      <c r="P13" s="635" t="s">
        <v>16</v>
      </c>
      <c r="Q13" s="654">
        <f>M13</f>
        <v>7.440476190476189E-2</v>
      </c>
      <c r="R13" s="648">
        <f>Q13*$B$7</f>
        <v>0</v>
      </c>
      <c r="S13" s="649">
        <f>Q13*$B$8</f>
        <v>0</v>
      </c>
      <c r="T13" s="650">
        <f t="shared" si="0"/>
        <v>0</v>
      </c>
      <c r="U13" s="651">
        <f t="shared" si="0"/>
        <v>0</v>
      </c>
      <c r="V13" s="655"/>
      <c r="W13" s="655"/>
      <c r="X13" s="655"/>
    </row>
    <row r="14" spans="1:24" s="555" customFormat="1" hidden="1">
      <c r="A14" s="632"/>
      <c r="B14" s="653"/>
      <c r="C14" s="640" t="s">
        <v>18</v>
      </c>
      <c r="D14" s="656">
        <f>B12/2</f>
        <v>0.33333333333333331</v>
      </c>
      <c r="E14" s="642"/>
      <c r="F14" s="642"/>
      <c r="G14" s="657"/>
      <c r="H14" s="658" t="s">
        <v>793</v>
      </c>
      <c r="I14" s="659"/>
      <c r="J14" s="636"/>
      <c r="K14" s="640"/>
      <c r="L14" s="636"/>
      <c r="M14" s="644"/>
      <c r="N14" s="647"/>
      <c r="O14" s="647"/>
      <c r="P14" s="660" t="s">
        <v>790</v>
      </c>
      <c r="Q14" s="661">
        <v>0</v>
      </c>
      <c r="R14" s="648"/>
      <c r="S14" s="649"/>
      <c r="T14" s="648"/>
      <c r="U14" s="649"/>
      <c r="V14" s="655"/>
      <c r="W14" s="655"/>
      <c r="X14" s="655"/>
    </row>
    <row r="15" spans="1:24" s="555" customFormat="1" hidden="1">
      <c r="A15" s="632"/>
      <c r="B15" s="640"/>
      <c r="C15" s="640" t="s">
        <v>20</v>
      </c>
      <c r="D15" s="662">
        <v>0</v>
      </c>
      <c r="E15" s="662"/>
      <c r="F15" s="662"/>
      <c r="G15" s="663"/>
      <c r="H15" s="664"/>
      <c r="I15" s="646" t="s">
        <v>20</v>
      </c>
      <c r="J15" s="636"/>
      <c r="K15" s="640"/>
      <c r="L15" s="636"/>
      <c r="M15" s="663">
        <f>D15/B55</f>
        <v>0</v>
      </c>
      <c r="N15" s="647"/>
      <c r="O15" s="647"/>
      <c r="P15" s="660" t="s">
        <v>791</v>
      </c>
      <c r="Q15" s="644">
        <f>D14+M18</f>
        <v>0.36904761904761907</v>
      </c>
      <c r="R15" s="648">
        <f t="shared" ref="R15:R21" si="1">Q15*$B$7</f>
        <v>0</v>
      </c>
      <c r="S15" s="649">
        <f t="shared" ref="S15:S21" si="2">Q15*$B$8</f>
        <v>0</v>
      </c>
      <c r="T15" s="650">
        <f t="shared" ref="T15:U22" si="3">$T$9*R15</f>
        <v>0</v>
      </c>
      <c r="U15" s="651">
        <f t="shared" si="3"/>
        <v>0</v>
      </c>
    </row>
    <row r="16" spans="1:24" s="555" customFormat="1" hidden="1">
      <c r="A16" s="632" t="s">
        <v>6</v>
      </c>
      <c r="B16" s="665">
        <f>100%*1/3</f>
        <v>0.33333333333333331</v>
      </c>
      <c r="C16" s="640" t="s">
        <v>58</v>
      </c>
      <c r="D16" s="665">
        <f>B16</f>
        <v>0.33333333333333331</v>
      </c>
      <c r="E16" s="665"/>
      <c r="F16" s="665"/>
      <c r="G16" s="666"/>
      <c r="H16" s="667" t="s">
        <v>471</v>
      </c>
      <c r="I16" s="668" t="s">
        <v>58</v>
      </c>
      <c r="J16" s="636"/>
      <c r="K16" s="640"/>
      <c r="L16" s="636"/>
      <c r="M16" s="654">
        <f>D16/B55</f>
        <v>0.29761904761904756</v>
      </c>
      <c r="N16" s="647" t="s">
        <v>479</v>
      </c>
      <c r="O16" s="647"/>
      <c r="P16" s="660" t="s">
        <v>21</v>
      </c>
      <c r="Q16" s="661">
        <f>M15</f>
        <v>0</v>
      </c>
      <c r="R16" s="648">
        <f t="shared" si="1"/>
        <v>0</v>
      </c>
      <c r="S16" s="649">
        <f t="shared" si="2"/>
        <v>0</v>
      </c>
      <c r="T16" s="650">
        <f t="shared" si="3"/>
        <v>0</v>
      </c>
      <c r="U16" s="651">
        <f t="shared" si="3"/>
        <v>0</v>
      </c>
    </row>
    <row r="17" spans="1:21" s="555" customFormat="1" ht="15" hidden="1" thickBot="1">
      <c r="A17" s="669"/>
      <c r="B17" s="670"/>
      <c r="C17" s="671"/>
      <c r="D17" s="672"/>
      <c r="E17" s="672"/>
      <c r="F17" s="672"/>
      <c r="G17" s="673"/>
      <c r="H17" s="658"/>
      <c r="I17" s="659" t="s">
        <v>189</v>
      </c>
      <c r="J17" s="642">
        <f>(D12+D15+D16)-(M12+M13+M15+M16)</f>
        <v>7.1428571428571508E-2</v>
      </c>
      <c r="K17" s="636" t="s">
        <v>401</v>
      </c>
      <c r="L17" s="674">
        <v>0.5</v>
      </c>
      <c r="M17" s="654">
        <f>L17*J17</f>
        <v>3.5714285714285754E-2</v>
      </c>
      <c r="N17" s="555" t="s">
        <v>473</v>
      </c>
      <c r="P17" s="635" t="s">
        <v>22</v>
      </c>
      <c r="Q17" s="654">
        <f>M16</f>
        <v>0.29761904761904756</v>
      </c>
      <c r="R17" s="648">
        <f t="shared" si="1"/>
        <v>0</v>
      </c>
      <c r="S17" s="649">
        <f t="shared" si="2"/>
        <v>0</v>
      </c>
      <c r="T17" s="650">
        <f t="shared" si="3"/>
        <v>0</v>
      </c>
      <c r="U17" s="651">
        <f t="shared" si="3"/>
        <v>0</v>
      </c>
    </row>
    <row r="18" spans="1:21" s="555" customFormat="1" ht="15" hidden="1" thickBot="1">
      <c r="A18" s="647"/>
      <c r="B18" s="675"/>
      <c r="C18" s="676" t="s">
        <v>284</v>
      </c>
      <c r="D18" s="677">
        <f>1000*D14*C7</f>
        <v>0</v>
      </c>
      <c r="E18" s="640" t="s">
        <v>412</v>
      </c>
      <c r="F18" s="678"/>
      <c r="G18" s="678"/>
      <c r="H18" s="678"/>
      <c r="I18" s="679"/>
      <c r="J18" s="680"/>
      <c r="K18" s="680" t="s">
        <v>11</v>
      </c>
      <c r="L18" s="681">
        <v>0.5</v>
      </c>
      <c r="M18" s="682">
        <f>L18*J17</f>
        <v>3.5714285714285754E-2</v>
      </c>
      <c r="N18" s="555" t="s">
        <v>793</v>
      </c>
      <c r="P18" s="660" t="s">
        <v>24</v>
      </c>
      <c r="Q18" s="654">
        <f>0</f>
        <v>0</v>
      </c>
      <c r="R18" s="648">
        <f t="shared" si="1"/>
        <v>0</v>
      </c>
      <c r="S18" s="649">
        <f t="shared" si="2"/>
        <v>0</v>
      </c>
      <c r="T18" s="650">
        <f t="shared" si="3"/>
        <v>0</v>
      </c>
      <c r="U18" s="651">
        <f t="shared" si="3"/>
        <v>0</v>
      </c>
    </row>
    <row r="19" spans="1:21" s="555" customFormat="1" hidden="1">
      <c r="A19" s="647"/>
      <c r="B19" s="658"/>
      <c r="C19" s="676" t="s">
        <v>285</v>
      </c>
      <c r="D19" s="677">
        <f>1000*D14*C8</f>
        <v>0</v>
      </c>
      <c r="E19" s="640" t="s">
        <v>412</v>
      </c>
      <c r="F19" s="678"/>
      <c r="G19" s="678"/>
      <c r="H19" s="678"/>
      <c r="P19" s="660" t="s">
        <v>6</v>
      </c>
      <c r="Q19" s="654">
        <f>0</f>
        <v>0</v>
      </c>
      <c r="R19" s="648">
        <f t="shared" si="1"/>
        <v>0</v>
      </c>
      <c r="S19" s="649">
        <f t="shared" si="2"/>
        <v>0</v>
      </c>
      <c r="T19" s="650">
        <f t="shared" si="3"/>
        <v>0</v>
      </c>
      <c r="U19" s="651">
        <f t="shared" si="3"/>
        <v>0</v>
      </c>
    </row>
    <row r="20" spans="1:21" s="555" customFormat="1" hidden="1">
      <c r="A20" s="647"/>
      <c r="B20" s="658"/>
      <c r="C20" s="683"/>
      <c r="D20" s="647"/>
      <c r="E20" s="640"/>
      <c r="F20" s="678"/>
      <c r="G20" s="678"/>
      <c r="H20" s="678"/>
      <c r="I20" s="678" t="s">
        <v>210</v>
      </c>
      <c r="J20" s="677">
        <f>(M12+M15+M16+M13)*D7</f>
        <v>0</v>
      </c>
      <c r="K20" s="555" t="s">
        <v>159</v>
      </c>
      <c r="P20" s="660" t="s">
        <v>23</v>
      </c>
      <c r="Q20" s="654">
        <f>0</f>
        <v>0</v>
      </c>
      <c r="R20" s="648">
        <f t="shared" si="1"/>
        <v>0</v>
      </c>
      <c r="S20" s="649">
        <f t="shared" si="2"/>
        <v>0</v>
      </c>
      <c r="T20" s="650">
        <f t="shared" si="3"/>
        <v>0</v>
      </c>
      <c r="U20" s="651">
        <f t="shared" si="3"/>
        <v>0</v>
      </c>
    </row>
    <row r="21" spans="1:21" s="555" customFormat="1" hidden="1">
      <c r="A21" s="647"/>
      <c r="B21" s="658"/>
      <c r="C21" s="683"/>
      <c r="D21" s="647"/>
      <c r="E21" s="640"/>
      <c r="F21" s="658"/>
      <c r="G21" s="658"/>
      <c r="H21" s="658"/>
      <c r="I21" s="678" t="s">
        <v>211</v>
      </c>
      <c r="J21" s="677">
        <f>(M12+M15+M16+M13)*D8</f>
        <v>0</v>
      </c>
      <c r="K21" s="647" t="s">
        <v>159</v>
      </c>
      <c r="L21" s="647"/>
      <c r="M21" s="647"/>
      <c r="N21" s="647"/>
      <c r="O21" s="647"/>
      <c r="P21" s="660" t="s">
        <v>123</v>
      </c>
      <c r="Q21" s="654">
        <f>M17</f>
        <v>3.5714285714285754E-2</v>
      </c>
      <c r="R21" s="648">
        <f t="shared" si="1"/>
        <v>0</v>
      </c>
      <c r="S21" s="649">
        <f t="shared" si="2"/>
        <v>0</v>
      </c>
      <c r="T21" s="650">
        <f t="shared" si="3"/>
        <v>0</v>
      </c>
      <c r="U21" s="651">
        <f t="shared" si="3"/>
        <v>0</v>
      </c>
    </row>
    <row r="22" spans="1:21" s="555" customFormat="1" ht="15" hidden="1" thickBot="1">
      <c r="A22" s="647"/>
      <c r="B22" s="658"/>
      <c r="C22" s="683"/>
      <c r="F22" s="658"/>
      <c r="G22" s="658"/>
      <c r="H22" s="658"/>
      <c r="I22" s="678" t="s">
        <v>233</v>
      </c>
      <c r="J22" s="677">
        <f>M16*D7*B44</f>
        <v>0</v>
      </c>
      <c r="K22" s="647" t="s">
        <v>171</v>
      </c>
      <c r="L22" s="647"/>
      <c r="M22" s="647"/>
      <c r="N22" s="647"/>
      <c r="O22" s="647"/>
      <c r="P22" s="679"/>
      <c r="Q22" s="684">
        <f>SUM(Q12:Q21)</f>
        <v>1</v>
      </c>
      <c r="R22" s="685">
        <f>SUM(R12:R21)</f>
        <v>0</v>
      </c>
      <c r="S22" s="686">
        <f>SUM(S12:S21)</f>
        <v>0</v>
      </c>
      <c r="T22" s="687">
        <f t="shared" si="3"/>
        <v>0</v>
      </c>
      <c r="U22" s="688">
        <f t="shared" si="3"/>
        <v>0</v>
      </c>
    </row>
    <row r="23" spans="1:21" s="555" customFormat="1" hidden="1">
      <c r="A23" s="647"/>
      <c r="B23" s="675"/>
      <c r="C23" s="683"/>
      <c r="F23" s="658"/>
      <c r="G23" s="658"/>
      <c r="H23" s="658"/>
      <c r="I23" s="678" t="s">
        <v>234</v>
      </c>
      <c r="J23" s="677">
        <f>M16*D8*B44</f>
        <v>0</v>
      </c>
      <c r="K23" s="640" t="s">
        <v>171</v>
      </c>
      <c r="L23" s="689"/>
      <c r="M23" s="653"/>
      <c r="N23" s="690"/>
      <c r="O23" s="690"/>
    </row>
    <row r="24" spans="1:21" s="555" customFormat="1" hidden="1">
      <c r="A24" s="647"/>
      <c r="B24" s="675"/>
      <c r="F24" s="658"/>
      <c r="G24" s="658"/>
      <c r="H24" s="658"/>
      <c r="I24" s="678" t="s">
        <v>264</v>
      </c>
      <c r="J24" s="691">
        <f>M12*D7/B45</f>
        <v>0</v>
      </c>
      <c r="K24" s="647" t="s">
        <v>247</v>
      </c>
      <c r="L24" s="689"/>
      <c r="M24" s="653"/>
      <c r="N24" s="690"/>
      <c r="O24" s="690"/>
      <c r="P24" s="692" t="s">
        <v>402</v>
      </c>
      <c r="Q24" s="693">
        <f>Q21*E7</f>
        <v>0</v>
      </c>
      <c r="R24" s="555" t="s">
        <v>100</v>
      </c>
    </row>
    <row r="25" spans="1:21" s="555" customFormat="1" hidden="1">
      <c r="A25" s="647"/>
      <c r="B25" s="675"/>
      <c r="F25" s="658"/>
      <c r="G25" s="658"/>
      <c r="H25" s="658"/>
      <c r="I25" s="678" t="s">
        <v>266</v>
      </c>
      <c r="J25" s="694">
        <f>M12*D8/B45</f>
        <v>0</v>
      </c>
      <c r="K25" s="647" t="s">
        <v>247</v>
      </c>
      <c r="L25" s="689"/>
      <c r="M25" s="653"/>
      <c r="N25" s="690"/>
      <c r="O25" s="690"/>
      <c r="P25" s="692" t="s">
        <v>402</v>
      </c>
      <c r="Q25" s="693">
        <f>Q21*E8</f>
        <v>0</v>
      </c>
      <c r="R25" s="555" t="s">
        <v>100</v>
      </c>
    </row>
    <row r="26" spans="1:21" s="555" customFormat="1" hidden="1">
      <c r="A26" s="647"/>
      <c r="B26" s="675"/>
      <c r="D26" s="658"/>
      <c r="E26" s="658"/>
      <c r="F26" s="658"/>
      <c r="G26" s="658"/>
      <c r="H26" s="658"/>
      <c r="I26" s="678" t="s">
        <v>260</v>
      </c>
      <c r="J26" s="691">
        <f>M13*D7/B45</f>
        <v>0</v>
      </c>
      <c r="K26" s="647" t="s">
        <v>247</v>
      </c>
      <c r="L26" s="689"/>
      <c r="M26" s="653"/>
      <c r="N26" s="690"/>
      <c r="O26" s="690"/>
      <c r="P26" s="692" t="s">
        <v>798</v>
      </c>
      <c r="Q26" s="693">
        <f>1000*$Q$15*E7*44/12</f>
        <v>0</v>
      </c>
      <c r="R26" s="555" t="s">
        <v>134</v>
      </c>
    </row>
    <row r="27" spans="1:21" s="555" customFormat="1" hidden="1">
      <c r="A27" s="647"/>
      <c r="B27" s="675"/>
      <c r="D27" s="658"/>
      <c r="E27" s="658"/>
      <c r="F27" s="658"/>
      <c r="G27" s="658"/>
      <c r="H27" s="658"/>
      <c r="I27" s="678" t="s">
        <v>261</v>
      </c>
      <c r="J27" s="691">
        <f>M13*D8/B45</f>
        <v>0</v>
      </c>
      <c r="K27" s="647" t="s">
        <v>247</v>
      </c>
      <c r="L27" s="689"/>
      <c r="M27" s="653"/>
      <c r="N27" s="690"/>
      <c r="O27" s="690"/>
      <c r="P27" s="692" t="s">
        <v>799</v>
      </c>
      <c r="Q27" s="693">
        <f>1000*$Q$15*E8*44/12</f>
        <v>0</v>
      </c>
      <c r="R27" s="555" t="s">
        <v>134</v>
      </c>
    </row>
    <row r="28" spans="1:21" s="555" customFormat="1" hidden="1">
      <c r="A28" s="647"/>
      <c r="B28" s="675"/>
      <c r="C28" s="647"/>
      <c r="D28" s="658"/>
      <c r="E28" s="658"/>
      <c r="F28" s="658"/>
      <c r="G28" s="658"/>
      <c r="H28" s="658"/>
      <c r="I28" s="678" t="s">
        <v>262</v>
      </c>
      <c r="J28" s="677">
        <f>J24*B46</f>
        <v>0</v>
      </c>
      <c r="K28" s="640" t="s">
        <v>159</v>
      </c>
      <c r="L28" s="689"/>
      <c r="M28" s="653"/>
      <c r="N28" s="690"/>
      <c r="O28" s="690"/>
      <c r="P28" s="692" t="s">
        <v>798</v>
      </c>
      <c r="Q28" s="693">
        <f>1000*$Q$15*C7</f>
        <v>0</v>
      </c>
      <c r="R28" s="555" t="s">
        <v>412</v>
      </c>
    </row>
    <row r="29" spans="1:21" s="555" customFormat="1" hidden="1">
      <c r="A29" s="647"/>
      <c r="B29" s="675"/>
      <c r="C29" s="647"/>
      <c r="D29" s="658"/>
      <c r="E29" s="658"/>
      <c r="F29" s="658"/>
      <c r="G29" s="658"/>
      <c r="H29" s="658"/>
      <c r="I29" s="678" t="s">
        <v>263</v>
      </c>
      <c r="J29" s="677">
        <f>J25*B46</f>
        <v>0</v>
      </c>
      <c r="K29" s="640" t="s">
        <v>159</v>
      </c>
      <c r="L29" s="689"/>
      <c r="M29" s="653"/>
      <c r="N29" s="690"/>
      <c r="O29" s="690"/>
      <c r="P29" s="692" t="s">
        <v>799</v>
      </c>
      <c r="Q29" s="693">
        <f>1000*$Q$15*C8</f>
        <v>0</v>
      </c>
      <c r="R29" s="555" t="s">
        <v>412</v>
      </c>
    </row>
    <row r="30" spans="1:21" s="555" customFormat="1" hidden="1">
      <c r="A30" s="647"/>
      <c r="B30" s="675"/>
      <c r="C30" s="647"/>
      <c r="D30" s="658"/>
      <c r="E30" s="658"/>
      <c r="F30" s="658"/>
      <c r="I30" s="678" t="s">
        <v>267</v>
      </c>
      <c r="J30" s="677">
        <f>J26*B47</f>
        <v>0</v>
      </c>
      <c r="K30" s="640" t="s">
        <v>159</v>
      </c>
      <c r="L30" s="689"/>
      <c r="M30" s="653"/>
      <c r="N30" s="690"/>
      <c r="O30" s="690"/>
      <c r="P30" s="692" t="s">
        <v>820</v>
      </c>
      <c r="Q30" s="693">
        <f>Q28</f>
        <v>0</v>
      </c>
      <c r="R30" s="555" t="s">
        <v>412</v>
      </c>
    </row>
    <row r="31" spans="1:21" s="555" customFormat="1" hidden="1">
      <c r="A31" s="647"/>
      <c r="B31" s="675"/>
      <c r="C31" s="647"/>
      <c r="D31" s="658"/>
      <c r="E31" s="658"/>
      <c r="F31" s="658"/>
      <c r="I31" s="678" t="s">
        <v>265</v>
      </c>
      <c r="J31" s="677">
        <f>J27*B47</f>
        <v>0</v>
      </c>
      <c r="K31" s="640" t="s">
        <v>159</v>
      </c>
      <c r="L31" s="689"/>
      <c r="M31" s="653"/>
      <c r="N31" s="690"/>
      <c r="O31" s="690"/>
      <c r="P31" s="692" t="s">
        <v>821</v>
      </c>
      <c r="Q31" s="693">
        <f>Q29</f>
        <v>0</v>
      </c>
      <c r="R31" s="555" t="s">
        <v>412</v>
      </c>
    </row>
    <row r="32" spans="1:21" s="555" customFormat="1" hidden="1">
      <c r="A32" s="647"/>
      <c r="B32" s="675"/>
      <c r="C32" s="647"/>
      <c r="D32" s="658"/>
      <c r="E32" s="658"/>
      <c r="F32" s="658"/>
      <c r="I32" s="678"/>
      <c r="L32" s="689"/>
      <c r="M32" s="653"/>
      <c r="N32" s="690"/>
      <c r="O32" s="690"/>
      <c r="P32" s="692" t="s">
        <v>842</v>
      </c>
      <c r="Q32" s="693">
        <f>Q28*$B$51</f>
        <v>0</v>
      </c>
      <c r="R32" s="555" t="s">
        <v>393</v>
      </c>
    </row>
    <row r="33" spans="1:18" s="555" customFormat="1">
      <c r="A33" s="647"/>
      <c r="B33" s="675"/>
      <c r="C33" s="647"/>
      <c r="D33" s="658"/>
      <c r="E33" s="658"/>
      <c r="F33" s="658"/>
      <c r="I33" s="678"/>
      <c r="K33" s="640"/>
      <c r="L33" s="689"/>
      <c r="M33" s="653"/>
      <c r="N33" s="690"/>
      <c r="O33" s="690"/>
      <c r="P33" s="692" t="s">
        <v>843</v>
      </c>
      <c r="Q33" s="693">
        <f>Q29*$B$51</f>
        <v>0</v>
      </c>
      <c r="R33" s="555" t="s">
        <v>393</v>
      </c>
    </row>
    <row r="34" spans="1:18" s="555" customFormat="1">
      <c r="A34" s="647"/>
      <c r="B34" s="675"/>
      <c r="C34" s="647"/>
      <c r="D34" s="658"/>
      <c r="E34" s="658"/>
      <c r="F34" s="658"/>
      <c r="G34" s="658"/>
      <c r="H34" s="658"/>
      <c r="I34" s="678"/>
      <c r="J34" s="691"/>
      <c r="K34" s="640"/>
      <c r="L34" s="689"/>
      <c r="M34" s="653"/>
      <c r="N34" s="690"/>
      <c r="O34" s="690"/>
      <c r="P34" s="695"/>
      <c r="Q34" s="695"/>
    </row>
    <row r="35" spans="1:18">
      <c r="A35" s="5"/>
      <c r="B35" s="7"/>
      <c r="C35" s="5"/>
      <c r="D35" s="6"/>
      <c r="E35" s="6"/>
      <c r="F35" s="6"/>
      <c r="G35" s="6"/>
      <c r="H35" s="6"/>
      <c r="I35" s="139"/>
      <c r="J35" s="140"/>
      <c r="K35" s="6"/>
    </row>
    <row r="36" spans="1:18">
      <c r="A36" s="9" t="s">
        <v>86</v>
      </c>
      <c r="B36" s="7"/>
      <c r="C36" s="5"/>
      <c r="D36" s="6"/>
      <c r="E36" s="5"/>
      <c r="F36" s="6"/>
    </row>
    <row r="37" spans="1:18">
      <c r="A37" s="9"/>
      <c r="B37" s="7"/>
      <c r="C37" s="5"/>
      <c r="D37" s="6"/>
      <c r="E37" s="5"/>
      <c r="F37" s="6"/>
    </row>
    <row r="38" spans="1:18">
      <c r="B38" s="1" t="s">
        <v>67</v>
      </c>
      <c r="C38" s="1" t="s">
        <v>819</v>
      </c>
      <c r="D38" s="1" t="s">
        <v>159</v>
      </c>
      <c r="E38" s="1" t="s">
        <v>100</v>
      </c>
    </row>
    <row r="39" spans="1:18">
      <c r="A39" t="s">
        <v>88</v>
      </c>
      <c r="B39" s="39">
        <f>C_model!T114</f>
        <v>597.31682863663661</v>
      </c>
      <c r="C39" s="76">
        <f>C_model!S114</f>
        <v>311.10251491491493</v>
      </c>
      <c r="D39" s="39">
        <f>C39*1/$B$43</f>
        <v>860.30229222641151</v>
      </c>
      <c r="E39" s="76">
        <f>C_model!R114</f>
        <v>155.39570620000001</v>
      </c>
    </row>
    <row r="40" spans="1:18">
      <c r="A40" t="s">
        <v>89</v>
      </c>
      <c r="B40" s="39">
        <f>C_model!T115</f>
        <v>610.37385033033024</v>
      </c>
      <c r="C40" s="76">
        <f>C_model!S115</f>
        <v>317.90304704704704</v>
      </c>
      <c r="D40" s="39">
        <f>C40*1/$B$43</f>
        <v>879.10803342471945</v>
      </c>
      <c r="E40" s="76">
        <f>C_model!R115</f>
        <v>158.79257200000001</v>
      </c>
    </row>
    <row r="41" spans="1:18">
      <c r="A41" t="s">
        <v>90</v>
      </c>
      <c r="B41" s="39">
        <f>C_model!Z116</f>
        <v>9548005.7085115891</v>
      </c>
      <c r="C41" s="76">
        <f>C_model!Y116</f>
        <v>4972919.6398497857</v>
      </c>
      <c r="D41" s="39">
        <f>C41*1/$B$43</f>
        <v>13751782.64434983</v>
      </c>
      <c r="E41" s="76">
        <f>C_model!X116</f>
        <v>2483973.3601049678</v>
      </c>
    </row>
    <row r="42" spans="1:18">
      <c r="A42" t="s">
        <v>91</v>
      </c>
      <c r="B42" s="39">
        <f>C_model!Z117</f>
        <v>0</v>
      </c>
      <c r="C42" s="76">
        <f>C_model!Y117</f>
        <v>0</v>
      </c>
      <c r="D42" s="39">
        <f>C42*1/$B$43</f>
        <v>0</v>
      </c>
      <c r="E42" s="76">
        <f>C_model!X117</f>
        <v>0</v>
      </c>
    </row>
    <row r="43" spans="1:18">
      <c r="A43" t="s">
        <v>769</v>
      </c>
      <c r="B43" s="74">
        <v>0.36162</v>
      </c>
      <c r="C43" t="s">
        <v>768</v>
      </c>
      <c r="D43" s="5"/>
    </row>
    <row r="44" spans="1:18" ht="29">
      <c r="A44" s="41" t="s">
        <v>397</v>
      </c>
      <c r="B44" s="148">
        <v>449</v>
      </c>
      <c r="C44" s="8" t="s">
        <v>228</v>
      </c>
      <c r="D44" s="70"/>
    </row>
    <row r="45" spans="1:18" ht="29">
      <c r="A45" s="41" t="s">
        <v>246</v>
      </c>
      <c r="B45" s="74">
        <v>2.5</v>
      </c>
      <c r="C45" t="s">
        <v>248</v>
      </c>
      <c r="N45" s="72"/>
      <c r="O45" s="72"/>
      <c r="P45" s="72"/>
      <c r="Q45" s="72"/>
      <c r="R45" s="72"/>
    </row>
    <row r="46" spans="1:18">
      <c r="A46" s="41" t="s">
        <v>253</v>
      </c>
      <c r="B46" s="74">
        <v>1.54</v>
      </c>
      <c r="C46" t="s">
        <v>254</v>
      </c>
      <c r="F46">
        <f>282.65/B46</f>
        <v>183.53896103896102</v>
      </c>
      <c r="M46" s="246"/>
      <c r="N46" s="72"/>
      <c r="O46" s="72"/>
      <c r="P46" s="72"/>
      <c r="Q46" s="72"/>
      <c r="R46" s="72"/>
    </row>
    <row r="47" spans="1:18">
      <c r="A47" s="41" t="s">
        <v>255</v>
      </c>
      <c r="B47" s="74">
        <v>1.667</v>
      </c>
      <c r="C47" t="s">
        <v>254</v>
      </c>
      <c r="M47" s="246"/>
      <c r="N47" s="72"/>
      <c r="O47" s="72"/>
      <c r="P47" s="72"/>
      <c r="Q47" s="72"/>
      <c r="R47" s="72"/>
    </row>
    <row r="48" spans="1:18" ht="29">
      <c r="A48" s="41" t="s">
        <v>269</v>
      </c>
      <c r="B48" s="74">
        <v>2.8</v>
      </c>
      <c r="C48" t="s">
        <v>271</v>
      </c>
      <c r="M48" s="246"/>
      <c r="N48" s="72"/>
      <c r="O48" s="72"/>
      <c r="P48" s="72"/>
      <c r="Q48" s="72"/>
      <c r="R48" s="72"/>
    </row>
    <row r="49" spans="1:48" ht="29">
      <c r="A49" s="41" t="s">
        <v>270</v>
      </c>
      <c r="B49" s="74">
        <v>2.5</v>
      </c>
      <c r="C49" t="s">
        <v>272</v>
      </c>
      <c r="M49" s="246"/>
      <c r="N49" s="72"/>
      <c r="O49" s="72"/>
      <c r="P49" s="72"/>
      <c r="Q49" s="72"/>
      <c r="R49" s="72"/>
    </row>
    <row r="50" spans="1:48" ht="43.5">
      <c r="A50" s="41" t="s">
        <v>395</v>
      </c>
      <c r="B50" s="74">
        <v>0.84147763047230395</v>
      </c>
      <c r="C50" t="s">
        <v>394</v>
      </c>
      <c r="H50" s="42"/>
      <c r="N50" s="72"/>
      <c r="O50" s="72"/>
      <c r="P50" s="72"/>
      <c r="Q50" s="72"/>
      <c r="R50" s="72"/>
    </row>
    <row r="51" spans="1:48" ht="43.5">
      <c r="A51" s="41" t="s">
        <v>816</v>
      </c>
      <c r="B51" s="74">
        <f>fossilfuel_substitution!C23</f>
        <v>7.3340000000000005</v>
      </c>
      <c r="C51" t="s">
        <v>608</v>
      </c>
      <c r="H51" s="42"/>
      <c r="N51" s="72"/>
      <c r="O51" s="72"/>
      <c r="P51" s="72"/>
      <c r="Q51" s="72"/>
      <c r="R51" s="72"/>
    </row>
    <row r="52" spans="1:48" ht="43.5">
      <c r="A52" s="41" t="s">
        <v>494</v>
      </c>
      <c r="B52" s="74">
        <v>6.9808027923211197E-2</v>
      </c>
      <c r="C52" t="s">
        <v>495</v>
      </c>
      <c r="D52">
        <f>1/B52</f>
        <v>14.324999999999994</v>
      </c>
      <c r="H52" s="42"/>
      <c r="N52" s="72"/>
      <c r="O52" s="72"/>
      <c r="P52" s="72"/>
      <c r="Q52" s="72"/>
      <c r="R52" s="72"/>
    </row>
    <row r="53" spans="1:48" ht="29">
      <c r="A53" s="41" t="s">
        <v>504</v>
      </c>
      <c r="B53" s="74">
        <v>1.39</v>
      </c>
      <c r="C53" t="s">
        <v>426</v>
      </c>
      <c r="D53" s="74">
        <f>B53*0.2778</f>
        <v>0.38614199999999999</v>
      </c>
      <c r="E53" t="s">
        <v>506</v>
      </c>
      <c r="H53" s="42"/>
      <c r="N53" s="72"/>
      <c r="O53" s="72"/>
      <c r="P53" s="72"/>
      <c r="Q53" s="72"/>
      <c r="R53" s="72"/>
    </row>
    <row r="54" spans="1:48" ht="29">
      <c r="A54" s="41" t="s">
        <v>508</v>
      </c>
      <c r="B54" s="74">
        <v>2.85</v>
      </c>
      <c r="C54" t="s">
        <v>426</v>
      </c>
      <c r="D54" s="5"/>
      <c r="H54" s="42"/>
      <c r="N54" s="72"/>
      <c r="O54" s="72"/>
      <c r="P54" s="72"/>
      <c r="Q54" s="72"/>
      <c r="R54" s="72"/>
    </row>
    <row r="55" spans="1:48">
      <c r="A55" t="s">
        <v>396</v>
      </c>
      <c r="B55" s="143">
        <v>1.1200000000000001</v>
      </c>
      <c r="M55" s="246"/>
      <c r="N55" s="246"/>
      <c r="O55" s="246"/>
      <c r="P55" s="246"/>
      <c r="Q55" s="246"/>
      <c r="R55" s="72"/>
      <c r="S55" s="72"/>
      <c r="T55" s="72"/>
      <c r="U55" s="72"/>
      <c r="V55" s="72"/>
      <c r="AK55">
        <f>(AK60+AL60+AK61+AL61+AK68+AL68)/(D39+D40)</f>
        <v>0</v>
      </c>
      <c r="AM55">
        <f>(AI60+AJ60+AI61+AJ61+AI68+AJ68+R12+S12+R13+S13)/(B7+B8+B41+B42)</f>
        <v>0.27812723214285717</v>
      </c>
    </row>
    <row r="56" spans="1:48">
      <c r="A56" s="41" t="s">
        <v>108</v>
      </c>
      <c r="B56" s="254">
        <f>C_model!R110</f>
        <v>0.92</v>
      </c>
      <c r="J56" s="28"/>
      <c r="M56" s="246"/>
      <c r="N56" s="246"/>
      <c r="O56" s="246"/>
      <c r="P56" s="246"/>
      <c r="Q56" s="246"/>
      <c r="R56" s="72"/>
      <c r="S56" s="72"/>
      <c r="T56" s="72"/>
      <c r="U56" s="72"/>
      <c r="V56" s="72"/>
      <c r="AR56" s="562"/>
      <c r="AS56" s="562"/>
      <c r="AT56" s="572"/>
    </row>
    <row r="57" spans="1:48" ht="29.5" thickBot="1">
      <c r="A57" s="41" t="s">
        <v>737</v>
      </c>
      <c r="B57" s="380">
        <v>2.6990553306342799E-2</v>
      </c>
      <c r="C57" t="s">
        <v>159</v>
      </c>
      <c r="J57" s="28"/>
      <c r="M57" s="246"/>
      <c r="N57" s="246"/>
      <c r="O57" s="246"/>
      <c r="P57" s="246"/>
      <c r="Q57" s="246"/>
      <c r="R57" s="72"/>
      <c r="S57" s="72"/>
      <c r="T57" s="72"/>
      <c r="U57" s="72"/>
      <c r="V57" s="72"/>
      <c r="AF57">
        <v>3</v>
      </c>
      <c r="AR57" s="376"/>
      <c r="AS57" s="376"/>
      <c r="AT57" s="572"/>
    </row>
    <row r="58" spans="1:48" s="41" customFormat="1" ht="29.5" thickBot="1">
      <c r="A58" s="53"/>
      <c r="B58" s="54" t="s">
        <v>470</v>
      </c>
      <c r="C58" s="77"/>
      <c r="D58" s="77"/>
      <c r="E58" s="77"/>
      <c r="F58" s="77"/>
      <c r="G58" s="77"/>
      <c r="H58" s="78"/>
      <c r="I58" s="79"/>
      <c r="J58" s="275"/>
      <c r="K58" s="247"/>
      <c r="L58" s="54" t="s">
        <v>192</v>
      </c>
      <c r="M58" s="54"/>
      <c r="N58" s="54"/>
      <c r="O58" s="54"/>
      <c r="P58" s="54"/>
      <c r="Q58" s="93"/>
      <c r="R58" s="80"/>
      <c r="S58" s="434" t="s">
        <v>474</v>
      </c>
      <c r="T58" s="435"/>
      <c r="U58" s="435"/>
      <c r="V58" s="435"/>
      <c r="W58" s="77"/>
      <c r="X58" s="77"/>
      <c r="Y58" s="77"/>
      <c r="Z58" s="77"/>
      <c r="AA58" s="77"/>
      <c r="AB58" s="102"/>
      <c r="AC58" s="81"/>
      <c r="AD58" s="436" t="s">
        <v>206</v>
      </c>
      <c r="AE58" s="446"/>
      <c r="AF58" s="447"/>
      <c r="AG58" s="577" t="s">
        <v>66</v>
      </c>
      <c r="AH58" s="577"/>
      <c r="AI58" s="577" t="s">
        <v>65</v>
      </c>
      <c r="AJ58" s="577"/>
      <c r="AK58" s="568" t="s">
        <v>183</v>
      </c>
      <c r="AL58" s="577"/>
      <c r="AM58" s="577" t="s">
        <v>184</v>
      </c>
      <c r="AN58" s="569"/>
      <c r="AT58" s="572"/>
    </row>
    <row r="59" spans="1:48" s="41" customFormat="1" ht="58">
      <c r="A59" s="94" t="s">
        <v>199</v>
      </c>
      <c r="B59" s="80" t="s">
        <v>8</v>
      </c>
      <c r="C59" s="80" t="s">
        <v>13</v>
      </c>
      <c r="D59" s="81"/>
      <c r="E59" s="55"/>
      <c r="F59" s="55" t="s">
        <v>201</v>
      </c>
      <c r="G59" s="55"/>
      <c r="H59" s="80" t="s">
        <v>8</v>
      </c>
      <c r="I59" s="82" t="s">
        <v>13</v>
      </c>
      <c r="J59" s="80"/>
      <c r="K59" s="94" t="s">
        <v>202</v>
      </c>
      <c r="L59" s="80" t="s">
        <v>8</v>
      </c>
      <c r="M59" s="80" t="s">
        <v>13</v>
      </c>
      <c r="N59" s="80"/>
      <c r="O59" s="80"/>
      <c r="P59" s="80" t="s">
        <v>8</v>
      </c>
      <c r="Q59" s="82" t="s">
        <v>13</v>
      </c>
      <c r="R59" s="80"/>
      <c r="S59" s="94"/>
      <c r="T59" s="80"/>
      <c r="U59" s="80" t="s">
        <v>8</v>
      </c>
      <c r="V59" s="80" t="s">
        <v>13</v>
      </c>
      <c r="W59" s="55"/>
      <c r="X59" s="55"/>
      <c r="Y59" s="55" t="s">
        <v>203</v>
      </c>
      <c r="Z59" s="55"/>
      <c r="AA59" s="80" t="s">
        <v>8</v>
      </c>
      <c r="AB59" s="82" t="s">
        <v>13</v>
      </c>
      <c r="AC59" s="80"/>
      <c r="AD59" s="445"/>
      <c r="AE59" s="80" t="s">
        <v>8</v>
      </c>
      <c r="AF59" s="80" t="s">
        <v>13</v>
      </c>
      <c r="AG59" s="502" t="s">
        <v>63</v>
      </c>
      <c r="AH59" s="195" t="s">
        <v>64</v>
      </c>
      <c r="AI59" s="195" t="s">
        <v>63</v>
      </c>
      <c r="AJ59" s="195" t="s">
        <v>64</v>
      </c>
      <c r="AK59" s="502" t="s">
        <v>63</v>
      </c>
      <c r="AL59" s="195" t="s">
        <v>64</v>
      </c>
      <c r="AM59" s="195" t="s">
        <v>63</v>
      </c>
      <c r="AN59" s="197" t="s">
        <v>64</v>
      </c>
      <c r="AP59" s="41" t="s">
        <v>1034</v>
      </c>
      <c r="AQ59" s="41" t="s">
        <v>1033</v>
      </c>
      <c r="AR59" s="279"/>
      <c r="AS59" s="279"/>
      <c r="AT59" s="547" t="s">
        <v>1043</v>
      </c>
    </row>
    <row r="60" spans="1:48">
      <c r="A60" s="83" t="s">
        <v>5</v>
      </c>
      <c r="B60" s="22"/>
      <c r="C60" s="22">
        <v>0.2</v>
      </c>
      <c r="D60" s="117" t="s">
        <v>191</v>
      </c>
      <c r="E60" s="85">
        <v>0.27</v>
      </c>
      <c r="F60" s="128" t="s">
        <v>59</v>
      </c>
      <c r="G60" s="3">
        <v>1</v>
      </c>
      <c r="H60" s="22">
        <f>E60*G60*B60</f>
        <v>0</v>
      </c>
      <c r="I60" s="524">
        <f>E60*G60*C60</f>
        <v>5.4000000000000006E-2</v>
      </c>
      <c r="J60" s="24" t="s">
        <v>471</v>
      </c>
      <c r="K60" s="95" t="s">
        <v>194</v>
      </c>
      <c r="L60" s="24"/>
      <c r="M60" s="24"/>
      <c r="N60" s="24"/>
      <c r="O60" s="24"/>
      <c r="P60" s="24">
        <f>H60/$B$55</f>
        <v>0</v>
      </c>
      <c r="Q60" s="86">
        <f>I60/$B$55</f>
        <v>4.8214285714285716E-2</v>
      </c>
      <c r="R60" s="98" t="s">
        <v>481</v>
      </c>
      <c r="S60" s="103"/>
      <c r="T60" s="98"/>
      <c r="U60" s="98"/>
      <c r="V60" s="98"/>
      <c r="W60" s="85"/>
      <c r="X60" s="85"/>
      <c r="Y60" s="85"/>
      <c r="Z60" s="85"/>
      <c r="AA60" s="85"/>
      <c r="AB60" s="104"/>
      <c r="AC60" s="85"/>
      <c r="AD60" s="21" t="s">
        <v>477</v>
      </c>
      <c r="AE60" s="22">
        <f>P60+AA69+AA76</f>
        <v>0</v>
      </c>
      <c r="AF60" s="22">
        <f>Q60+AB69+AB76</f>
        <v>0.14158727678571428</v>
      </c>
      <c r="AG60" s="35">
        <f t="shared" ref="AG60:AG69" si="4">AE60*$B$39</f>
        <v>0</v>
      </c>
      <c r="AH60" s="33">
        <f t="shared" ref="AH60:AH69" si="5">AE60*$B$40</f>
        <v>0</v>
      </c>
      <c r="AI60" s="33">
        <f t="shared" ref="AI60:AI69" si="6">AF60*$B$41</f>
        <v>1351876.1270026104</v>
      </c>
      <c r="AJ60" s="33">
        <f t="shared" ref="AJ60:AJ69" si="7">AF60*$B$42</f>
        <v>0</v>
      </c>
      <c r="AK60" s="35">
        <f t="shared" ref="AK60:AK70" si="8">$T$9*AG60</f>
        <v>0</v>
      </c>
      <c r="AL60" s="33">
        <f t="shared" ref="AL60:AL70" si="9">$T$9*AH60</f>
        <v>0</v>
      </c>
      <c r="AM60" s="503">
        <f>AI60/(1+C_model!$R$110)/$B$43</f>
        <v>1947077.4555625415</v>
      </c>
      <c r="AN60" s="34">
        <f t="shared" ref="AN60:AN70" si="10">$T$9*AJ60</f>
        <v>0</v>
      </c>
      <c r="AP60" s="2">
        <f>AF64</f>
        <v>0.05</v>
      </c>
      <c r="AQ60" s="11">
        <v>4.8382183777691282E-2</v>
      </c>
      <c r="AR60" t="s">
        <v>959</v>
      </c>
      <c r="AS60" s="6"/>
      <c r="AT60" s="98">
        <v>4.9999999999999989E-2</v>
      </c>
    </row>
    <row r="61" spans="1:48">
      <c r="A61" s="83"/>
      <c r="B61" s="87"/>
      <c r="C61" s="87"/>
      <c r="D61" s="117"/>
      <c r="E61" s="88"/>
      <c r="F61" s="128" t="s">
        <v>60</v>
      </c>
      <c r="G61" s="3">
        <v>0</v>
      </c>
      <c r="H61" s="22">
        <f>B60*E60*G61</f>
        <v>0</v>
      </c>
      <c r="I61" s="528">
        <f>C60*E60*G61</f>
        <v>0</v>
      </c>
      <c r="J61" s="24" t="s">
        <v>471</v>
      </c>
      <c r="K61" s="119" t="s">
        <v>195</v>
      </c>
      <c r="L61" s="24"/>
      <c r="M61" s="24"/>
      <c r="N61" s="24"/>
      <c r="O61" s="24"/>
      <c r="P61" s="24">
        <f>H61/B55</f>
        <v>0</v>
      </c>
      <c r="Q61" s="86">
        <f>I61/B55</f>
        <v>0</v>
      </c>
      <c r="R61" s="84" t="s">
        <v>196</v>
      </c>
      <c r="S61" s="105"/>
      <c r="T61" s="84"/>
      <c r="U61" s="84"/>
      <c r="V61" s="84"/>
      <c r="W61" s="88"/>
      <c r="X61" s="88"/>
      <c r="Y61" s="88"/>
      <c r="Z61" s="88"/>
      <c r="AA61" s="88"/>
      <c r="AB61" s="106"/>
      <c r="AC61" s="88"/>
      <c r="AD61" s="21" t="s">
        <v>16</v>
      </c>
      <c r="AE61" s="22">
        <f>P61+AA70+AA77</f>
        <v>0</v>
      </c>
      <c r="AF61" s="22">
        <f>Q61+AB70+AB77</f>
        <v>5.1952901785714295E-2</v>
      </c>
      <c r="AG61" s="35">
        <f t="shared" si="4"/>
        <v>0</v>
      </c>
      <c r="AH61" s="33">
        <f t="shared" si="5"/>
        <v>0</v>
      </c>
      <c r="AI61" s="33">
        <f t="shared" si="6"/>
        <v>496046.60282374203</v>
      </c>
      <c r="AJ61" s="33">
        <f t="shared" si="7"/>
        <v>0</v>
      </c>
      <c r="AK61" s="35">
        <f t="shared" si="8"/>
        <v>0</v>
      </c>
      <c r="AL61" s="33">
        <f t="shared" si="9"/>
        <v>0</v>
      </c>
      <c r="AM61" s="503">
        <f>AI61/(1+C_model!$R$110)/$B$43</f>
        <v>714445.01310039731</v>
      </c>
      <c r="AN61" s="34">
        <f t="shared" si="10"/>
        <v>0</v>
      </c>
      <c r="AP61" s="2">
        <f>AF60+AF61</f>
        <v>0.19354017857142858</v>
      </c>
      <c r="AQ61" s="11">
        <v>0.27282363356971545</v>
      </c>
      <c r="AR61" t="s">
        <v>960</v>
      </c>
      <c r="AS61" s="6"/>
      <c r="AT61" s="98">
        <v>0.26622767857142848</v>
      </c>
      <c r="AU61" s="2">
        <f>AT61-AP61</f>
        <v>7.2687499999999905E-2</v>
      </c>
      <c r="AV61">
        <f>(AF60+AF61)*100/95</f>
        <v>0.20372650375939849</v>
      </c>
    </row>
    <row r="62" spans="1:48">
      <c r="A62" s="83"/>
      <c r="B62" s="87"/>
      <c r="C62" s="87"/>
      <c r="D62" s="117" t="s">
        <v>18</v>
      </c>
      <c r="E62" s="85">
        <v>0.45</v>
      </c>
      <c r="F62" s="85"/>
      <c r="G62" s="85"/>
      <c r="H62" s="22">
        <f>E62*B60</f>
        <v>0</v>
      </c>
      <c r="I62" s="524">
        <f>E62*C60</f>
        <v>9.0000000000000011E-2</v>
      </c>
      <c r="J62" s="98" t="s">
        <v>793</v>
      </c>
      <c r="K62" s="103"/>
      <c r="L62" s="98"/>
      <c r="M62" s="98"/>
      <c r="N62" s="98"/>
      <c r="O62" s="98"/>
      <c r="P62" s="98" t="s">
        <v>26</v>
      </c>
      <c r="Q62" s="108" t="s">
        <v>26</v>
      </c>
      <c r="R62" s="98"/>
      <c r="S62" s="103"/>
      <c r="T62" s="98"/>
      <c r="U62" s="98"/>
      <c r="V62" s="98"/>
      <c r="W62" s="85"/>
      <c r="X62" s="85"/>
      <c r="Y62" s="85"/>
      <c r="Z62" s="85"/>
      <c r="AA62" s="85"/>
      <c r="AB62" s="104"/>
      <c r="AC62" s="85"/>
      <c r="AD62" s="23" t="s">
        <v>790</v>
      </c>
      <c r="AE62" s="24">
        <f>AA71+AA78</f>
        <v>0</v>
      </c>
      <c r="AF62" s="24">
        <f>AB71+AB79</f>
        <v>5.855624999999999E-2</v>
      </c>
      <c r="AG62" s="35">
        <f>AE62*$B$39</f>
        <v>0</v>
      </c>
      <c r="AH62" s="33">
        <f t="shared" si="5"/>
        <v>0</v>
      </c>
      <c r="AI62" s="33">
        <f t="shared" si="6"/>
        <v>559095.4092690316</v>
      </c>
      <c r="AJ62" s="33">
        <f t="shared" si="7"/>
        <v>0</v>
      </c>
      <c r="AK62" s="35">
        <f t="shared" si="8"/>
        <v>0</v>
      </c>
      <c r="AL62" s="33">
        <f t="shared" si="9"/>
        <v>0</v>
      </c>
      <c r="AM62" s="503">
        <f>AI62/(1+C_model!$R$110)/$B$43</f>
        <v>805252.82246820955</v>
      </c>
      <c r="AN62" s="34">
        <f t="shared" si="10"/>
        <v>0</v>
      </c>
      <c r="AP62" s="2">
        <f>AF65</f>
        <v>4.9107142857142856E-2</v>
      </c>
      <c r="AQ62" s="11">
        <v>4.9702177521726391E-2</v>
      </c>
      <c r="AR62" t="s">
        <v>22</v>
      </c>
      <c r="AS62" s="6"/>
      <c r="AT62" s="98">
        <v>4.9107142857142856E-2</v>
      </c>
    </row>
    <row r="63" spans="1:48">
      <c r="A63" s="83"/>
      <c r="B63" s="87"/>
      <c r="C63" s="87"/>
      <c r="D63" s="117" t="s">
        <v>20</v>
      </c>
      <c r="E63" s="85">
        <v>0.28000000000000003</v>
      </c>
      <c r="F63" s="85"/>
      <c r="G63" s="85"/>
      <c r="H63" s="22">
        <f>E63*B60</f>
        <v>0</v>
      </c>
      <c r="I63" s="524">
        <f>E63*C60</f>
        <v>5.6000000000000008E-2</v>
      </c>
      <c r="J63" s="24" t="s">
        <v>471</v>
      </c>
      <c r="K63" s="95" t="s">
        <v>20</v>
      </c>
      <c r="L63" s="24"/>
      <c r="M63" s="24"/>
      <c r="N63" s="24"/>
      <c r="O63" s="24"/>
      <c r="P63" s="24">
        <f>H63/$B$55</f>
        <v>0</v>
      </c>
      <c r="Q63" s="86">
        <f>I63/$B$55</f>
        <v>0.05</v>
      </c>
      <c r="R63" s="98" t="s">
        <v>197</v>
      </c>
      <c r="S63" s="103"/>
      <c r="T63" s="98"/>
      <c r="U63" s="98"/>
      <c r="V63" s="98"/>
      <c r="W63" s="85"/>
      <c r="X63" s="85"/>
      <c r="Y63" s="85"/>
      <c r="Z63" s="85"/>
      <c r="AA63" s="85"/>
      <c r="AB63" s="104"/>
      <c r="AC63" s="85"/>
      <c r="AD63" s="23" t="s">
        <v>791</v>
      </c>
      <c r="AE63" s="24">
        <f>H62+P81+AA72+AA79</f>
        <v>0</v>
      </c>
      <c r="AF63" s="24">
        <f>I62+Q81+AB72</f>
        <v>0.1591232142857143</v>
      </c>
      <c r="AG63" s="35">
        <f>AE63*$B$39</f>
        <v>0</v>
      </c>
      <c r="AH63" s="33">
        <f t="shared" ref="AH63" si="11">AE63*$B$40</f>
        <v>0</v>
      </c>
      <c r="AI63" s="33">
        <f t="shared" ref="AI63" si="12">AF63*$B$41</f>
        <v>1519309.3583567129</v>
      </c>
      <c r="AJ63" s="33">
        <f t="shared" ref="AJ63" si="13">AF63*$B$42</f>
        <v>0</v>
      </c>
      <c r="AK63" s="35">
        <f>$T$9*AG63</f>
        <v>0</v>
      </c>
      <c r="AL63" s="33">
        <f t="shared" ref="AL63" si="14">$T$9*AH63</f>
        <v>0</v>
      </c>
      <c r="AM63" s="503">
        <f>AI63/(1+C_model!$R$110)/$B$43</f>
        <v>2188227.8565274449</v>
      </c>
      <c r="AN63" s="34">
        <f t="shared" ref="AN63" si="15">$T$9*AJ63</f>
        <v>0</v>
      </c>
      <c r="AP63" s="2">
        <f>AF62+AF63</f>
        <v>0.21767946428571427</v>
      </c>
      <c r="AQ63" s="11">
        <v>0.20840495881989107</v>
      </c>
      <c r="AR63" t="s">
        <v>961</v>
      </c>
      <c r="AS63" s="6"/>
      <c r="AT63" s="98">
        <v>0.21712053571428572</v>
      </c>
    </row>
    <row r="64" spans="1:48">
      <c r="A64" s="83" t="s">
        <v>58</v>
      </c>
      <c r="B64" s="110"/>
      <c r="C64" s="110">
        <v>5.5E-2</v>
      </c>
      <c r="D64" s="111"/>
      <c r="E64" s="111"/>
      <c r="F64" s="111" t="s">
        <v>190</v>
      </c>
      <c r="G64" s="111"/>
      <c r="H64" s="110">
        <f>B64</f>
        <v>0</v>
      </c>
      <c r="I64" s="112">
        <f>C64</f>
        <v>5.5E-2</v>
      </c>
      <c r="J64" s="114" t="s">
        <v>471</v>
      </c>
      <c r="K64" s="113" t="s">
        <v>190</v>
      </c>
      <c r="L64" s="114"/>
      <c r="M64" s="114"/>
      <c r="N64" s="114"/>
      <c r="O64" s="114"/>
      <c r="P64" s="114">
        <f>H64/$B$55</f>
        <v>0</v>
      </c>
      <c r="Q64" s="115">
        <f>I64/$B$55</f>
        <v>4.9107142857142856E-2</v>
      </c>
      <c r="R64" s="98" t="s">
        <v>198</v>
      </c>
      <c r="S64" s="103"/>
      <c r="T64" s="98"/>
      <c r="U64" s="98"/>
      <c r="V64" s="98"/>
      <c r="W64" s="28"/>
      <c r="X64" s="28"/>
      <c r="Y64" s="28"/>
      <c r="Z64" s="28"/>
      <c r="AA64" s="28"/>
      <c r="AB64" s="29"/>
      <c r="AC64" s="28"/>
      <c r="AD64" s="21" t="s">
        <v>21</v>
      </c>
      <c r="AE64" s="24">
        <f>P63</f>
        <v>0</v>
      </c>
      <c r="AF64" s="24">
        <f>Q63</f>
        <v>0.05</v>
      </c>
      <c r="AG64" s="35">
        <f t="shared" si="4"/>
        <v>0</v>
      </c>
      <c r="AH64" s="33">
        <f t="shared" si="5"/>
        <v>0</v>
      </c>
      <c r="AI64" s="33">
        <f t="shared" si="6"/>
        <v>477400.28542557947</v>
      </c>
      <c r="AJ64" s="33">
        <f t="shared" si="7"/>
        <v>0</v>
      </c>
      <c r="AK64" s="35">
        <f t="shared" si="8"/>
        <v>0</v>
      </c>
      <c r="AL64" s="33">
        <f t="shared" si="9"/>
        <v>0</v>
      </c>
      <c r="AM64" s="503">
        <f>AI64/(1+C_model!$R$110)/$B$43</f>
        <v>687589.13221749163</v>
      </c>
      <c r="AN64" s="34">
        <f t="shared" si="10"/>
        <v>0</v>
      </c>
      <c r="AP64" s="2">
        <f>AF68</f>
        <v>8.458705357142858E-2</v>
      </c>
      <c r="AQ64" s="11">
        <v>8.4657418749526384E-2</v>
      </c>
      <c r="AR64" t="s">
        <v>23</v>
      </c>
      <c r="AS64" s="6"/>
      <c r="AT64" s="98">
        <v>8.0904017857142865E-2</v>
      </c>
    </row>
    <row r="65" spans="1:46">
      <c r="A65" s="83"/>
      <c r="B65" s="87"/>
      <c r="C65" s="87"/>
      <c r="D65" s="28"/>
      <c r="E65" s="87"/>
      <c r="F65" s="28"/>
      <c r="G65" s="28"/>
      <c r="H65" s="87"/>
      <c r="I65" s="90"/>
      <c r="J65" s="28"/>
      <c r="K65" s="83"/>
      <c r="L65" s="28"/>
      <c r="M65" s="28"/>
      <c r="N65" s="28"/>
      <c r="O65" s="28"/>
      <c r="P65" s="28"/>
      <c r="Q65" s="29"/>
      <c r="R65" s="28"/>
      <c r="S65" s="83"/>
      <c r="T65" s="28"/>
      <c r="U65" s="28"/>
      <c r="V65" s="28"/>
      <c r="W65" s="28"/>
      <c r="X65" s="28"/>
      <c r="Y65" s="28"/>
      <c r="Z65" s="28"/>
      <c r="AA65" s="28"/>
      <c r="AB65" s="29"/>
      <c r="AC65" s="28"/>
      <c r="AD65" s="21" t="s">
        <v>22</v>
      </c>
      <c r="AE65" s="22">
        <f>P64</f>
        <v>0</v>
      </c>
      <c r="AF65" s="22">
        <f>Q64</f>
        <v>4.9107142857142856E-2</v>
      </c>
      <c r="AG65" s="35">
        <f t="shared" si="4"/>
        <v>0</v>
      </c>
      <c r="AH65" s="33">
        <f t="shared" si="5"/>
        <v>0</v>
      </c>
      <c r="AI65" s="33">
        <f t="shared" si="6"/>
        <v>468875.28032869409</v>
      </c>
      <c r="AJ65" s="33">
        <f t="shared" si="7"/>
        <v>0</v>
      </c>
      <c r="AK65" s="35">
        <f t="shared" si="8"/>
        <v>0</v>
      </c>
      <c r="AL65" s="33">
        <f t="shared" si="9"/>
        <v>0</v>
      </c>
      <c r="AM65" s="503">
        <f>AI65/(1+C_model!$R$110)/$B$43</f>
        <v>675310.75485646492</v>
      </c>
      <c r="AN65" s="34">
        <f t="shared" si="10"/>
        <v>0</v>
      </c>
      <c r="AP65" s="2">
        <f>AF67</f>
        <v>0.12620535714285716</v>
      </c>
      <c r="AQ65" s="11">
        <v>0.10582177343690798</v>
      </c>
      <c r="AR65" t="s">
        <v>6</v>
      </c>
      <c r="AS65" s="6"/>
      <c r="AT65" s="98">
        <v>0.1114732142857143</v>
      </c>
    </row>
    <row r="66" spans="1:46">
      <c r="A66" s="83" t="s">
        <v>17</v>
      </c>
      <c r="B66" s="22"/>
      <c r="C66" s="22">
        <v>0.20499999999999999</v>
      </c>
      <c r="D66" s="117"/>
      <c r="E66" s="117"/>
      <c r="F66" s="117" t="s">
        <v>15</v>
      </c>
      <c r="G66" s="117"/>
      <c r="H66" s="22">
        <f>B66</f>
        <v>0</v>
      </c>
      <c r="I66" s="89">
        <f>C66</f>
        <v>0.20499999999999999</v>
      </c>
      <c r="J66" s="24" t="s">
        <v>471</v>
      </c>
      <c r="K66" s="118" t="s">
        <v>15</v>
      </c>
      <c r="L66" s="24"/>
      <c r="M66" s="24"/>
      <c r="N66" s="24"/>
      <c r="O66" s="24"/>
      <c r="P66" s="24">
        <f>H66/B55</f>
        <v>0</v>
      </c>
      <c r="Q66" s="86">
        <f>I66/B55</f>
        <v>0.18303571428571425</v>
      </c>
      <c r="R66" s="24" t="s">
        <v>472</v>
      </c>
      <c r="S66" s="119" t="s">
        <v>14</v>
      </c>
      <c r="T66" s="99">
        <v>0.55000000000000004</v>
      </c>
      <c r="U66" s="24">
        <f>T66*P66</f>
        <v>0</v>
      </c>
      <c r="V66" s="525">
        <f>T66*Q66</f>
        <v>0.10066964285714285</v>
      </c>
      <c r="W66" s="22" t="s">
        <v>1</v>
      </c>
      <c r="X66" s="52">
        <v>0.75</v>
      </c>
      <c r="Y66" s="22" t="s">
        <v>204</v>
      </c>
      <c r="Z66" s="52"/>
      <c r="AA66" s="100">
        <f>U66*X66</f>
        <v>0</v>
      </c>
      <c r="AB66" s="107">
        <f>V66*X66</f>
        <v>7.5502232142857131E-2</v>
      </c>
      <c r="AC66" s="129"/>
      <c r="AD66" s="25" t="s">
        <v>24</v>
      </c>
      <c r="AE66" s="22">
        <f>AA66+AA75</f>
        <v>0</v>
      </c>
      <c r="AF66" s="22">
        <f>AB66+AB75</f>
        <v>0.15505580357142856</v>
      </c>
      <c r="AG66" s="35">
        <f t="shared" si="4"/>
        <v>0</v>
      </c>
      <c r="AH66" s="33">
        <f t="shared" si="5"/>
        <v>0</v>
      </c>
      <c r="AI66" s="33">
        <f t="shared" si="6"/>
        <v>1480473.6976378516</v>
      </c>
      <c r="AJ66" s="33">
        <f t="shared" si="7"/>
        <v>0</v>
      </c>
      <c r="AK66" s="35">
        <f t="shared" si="8"/>
        <v>0</v>
      </c>
      <c r="AL66" s="33">
        <f t="shared" si="9"/>
        <v>0</v>
      </c>
      <c r="AM66" s="503">
        <f>AI66/(1+C_model!$R$110)/$B$43</f>
        <v>2132293.7084592879</v>
      </c>
      <c r="AN66" s="34">
        <f t="shared" si="10"/>
        <v>0</v>
      </c>
      <c r="AP66" s="2">
        <f>AF66</f>
        <v>0.15505580357142856</v>
      </c>
      <c r="AQ66" s="11">
        <v>9.0691883515763294E-2</v>
      </c>
      <c r="AR66" t="s">
        <v>962</v>
      </c>
      <c r="AS66" s="6"/>
      <c r="AT66" s="98">
        <v>9.9810267857142865E-2</v>
      </c>
    </row>
    <row r="67" spans="1:46">
      <c r="A67" s="83"/>
      <c r="B67" s="87"/>
      <c r="C67" s="87"/>
      <c r="D67" s="84"/>
      <c r="E67" s="87">
        <f>SUM(E60:E63)</f>
        <v>1</v>
      </c>
      <c r="F67" s="28"/>
      <c r="G67" s="28"/>
      <c r="H67" s="87"/>
      <c r="I67" s="90"/>
      <c r="J67" s="28"/>
      <c r="K67" s="83"/>
      <c r="L67" s="28"/>
      <c r="M67" s="28"/>
      <c r="N67" s="28"/>
      <c r="O67" s="28"/>
      <c r="P67" s="28"/>
      <c r="Q67" s="29"/>
      <c r="R67" s="28"/>
      <c r="S67" s="105"/>
      <c r="T67" s="84"/>
      <c r="U67" s="98"/>
      <c r="V67" s="98"/>
      <c r="W67" s="22" t="s">
        <v>2</v>
      </c>
      <c r="X67" s="52">
        <v>0.2</v>
      </c>
      <c r="Y67" s="22" t="s">
        <v>205</v>
      </c>
      <c r="Z67" s="52"/>
      <c r="AA67" s="24">
        <f>U66*X67</f>
        <v>0</v>
      </c>
      <c r="AB67" s="86">
        <f>V66*X67</f>
        <v>2.013392857142857E-2</v>
      </c>
      <c r="AC67" s="98"/>
      <c r="AD67" s="23" t="s">
        <v>6</v>
      </c>
      <c r="AE67" s="22">
        <f>AA67+AA74</f>
        <v>0</v>
      </c>
      <c r="AF67" s="22">
        <f>AB67+AB74</f>
        <v>0.12620535714285716</v>
      </c>
      <c r="AG67" s="35">
        <f t="shared" si="4"/>
        <v>0</v>
      </c>
      <c r="AH67" s="33">
        <f t="shared" si="5"/>
        <v>0</v>
      </c>
      <c r="AI67" s="33">
        <f t="shared" si="6"/>
        <v>1205009.470444744</v>
      </c>
      <c r="AJ67" s="33">
        <f t="shared" si="7"/>
        <v>0</v>
      </c>
      <c r="AK67" s="35">
        <f t="shared" si="8"/>
        <v>0</v>
      </c>
      <c r="AL67" s="33">
        <f t="shared" si="9"/>
        <v>0</v>
      </c>
      <c r="AM67" s="503">
        <f>AI67/(1+C_model!$R$110)/$B$43</f>
        <v>1735548.6399811152</v>
      </c>
      <c r="AN67" s="34">
        <f t="shared" si="10"/>
        <v>0</v>
      </c>
      <c r="AP67" s="2">
        <f>AF69</f>
        <v>0.123825</v>
      </c>
      <c r="AQ67" s="11">
        <v>0.13951597060877813</v>
      </c>
      <c r="AR67" t="s">
        <v>963</v>
      </c>
      <c r="AS67" s="6"/>
      <c r="AT67" s="98">
        <v>0.12535714285714297</v>
      </c>
    </row>
    <row r="68" spans="1:46">
      <c r="A68" s="83"/>
      <c r="B68" s="87"/>
      <c r="C68" s="87"/>
      <c r="D68" s="84"/>
      <c r="E68" s="28"/>
      <c r="F68" s="28"/>
      <c r="G68" s="28"/>
      <c r="H68" s="87"/>
      <c r="I68" s="90"/>
      <c r="J68" s="28"/>
      <c r="K68" s="83"/>
      <c r="L68" s="28"/>
      <c r="M68" s="28"/>
      <c r="N68" s="28"/>
      <c r="O68" s="28"/>
      <c r="P68" s="28"/>
      <c r="Q68" s="29"/>
      <c r="R68" s="28"/>
      <c r="S68" s="105"/>
      <c r="T68" s="84"/>
      <c r="U68" s="98"/>
      <c r="V68" s="98"/>
      <c r="W68" s="22" t="s">
        <v>3</v>
      </c>
      <c r="X68" s="52">
        <v>0.05</v>
      </c>
      <c r="Y68" s="22" t="s">
        <v>3</v>
      </c>
      <c r="Z68" s="52"/>
      <c r="AA68" s="24">
        <f>U66*X68</f>
        <v>0</v>
      </c>
      <c r="AB68" s="86">
        <f>V66*X68</f>
        <v>5.0334821428571425E-3</v>
      </c>
      <c r="AC68" s="98"/>
      <c r="AD68" s="23" t="s">
        <v>23</v>
      </c>
      <c r="AE68" s="22">
        <f>AA68+AA73</f>
        <v>0</v>
      </c>
      <c r="AF68" s="22">
        <f>AB68+AB73</f>
        <v>8.458705357142858E-2</v>
      </c>
      <c r="AG68" s="35">
        <f t="shared" si="4"/>
        <v>0</v>
      </c>
      <c r="AH68" s="33">
        <f t="shared" si="5"/>
        <v>0</v>
      </c>
      <c r="AI68" s="33">
        <f t="shared" si="6"/>
        <v>807637.67036617571</v>
      </c>
      <c r="AJ68" s="33">
        <f t="shared" si="7"/>
        <v>0</v>
      </c>
      <c r="AK68" s="35">
        <f t="shared" si="8"/>
        <v>0</v>
      </c>
      <c r="AL68" s="33">
        <f t="shared" si="9"/>
        <v>0</v>
      </c>
      <c r="AM68" s="503">
        <f>AI68/(1+C_model!$R$110)/$B$43</f>
        <v>1163222.7752402611</v>
      </c>
      <c r="AN68" s="34">
        <f t="shared" si="10"/>
        <v>0</v>
      </c>
    </row>
    <row r="69" spans="1:46" ht="29">
      <c r="A69" s="83"/>
      <c r="B69" s="87"/>
      <c r="C69" s="87"/>
      <c r="D69" s="84"/>
      <c r="E69" s="28"/>
      <c r="F69" s="28"/>
      <c r="G69" s="28"/>
      <c r="H69" s="87"/>
      <c r="I69" s="90"/>
      <c r="J69" s="28"/>
      <c r="K69" s="83"/>
      <c r="L69" s="28"/>
      <c r="M69" s="28"/>
      <c r="N69" s="28"/>
      <c r="O69" s="28"/>
      <c r="P69" s="28"/>
      <c r="Q69" s="29"/>
      <c r="R69" s="28"/>
      <c r="S69" s="127" t="s">
        <v>4</v>
      </c>
      <c r="T69" s="101">
        <v>0.45</v>
      </c>
      <c r="U69" s="24">
        <f>T69*P66</f>
        <v>0</v>
      </c>
      <c r="V69" s="525">
        <f>T69*Q66</f>
        <v>8.2366071428571414E-2</v>
      </c>
      <c r="W69" s="132" t="s">
        <v>10</v>
      </c>
      <c r="X69" s="133">
        <v>0.5</v>
      </c>
      <c r="Y69" s="134" t="s">
        <v>476</v>
      </c>
      <c r="Z69" s="87">
        <v>0.75</v>
      </c>
      <c r="AA69" s="24">
        <f>U69*X69*Z69</f>
        <v>0</v>
      </c>
      <c r="AB69" s="86">
        <f>V69*X69*Z69</f>
        <v>3.088727678571428E-2</v>
      </c>
      <c r="AC69" s="98"/>
      <c r="AD69" s="23" t="s">
        <v>995</v>
      </c>
      <c r="AE69" s="22">
        <f>P80</f>
        <v>0</v>
      </c>
      <c r="AF69" s="22">
        <f>Q80+AB78</f>
        <v>0.123825</v>
      </c>
      <c r="AG69" s="35">
        <f t="shared" si="4"/>
        <v>0</v>
      </c>
      <c r="AH69" s="33">
        <f t="shared" si="5"/>
        <v>0</v>
      </c>
      <c r="AI69" s="33">
        <f t="shared" si="6"/>
        <v>1182281.8068564476</v>
      </c>
      <c r="AJ69" s="33">
        <f t="shared" si="7"/>
        <v>0</v>
      </c>
      <c r="AK69" s="35">
        <f t="shared" si="8"/>
        <v>0</v>
      </c>
      <c r="AL69" s="33">
        <f t="shared" si="9"/>
        <v>0</v>
      </c>
      <c r="AM69" s="503">
        <f>AI69/(1+C_model!$R$110)/$B$43</f>
        <v>1702814.4859366179</v>
      </c>
      <c r="AN69" s="34">
        <f t="shared" si="10"/>
        <v>0</v>
      </c>
      <c r="AP69" s="2">
        <f>SUM(AP60:AP67)</f>
        <v>1</v>
      </c>
      <c r="AQ69" s="2">
        <f>SUM(AQ60:AQ67)</f>
        <v>1</v>
      </c>
    </row>
    <row r="70" spans="1:46" ht="15" thickBot="1">
      <c r="A70" s="83"/>
      <c r="B70" s="87"/>
      <c r="C70" s="87"/>
      <c r="D70" s="84"/>
      <c r="E70" s="28"/>
      <c r="F70" s="28"/>
      <c r="G70" s="28"/>
      <c r="H70" s="87"/>
      <c r="I70" s="90"/>
      <c r="J70" s="28"/>
      <c r="K70" s="83"/>
      <c r="L70" s="28"/>
      <c r="M70" s="28"/>
      <c r="N70" s="28"/>
      <c r="O70" s="28"/>
      <c r="P70" s="28"/>
      <c r="Q70" s="29"/>
      <c r="R70" s="28"/>
      <c r="S70" s="105"/>
      <c r="T70" s="84"/>
      <c r="U70" s="52"/>
      <c r="V70" s="52"/>
      <c r="W70" s="87"/>
      <c r="X70" s="87"/>
      <c r="Y70" s="134" t="s">
        <v>475</v>
      </c>
      <c r="Z70" s="87">
        <v>0.25</v>
      </c>
      <c r="AA70" s="22">
        <f>U69*X69*Z70</f>
        <v>0</v>
      </c>
      <c r="AB70" s="86">
        <f>V69*X69*Z70</f>
        <v>1.0295758928571427E-2</v>
      </c>
      <c r="AC70" s="98"/>
      <c r="AD70" s="26"/>
      <c r="AE70" s="27">
        <f t="shared" ref="AE70:AJ70" si="16">SUM(AE60:AE69)</f>
        <v>0</v>
      </c>
      <c r="AF70" s="27">
        <f>SUM(AF60:AF69)</f>
        <v>1</v>
      </c>
      <c r="AG70" s="36">
        <f t="shared" si="16"/>
        <v>0</v>
      </c>
      <c r="AH70" s="37">
        <f t="shared" si="16"/>
        <v>0</v>
      </c>
      <c r="AI70" s="37">
        <f t="shared" si="16"/>
        <v>9548005.7085115891</v>
      </c>
      <c r="AJ70" s="37">
        <f t="shared" si="16"/>
        <v>0</v>
      </c>
      <c r="AK70" s="36">
        <f t="shared" si="8"/>
        <v>0</v>
      </c>
      <c r="AL70" s="37">
        <f t="shared" si="9"/>
        <v>0</v>
      </c>
      <c r="AM70" s="504">
        <f>AI70/(1+C_model!$R$110)/$B$43</f>
        <v>13751782.64434983</v>
      </c>
      <c r="AN70" s="38">
        <f t="shared" si="10"/>
        <v>0</v>
      </c>
      <c r="AP70" t="s">
        <v>1029</v>
      </c>
    </row>
    <row r="71" spans="1:46">
      <c r="A71" s="83"/>
      <c r="B71" s="52"/>
      <c r="C71" s="52"/>
      <c r="D71" s="28"/>
      <c r="E71" s="28"/>
      <c r="F71" s="28"/>
      <c r="G71" s="28"/>
      <c r="H71" s="87"/>
      <c r="I71" s="90"/>
      <c r="J71" s="28"/>
      <c r="K71" s="83"/>
      <c r="L71" s="28"/>
      <c r="M71" s="28"/>
      <c r="N71" s="28"/>
      <c r="O71" s="28"/>
      <c r="P71" s="28"/>
      <c r="Q71" s="29"/>
      <c r="R71" s="28"/>
      <c r="S71" s="83"/>
      <c r="T71" s="28"/>
      <c r="U71" s="87"/>
      <c r="V71" s="87"/>
      <c r="W71" s="22" t="s">
        <v>11</v>
      </c>
      <c r="X71" s="52">
        <v>0.5</v>
      </c>
      <c r="Y71" s="22" t="s">
        <v>800</v>
      </c>
      <c r="Z71" s="87">
        <v>0.6</v>
      </c>
      <c r="AA71" s="24">
        <f>U69*X71*Z71</f>
        <v>0</v>
      </c>
      <c r="AB71" s="86">
        <f>V69*X71*Z71</f>
        <v>2.4709821428571425E-2</v>
      </c>
      <c r="AC71" s="52" t="s">
        <v>792</v>
      </c>
    </row>
    <row r="72" spans="1:46">
      <c r="A72" s="83"/>
      <c r="B72" s="52"/>
      <c r="C72" s="52"/>
      <c r="D72" s="28"/>
      <c r="E72" s="28"/>
      <c r="F72" s="28"/>
      <c r="G72" s="28"/>
      <c r="H72" s="87"/>
      <c r="I72" s="90"/>
      <c r="J72" s="28"/>
      <c r="K72" s="83"/>
      <c r="L72" s="28"/>
      <c r="M72" s="28"/>
      <c r="N72" s="28"/>
      <c r="O72" s="28"/>
      <c r="P72" s="28"/>
      <c r="Q72" s="29"/>
      <c r="R72" s="28"/>
      <c r="S72" s="83"/>
      <c r="T72" s="28"/>
      <c r="U72" s="87"/>
      <c r="V72" s="87"/>
      <c r="W72" s="22"/>
      <c r="X72" s="52"/>
      <c r="Y72" s="22" t="s">
        <v>801</v>
      </c>
      <c r="Z72" s="87">
        <v>0.4</v>
      </c>
      <c r="AA72" s="24">
        <f>U69*X71*Z72</f>
        <v>0</v>
      </c>
      <c r="AB72" s="86">
        <f>V69*X71*Z72</f>
        <v>1.6473214285714282E-2</v>
      </c>
      <c r="AC72" s="52" t="s">
        <v>793</v>
      </c>
      <c r="AE72" s="87" t="s">
        <v>446</v>
      </c>
      <c r="AF72" s="87" t="s">
        <v>439</v>
      </c>
    </row>
    <row r="73" spans="1:46" ht="15" thickBot="1">
      <c r="A73" s="26" t="s">
        <v>7</v>
      </c>
      <c r="B73" s="120"/>
      <c r="C73" s="120">
        <v>0.54</v>
      </c>
      <c r="D73" s="121"/>
      <c r="E73" s="121"/>
      <c r="F73" s="121" t="s">
        <v>12</v>
      </c>
      <c r="G73" s="121"/>
      <c r="H73" s="122">
        <f>B73</f>
        <v>0</v>
      </c>
      <c r="I73" s="123">
        <f>C73</f>
        <v>0.54</v>
      </c>
      <c r="J73" s="114" t="s">
        <v>471</v>
      </c>
      <c r="K73" s="124" t="s">
        <v>12</v>
      </c>
      <c r="L73" s="114"/>
      <c r="M73" s="114"/>
      <c r="N73" s="114"/>
      <c r="O73" s="114"/>
      <c r="P73" s="114">
        <f>H73/B55</f>
        <v>0</v>
      </c>
      <c r="Q73" s="115">
        <f>I73/B55</f>
        <v>0.48214285714285715</v>
      </c>
      <c r="R73" s="114" t="s">
        <v>472</v>
      </c>
      <c r="S73" s="116" t="s">
        <v>0</v>
      </c>
      <c r="T73" s="125">
        <v>0.55000000000000004</v>
      </c>
      <c r="U73" s="114">
        <f>T73*P73</f>
        <v>0</v>
      </c>
      <c r="V73" s="526">
        <f>T73*Q73</f>
        <v>0.26517857142857143</v>
      </c>
      <c r="W73" s="110" t="s">
        <v>3</v>
      </c>
      <c r="X73" s="52">
        <v>0.3</v>
      </c>
      <c r="Y73" s="110" t="s">
        <v>3</v>
      </c>
      <c r="Z73" s="52"/>
      <c r="AA73" s="130">
        <f>U73*X73</f>
        <v>0</v>
      </c>
      <c r="AB73" s="131">
        <f>V73*X73</f>
        <v>7.9553571428571432E-2</v>
      </c>
      <c r="AC73" s="129"/>
      <c r="AD73" s="139" t="s">
        <v>249</v>
      </c>
      <c r="AE73" s="150">
        <f>AE60*D39/B45</f>
        <v>0</v>
      </c>
      <c r="AF73" s="150">
        <f>AF60*D41/B45</f>
        <v>778830.98222501646</v>
      </c>
      <c r="AG73" t="s">
        <v>247</v>
      </c>
      <c r="AI73" s="2"/>
      <c r="AJ73" s="2"/>
    </row>
    <row r="74" spans="1:46">
      <c r="D74" s="5"/>
      <c r="H74" s="87" t="s">
        <v>446</v>
      </c>
      <c r="I74" s="87" t="s">
        <v>439</v>
      </c>
      <c r="K74" s="83"/>
      <c r="L74" s="28"/>
      <c r="M74" s="28"/>
      <c r="N74" s="28"/>
      <c r="O74" s="28"/>
      <c r="P74" s="28"/>
      <c r="Q74" s="29"/>
      <c r="S74" s="105"/>
      <c r="T74" s="84"/>
      <c r="U74" s="98"/>
      <c r="V74" s="98"/>
      <c r="W74" s="110" t="s">
        <v>2</v>
      </c>
      <c r="X74" s="52">
        <v>0.4</v>
      </c>
      <c r="Y74" s="110" t="s">
        <v>205</v>
      </c>
      <c r="Z74" s="52"/>
      <c r="AA74" s="114">
        <f>U73*X74</f>
        <v>0</v>
      </c>
      <c r="AB74" s="115">
        <f>V73*X74</f>
        <v>0.10607142857142858</v>
      </c>
      <c r="AC74" s="98"/>
      <c r="AD74" s="139" t="s">
        <v>251</v>
      </c>
      <c r="AE74" s="152">
        <f>AE60*D40/B45</f>
        <v>0</v>
      </c>
      <c r="AF74" s="152">
        <f>AF60*D42/B45</f>
        <v>0</v>
      </c>
      <c r="AG74" t="s">
        <v>247</v>
      </c>
    </row>
    <row r="75" spans="1:46">
      <c r="B75" s="2">
        <f>SUM(B60:B73)</f>
        <v>0</v>
      </c>
      <c r="C75" s="2">
        <f>SUM(C60:C73)</f>
        <v>1</v>
      </c>
      <c r="D75" s="5"/>
      <c r="G75" s="153" t="s">
        <v>288</v>
      </c>
      <c r="H75" s="141">
        <f>1000*$H$62*C39</f>
        <v>0</v>
      </c>
      <c r="I75" s="141">
        <f>1000*$I$62*C41</f>
        <v>447562767.5864808</v>
      </c>
      <c r="J75" s="84" t="s">
        <v>171</v>
      </c>
      <c r="K75" s="83"/>
      <c r="L75" s="28"/>
      <c r="M75" s="28"/>
      <c r="N75" s="28"/>
      <c r="O75" s="28"/>
      <c r="P75" s="28"/>
      <c r="Q75" s="29"/>
      <c r="S75" s="105"/>
      <c r="T75" s="84"/>
      <c r="U75" s="98"/>
      <c r="V75" s="98"/>
      <c r="W75" s="110" t="s">
        <v>1</v>
      </c>
      <c r="X75" s="52">
        <v>0.3</v>
      </c>
      <c r="Y75" s="110" t="s">
        <v>204</v>
      </c>
      <c r="Z75" s="52"/>
      <c r="AA75" s="114">
        <f>U73*X75</f>
        <v>0</v>
      </c>
      <c r="AB75" s="115">
        <f>V73*X75</f>
        <v>7.9553571428571432E-2</v>
      </c>
      <c r="AC75" s="98"/>
      <c r="AD75" s="139" t="s">
        <v>252</v>
      </c>
      <c r="AE75" s="150">
        <f>AE61*D39/B45</f>
        <v>0</v>
      </c>
      <c r="AF75" s="150">
        <f>AF61*D41/B45</f>
        <v>285778.00524015888</v>
      </c>
      <c r="AG75" t="s">
        <v>247</v>
      </c>
    </row>
    <row r="76" spans="1:46" ht="29">
      <c r="D76" s="5"/>
      <c r="G76" s="153" t="s">
        <v>289</v>
      </c>
      <c r="H76" s="141">
        <f>1000*$H$62*C40</f>
        <v>0</v>
      </c>
      <c r="I76" s="141">
        <f>1000*$I$62*C42</f>
        <v>0</v>
      </c>
      <c r="J76" s="84" t="s">
        <v>171</v>
      </c>
      <c r="K76" s="83"/>
      <c r="L76" s="28"/>
      <c r="M76" s="28"/>
      <c r="N76" s="28"/>
      <c r="O76" s="28"/>
      <c r="P76" s="28"/>
      <c r="Q76" s="29"/>
      <c r="S76" s="126" t="s">
        <v>4</v>
      </c>
      <c r="T76" s="101">
        <v>0.45</v>
      </c>
      <c r="U76" s="110">
        <f>T76*P73</f>
        <v>0</v>
      </c>
      <c r="V76" s="527">
        <f>T76*Q73</f>
        <v>0.21696428571428572</v>
      </c>
      <c r="W76" s="135" t="s">
        <v>10</v>
      </c>
      <c r="X76" s="133">
        <v>0.48</v>
      </c>
      <c r="Y76" s="136" t="s">
        <v>476</v>
      </c>
      <c r="Z76" s="87">
        <v>0.6</v>
      </c>
      <c r="AA76" s="114">
        <f>U76*X76*Z76</f>
        <v>0</v>
      </c>
      <c r="AB76" s="115">
        <f>V76*X76*Z76</f>
        <v>6.2485714285714283E-2</v>
      </c>
      <c r="AC76" s="98"/>
      <c r="AD76" s="139" t="s">
        <v>250</v>
      </c>
      <c r="AE76" s="152">
        <f>AE61*D40/B45</f>
        <v>0</v>
      </c>
      <c r="AF76" s="152">
        <f>AF61*D42/B45</f>
        <v>0</v>
      </c>
      <c r="AG76" t="s">
        <v>247</v>
      </c>
    </row>
    <row r="77" spans="1:46">
      <c r="D77" s="5"/>
      <c r="E77" s="5"/>
      <c r="K77" s="96"/>
      <c r="L77" s="52"/>
      <c r="M77" s="52"/>
      <c r="N77" s="52"/>
      <c r="O77" s="52"/>
      <c r="P77" s="52"/>
      <c r="Q77" s="97"/>
      <c r="R77" s="7"/>
      <c r="S77" s="96"/>
      <c r="T77" s="52"/>
      <c r="U77" s="52"/>
      <c r="V77" s="52"/>
      <c r="W77" s="87"/>
      <c r="X77" s="87"/>
      <c r="Y77" s="136" t="s">
        <v>475</v>
      </c>
      <c r="Z77" s="87">
        <v>0.4</v>
      </c>
      <c r="AA77" s="110">
        <f>U76*X76*Z77</f>
        <v>0</v>
      </c>
      <c r="AB77" s="115">
        <f>V76*X76*Z77</f>
        <v>4.1657142857142865E-2</v>
      </c>
      <c r="AC77" s="98"/>
      <c r="AD77" s="139" t="s">
        <v>256</v>
      </c>
      <c r="AE77" s="151">
        <f>AE73*B46</f>
        <v>0</v>
      </c>
      <c r="AF77" s="151">
        <f>AF73*B46</f>
        <v>1199399.7126265254</v>
      </c>
      <c r="AG77" t="s">
        <v>159</v>
      </c>
    </row>
    <row r="78" spans="1:46">
      <c r="K78" s="83"/>
      <c r="L78" s="28"/>
      <c r="M78" s="28"/>
      <c r="N78" s="28"/>
      <c r="O78" s="28"/>
      <c r="P78" s="28"/>
      <c r="Q78" s="29"/>
      <c r="S78" s="83"/>
      <c r="T78" s="28"/>
      <c r="U78" s="28"/>
      <c r="V78" s="87"/>
      <c r="W78" s="110" t="s">
        <v>11</v>
      </c>
      <c r="X78" s="52">
        <v>0.52</v>
      </c>
      <c r="Y78" s="545" t="s">
        <v>1071</v>
      </c>
      <c r="Z78" s="87">
        <v>0.7</v>
      </c>
      <c r="AA78" s="114">
        <f>U76*X78*Z78</f>
        <v>0</v>
      </c>
      <c r="AB78" s="115">
        <f>V76*X78*Z78</f>
        <v>7.897499999999999E-2</v>
      </c>
      <c r="AC78" s="52" t="s">
        <v>1071</v>
      </c>
      <c r="AD78" s="139" t="s">
        <v>257</v>
      </c>
      <c r="AE78" s="151">
        <f>AE74*B46</f>
        <v>0</v>
      </c>
      <c r="AF78" s="151">
        <f>AF74*B46</f>
        <v>0</v>
      </c>
      <c r="AG78" t="s">
        <v>159</v>
      </c>
    </row>
    <row r="79" spans="1:46" ht="15" thickBot="1">
      <c r="K79" s="83"/>
      <c r="L79" s="28"/>
      <c r="M79" s="28"/>
      <c r="N79" s="28"/>
      <c r="O79" s="28"/>
      <c r="P79" s="28"/>
      <c r="Q79" s="29"/>
      <c r="S79" s="26"/>
      <c r="T79" s="30"/>
      <c r="U79" s="30"/>
      <c r="V79" s="109"/>
      <c r="W79" s="27"/>
      <c r="X79" s="27"/>
      <c r="Y79" s="120" t="s">
        <v>800</v>
      </c>
      <c r="Z79" s="109">
        <v>0.3</v>
      </c>
      <c r="AA79" s="122">
        <f>U76*X78*Z79</f>
        <v>0</v>
      </c>
      <c r="AB79" s="123">
        <f>V76*X78*Z79</f>
        <v>3.3846428571428569E-2</v>
      </c>
      <c r="AC79" s="52" t="s">
        <v>800</v>
      </c>
      <c r="AD79" s="139"/>
      <c r="AE79" s="151"/>
      <c r="AF79" s="151"/>
    </row>
    <row r="80" spans="1:46">
      <c r="K80" s="119" t="s">
        <v>189</v>
      </c>
      <c r="L80" s="22">
        <f>(H60+H61+H63+H64+H66+H73)-(P60+P61+P63+P64+P66+P73)</f>
        <v>0</v>
      </c>
      <c r="M80" s="252">
        <f>(I60+I61+I63+I64+I66+I73)-(Q60+Q61+Q63+Q64+Q66+Q73)</f>
        <v>9.7500000000000031E-2</v>
      </c>
      <c r="N80" s="28" t="s">
        <v>121</v>
      </c>
      <c r="O80" s="251">
        <v>0.46</v>
      </c>
      <c r="P80" s="22">
        <f>O80*L80</f>
        <v>0</v>
      </c>
      <c r="Q80" s="89">
        <f>O80*M80</f>
        <v>4.4850000000000015E-2</v>
      </c>
      <c r="R80" t="s">
        <v>473</v>
      </c>
      <c r="S80" s="28"/>
      <c r="T80" s="251"/>
      <c r="U80" s="28"/>
      <c r="V80" s="87"/>
      <c r="W80" s="87"/>
      <c r="X80" s="87"/>
      <c r="Y80" s="87"/>
      <c r="Z80" s="87"/>
      <c r="AA80" s="87"/>
      <c r="AB80" s="87"/>
      <c r="AC80" s="28"/>
      <c r="AD80" s="139" t="s">
        <v>258</v>
      </c>
      <c r="AE80" s="151">
        <f>AE75*B47</f>
        <v>0</v>
      </c>
      <c r="AF80" s="151">
        <f>AF75*B47</f>
        <v>476391.93473534484</v>
      </c>
      <c r="AG80" t="s">
        <v>159</v>
      </c>
    </row>
    <row r="81" spans="11:33" ht="15" thickBot="1">
      <c r="K81" s="144"/>
      <c r="L81" s="27"/>
      <c r="M81" s="27"/>
      <c r="N81" s="30" t="s">
        <v>9</v>
      </c>
      <c r="O81" s="250">
        <v>0.54</v>
      </c>
      <c r="P81" s="60">
        <f>O81*L80</f>
        <v>0</v>
      </c>
      <c r="Q81" s="162">
        <f>O81*M80</f>
        <v>5.2650000000000023E-2</v>
      </c>
      <c r="R81" t="s">
        <v>793</v>
      </c>
      <c r="S81" s="28"/>
      <c r="T81" s="251"/>
      <c r="U81" s="28"/>
      <c r="V81" s="87"/>
      <c r="W81" s="87" t="s">
        <v>446</v>
      </c>
      <c r="X81" s="87" t="s">
        <v>439</v>
      </c>
      <c r="Y81" s="87"/>
      <c r="Z81" s="87"/>
      <c r="AA81" s="87"/>
      <c r="AB81" s="87"/>
      <c r="AC81" s="28"/>
      <c r="AD81" s="139" t="s">
        <v>259</v>
      </c>
      <c r="AE81" s="151">
        <f>AE76*B47</f>
        <v>0</v>
      </c>
      <c r="AF81" s="151">
        <f>AF76*B47</f>
        <v>0</v>
      </c>
      <c r="AG81" t="s">
        <v>159</v>
      </c>
    </row>
    <row r="82" spans="11:33">
      <c r="L82" s="87" t="s">
        <v>446</v>
      </c>
      <c r="M82" s="87" t="s">
        <v>439</v>
      </c>
      <c r="O82" s="28"/>
      <c r="P82" s="28"/>
      <c r="Q82" s="28"/>
      <c r="R82" s="87"/>
      <c r="S82" s="87"/>
      <c r="T82" s="87"/>
      <c r="U82" s="87"/>
      <c r="V82" s="139" t="s">
        <v>215</v>
      </c>
      <c r="W82" s="142">
        <f>(AA66+AA67+AA68+AA73+AA74+AA75)*D39</f>
        <v>0</v>
      </c>
      <c r="X82" s="142">
        <f>(AB66+AB67+AB68+AB73+AB74+AB75)*D41</f>
        <v>5031065.1236806633</v>
      </c>
      <c r="Y82" s="28" t="s">
        <v>159</v>
      </c>
      <c r="AD82" s="139" t="s">
        <v>399</v>
      </c>
      <c r="AE82" s="151">
        <f>$AE$69*E39</f>
        <v>0</v>
      </c>
      <c r="AF82" s="151">
        <f>$AF$69*E41</f>
        <v>307578.00131499767</v>
      </c>
      <c r="AG82" t="s">
        <v>100</v>
      </c>
    </row>
    <row r="83" spans="11:33">
      <c r="K83" s="139" t="s">
        <v>208</v>
      </c>
      <c r="L83" s="142">
        <f>(P60+P61+P63+P64+P66+P73)*D39</f>
        <v>0</v>
      </c>
      <c r="M83" s="142">
        <f>(Q60+Q61+Q63+Q64+Q66+Q73)*D41</f>
        <v>11173323.398534236</v>
      </c>
      <c r="N83" t="s">
        <v>159</v>
      </c>
      <c r="V83" s="139" t="s">
        <v>216</v>
      </c>
      <c r="W83" s="141">
        <f>(AA66+AA67+AA68+AA73+AA74+AA75)*D40</f>
        <v>0</v>
      </c>
      <c r="X83" s="141">
        <f>(AB66+AB67+AB68+AB73+AB74+AB75)*D42</f>
        <v>0</v>
      </c>
      <c r="Y83" s="28" t="s">
        <v>159</v>
      </c>
      <c r="AA83" s="284" t="s">
        <v>607</v>
      </c>
      <c r="AB83" s="2"/>
      <c r="AD83" s="139" t="s">
        <v>400</v>
      </c>
      <c r="AE83" s="151">
        <f>$AE$69*E40</f>
        <v>0</v>
      </c>
      <c r="AF83" s="151">
        <f>$AF$69*E42</f>
        <v>0</v>
      </c>
      <c r="AG83" t="s">
        <v>100</v>
      </c>
    </row>
    <row r="84" spans="11:33">
      <c r="K84" s="139" t="s">
        <v>209</v>
      </c>
      <c r="L84" s="141">
        <f>(P60+P61+P63+P64+P66+P73)*D40</f>
        <v>0</v>
      </c>
      <c r="M84" s="141">
        <f>(Q60+Q61+Q63+Q64+Q66+Q73)*D42</f>
        <v>0</v>
      </c>
      <c r="N84" t="s">
        <v>159</v>
      </c>
      <c r="V84" s="139" t="s">
        <v>224</v>
      </c>
      <c r="W84" s="141">
        <f>(AA68+AA73)*D39</f>
        <v>0</v>
      </c>
      <c r="X84" s="141">
        <f>(AB68+AB73)*D41</f>
        <v>1163222.7752402609</v>
      </c>
      <c r="Y84" s="28" t="s">
        <v>159</v>
      </c>
      <c r="AA84" s="2">
        <f>(X66*$T$66+X75*$T$73)/($T$66+$T$73)</f>
        <v>0.52500000000000002</v>
      </c>
      <c r="AB84" s="2" t="s">
        <v>606</v>
      </c>
    </row>
    <row r="85" spans="11:33">
      <c r="K85" s="139" t="s">
        <v>273</v>
      </c>
      <c r="L85" s="141">
        <f>0.5*P63*D39/B48</f>
        <v>0</v>
      </c>
      <c r="M85" s="141">
        <f>0.5*Q63*D41/B48</f>
        <v>122783.77361026635</v>
      </c>
      <c r="N85" t="s">
        <v>247</v>
      </c>
      <c r="O85" s="186"/>
      <c r="V85" s="139" t="s">
        <v>225</v>
      </c>
      <c r="W85" s="141">
        <f>(AA68+AA73)*D40</f>
        <v>0</v>
      </c>
      <c r="X85" s="141">
        <f>(AB68+AB73)*D42</f>
        <v>0</v>
      </c>
      <c r="Y85" s="28" t="s">
        <v>159</v>
      </c>
      <c r="AA85" s="2">
        <f>(X67*$T$66+X74*$T$73)/($T$66+$T$73)</f>
        <v>0.30000000000000004</v>
      </c>
      <c r="AB85" s="2" t="s">
        <v>2</v>
      </c>
      <c r="AD85" s="153" t="s">
        <v>794</v>
      </c>
      <c r="AE85" s="141">
        <f>1000*$AE$62*$E$39*44/12</f>
        <v>0</v>
      </c>
      <c r="AF85" s="141">
        <f>1000*$AF$62*E41*44/12</f>
        <v>533324605.24803716</v>
      </c>
      <c r="AG85" s="84" t="s">
        <v>134</v>
      </c>
    </row>
    <row r="86" spans="11:33">
      <c r="K86" s="139" t="s">
        <v>274</v>
      </c>
      <c r="L86" s="141">
        <f>0.5*P63*D40/B48</f>
        <v>0</v>
      </c>
      <c r="M86" s="141">
        <f>0.5*Q63*D42/B48</f>
        <v>0</v>
      </c>
      <c r="N86" t="s">
        <v>247</v>
      </c>
      <c r="V86" s="139" t="s">
        <v>227</v>
      </c>
      <c r="W86" s="141">
        <f>(P64+AA67+AA74)*D39*B44</f>
        <v>0</v>
      </c>
      <c r="X86" s="141">
        <f>(Q64+AB67+AB74)*D41*B44</f>
        <v>1082475868.2820733</v>
      </c>
      <c r="Y86" t="s">
        <v>171</v>
      </c>
      <c r="AA86" s="2">
        <f>(X68*$T$66+X73*$T$73)/($T$66+$T$73)</f>
        <v>0.17499999999999999</v>
      </c>
      <c r="AB86" t="s">
        <v>3</v>
      </c>
      <c r="AD86" s="153" t="s">
        <v>795</v>
      </c>
      <c r="AE86" s="141">
        <f>1000*$AE$62*E40*44/12</f>
        <v>0</v>
      </c>
      <c r="AF86" s="141">
        <f>1000*$AF$62*E42*44/12</f>
        <v>0</v>
      </c>
      <c r="AG86" s="84" t="s">
        <v>134</v>
      </c>
    </row>
    <row r="87" spans="11:33">
      <c r="K87" s="139" t="s">
        <v>275</v>
      </c>
      <c r="L87" s="141">
        <f>0.5*P63*D39/B49</f>
        <v>0</v>
      </c>
      <c r="M87" s="141">
        <f>0.5*Q63*D41/B49</f>
        <v>137517.82644349831</v>
      </c>
      <c r="N87" t="s">
        <v>247</v>
      </c>
      <c r="V87" s="139" t="s">
        <v>226</v>
      </c>
      <c r="W87" s="141">
        <f>(P64+AA67+AA74)*D40*B44</f>
        <v>0</v>
      </c>
      <c r="X87" s="141">
        <f>(Q64+AB67+AB74)*D42*B44</f>
        <v>0</v>
      </c>
      <c r="Y87" t="s">
        <v>171</v>
      </c>
      <c r="AA87" s="2">
        <f>SUM(AA84:AA86)</f>
        <v>1</v>
      </c>
      <c r="AD87" s="153" t="s">
        <v>794</v>
      </c>
      <c r="AE87" s="141">
        <f>1000*$AE$62*E39</f>
        <v>0</v>
      </c>
      <c r="AF87" s="141">
        <f>1000*$AF$62*E41</f>
        <v>145452165.0676465</v>
      </c>
      <c r="AG87" s="84" t="s">
        <v>171</v>
      </c>
    </row>
    <row r="88" spans="11:33">
      <c r="K88" s="139" t="s">
        <v>276</v>
      </c>
      <c r="L88" s="141">
        <f>0.5*P63*D40/B49</f>
        <v>0</v>
      </c>
      <c r="M88" s="141">
        <f>0.5*Q63*D42/B49</f>
        <v>0</v>
      </c>
      <c r="N88" t="s">
        <v>247</v>
      </c>
      <c r="AD88" s="153" t="s">
        <v>795</v>
      </c>
      <c r="AE88" s="141">
        <f>1000*$AE$62*E40</f>
        <v>0</v>
      </c>
      <c r="AF88" s="141">
        <f>1000*$AF$62*E42</f>
        <v>0</v>
      </c>
      <c r="AG88" s="84" t="s">
        <v>171</v>
      </c>
    </row>
    <row r="89" spans="11:33">
      <c r="K89" s="139"/>
      <c r="L89" s="140"/>
      <c r="M89" s="140"/>
      <c r="AD89" s="153" t="s">
        <v>817</v>
      </c>
      <c r="AE89" s="141">
        <f>AE87/$B$52</f>
        <v>0</v>
      </c>
      <c r="AF89" s="141">
        <f>AF87/$B$52</f>
        <v>2083602264.5940354</v>
      </c>
      <c r="AG89" s="84" t="s">
        <v>127</v>
      </c>
    </row>
    <row r="90" spans="11:33">
      <c r="K90" s="139"/>
      <c r="L90" s="140"/>
      <c r="M90" s="140"/>
      <c r="AD90" s="153" t="s">
        <v>818</v>
      </c>
      <c r="AE90" s="141">
        <f>AE88/$B$52</f>
        <v>0</v>
      </c>
      <c r="AF90" s="141">
        <f>AF88/$B$52</f>
        <v>0</v>
      </c>
      <c r="AG90" s="84" t="s">
        <v>127</v>
      </c>
    </row>
    <row r="91" spans="11:33">
      <c r="K91" s="139"/>
      <c r="L91" s="140"/>
      <c r="M91" s="140"/>
    </row>
    <row r="92" spans="11:33">
      <c r="K92" s="139"/>
      <c r="L92" s="140"/>
      <c r="M92" s="140"/>
      <c r="AD92" s="153" t="s">
        <v>796</v>
      </c>
      <c r="AE92" s="141">
        <f>1000*$AE$63*$E$39*44/12</f>
        <v>0</v>
      </c>
      <c r="AF92" s="141">
        <f>1000*$AF$63*E41*44/12</f>
        <v>1449278692.6199582</v>
      </c>
      <c r="AG92" s="443" t="s">
        <v>134</v>
      </c>
    </row>
    <row r="93" spans="11:33">
      <c r="K93" s="139"/>
      <c r="L93" s="140"/>
      <c r="M93" s="140"/>
      <c r="AD93" s="153" t="s">
        <v>797</v>
      </c>
      <c r="AE93" s="141">
        <f>1000*$AE$63*$E$40*44/12</f>
        <v>0</v>
      </c>
      <c r="AF93" s="141">
        <f>1000*$AF$63*E42*44/12</f>
        <v>0</v>
      </c>
      <c r="AG93" s="443" t="s">
        <v>134</v>
      </c>
    </row>
    <row r="94" spans="11:33">
      <c r="K94" s="139"/>
      <c r="L94" s="140"/>
      <c r="M94" s="140"/>
      <c r="Z94" s="153"/>
      <c r="AC94" s="84"/>
      <c r="AD94" s="153" t="s">
        <v>796</v>
      </c>
      <c r="AE94" s="141">
        <f>1000*$AE$63*$C$39</f>
        <v>0</v>
      </c>
      <c r="AF94" s="141">
        <f>1000*$AF$63*$C$41</f>
        <v>791306957.47745466</v>
      </c>
      <c r="AG94" s="443" t="s">
        <v>171</v>
      </c>
    </row>
    <row r="95" spans="11:33">
      <c r="K95" s="139"/>
      <c r="L95" s="140"/>
      <c r="M95" s="140"/>
      <c r="AD95" s="153" t="s">
        <v>797</v>
      </c>
      <c r="AE95" s="141">
        <f>1000*$AE$63*$C$40</f>
        <v>0</v>
      </c>
      <c r="AF95" s="141">
        <f>1000*$AF$63*$C$42</f>
        <v>0</v>
      </c>
      <c r="AG95" s="443" t="s">
        <v>171</v>
      </c>
    </row>
    <row r="96" spans="11:33">
      <c r="K96" s="139"/>
      <c r="L96" s="140"/>
      <c r="M96" s="140"/>
      <c r="AD96" s="444" t="s">
        <v>822</v>
      </c>
      <c r="AE96" s="141">
        <f>AE94*$B$51</f>
        <v>0</v>
      </c>
      <c r="AF96" s="141">
        <f>AF94*$B$51</f>
        <v>5803445226.1396532</v>
      </c>
      <c r="AG96" s="443" t="s">
        <v>393</v>
      </c>
    </row>
    <row r="97" spans="1:40">
      <c r="K97" s="139"/>
      <c r="L97" s="140"/>
      <c r="M97" s="140"/>
      <c r="AD97" s="444" t="s">
        <v>823</v>
      </c>
      <c r="AE97" s="141">
        <f>AE95*$B$51</f>
        <v>0</v>
      </c>
      <c r="AF97" s="141">
        <f>AF95*$B$51</f>
        <v>0</v>
      </c>
      <c r="AG97" s="443" t="s">
        <v>393</v>
      </c>
    </row>
    <row r="98" spans="1:40">
      <c r="K98" s="139"/>
      <c r="L98" s="140"/>
      <c r="M98" s="140"/>
      <c r="AD98" s="2"/>
      <c r="AE98" s="2"/>
    </row>
    <row r="99" spans="1:40">
      <c r="K99" s="139"/>
      <c r="L99" s="140"/>
      <c r="M99" s="140"/>
      <c r="Z99" s="153"/>
      <c r="AA99" s="5"/>
      <c r="AB99" s="5"/>
      <c r="AC99" s="84"/>
      <c r="AD99" s="2"/>
      <c r="AE99" s="2"/>
    </row>
    <row r="100" spans="1:40">
      <c r="A100" s="9" t="s">
        <v>322</v>
      </c>
      <c r="W100" s="2"/>
      <c r="AD100" s="2"/>
      <c r="AE100" s="2"/>
    </row>
    <row r="101" spans="1:40">
      <c r="A101" t="s">
        <v>124</v>
      </c>
    </row>
    <row r="102" spans="1:40" ht="15" thickBot="1"/>
    <row r="103" spans="1:40" s="41" customFormat="1" ht="49.5" customHeight="1" thickBot="1">
      <c r="A103" s="43"/>
      <c r="C103" s="574" t="s">
        <v>327</v>
      </c>
      <c r="D103" s="575"/>
      <c r="E103" s="575"/>
      <c r="F103" s="575"/>
      <c r="G103" s="575"/>
      <c r="H103" s="575"/>
      <c r="I103" s="575"/>
      <c r="J103" s="576"/>
      <c r="K103" s="1"/>
      <c r="L103" s="1"/>
      <c r="M103" s="1"/>
      <c r="P103" t="s">
        <v>327</v>
      </c>
      <c r="Q103"/>
      <c r="R103"/>
      <c r="S103"/>
      <c r="T103"/>
      <c r="U103"/>
      <c r="V103"/>
      <c r="AD103"/>
      <c r="AE103"/>
      <c r="AF103"/>
      <c r="AG103"/>
      <c r="AH103"/>
      <c r="AI103"/>
      <c r="AJ103"/>
      <c r="AK103"/>
      <c r="AL103"/>
      <c r="AM103"/>
      <c r="AN103"/>
    </row>
    <row r="104" spans="1:40" s="41" customFormat="1" ht="30.75" customHeight="1" thickBot="1">
      <c r="A104" s="43"/>
      <c r="C104" s="92" t="s">
        <v>323</v>
      </c>
      <c r="D104" s="54" t="s">
        <v>325</v>
      </c>
      <c r="E104" s="54" t="s">
        <v>324</v>
      </c>
      <c r="F104" s="167"/>
      <c r="G104" s="169"/>
      <c r="H104" s="167" t="s">
        <v>323</v>
      </c>
      <c r="I104" s="168" t="s">
        <v>325</v>
      </c>
      <c r="J104" s="169" t="s">
        <v>324</v>
      </c>
      <c r="K104" s="10"/>
      <c r="L104" s="10"/>
      <c r="N104"/>
      <c r="O104"/>
      <c r="P104"/>
      <c r="Q104"/>
      <c r="R104"/>
      <c r="S104"/>
      <c r="T104"/>
      <c r="U104" s="41" t="s">
        <v>323</v>
      </c>
      <c r="V104" s="41" t="s">
        <v>325</v>
      </c>
      <c r="W104" s="41" t="s">
        <v>324</v>
      </c>
    </row>
    <row r="105" spans="1:40" ht="15.75" customHeight="1">
      <c r="A105" s="92" t="s">
        <v>33</v>
      </c>
      <c r="B105" s="318">
        <f>E124+E125</f>
        <v>0.79754592712089845</v>
      </c>
      <c r="C105" s="155">
        <f>B105*(Q12+Q13+Q17+Q19)</f>
        <v>0.4747297185243442</v>
      </c>
      <c r="D105" s="156">
        <f>B105*(AE60+AE61+AE66+AE68+AE65+AE67)</f>
        <v>0</v>
      </c>
      <c r="E105" s="156">
        <f>B105*(AF60+AF61+AF66+AF68+AF65+AF67)</f>
        <v>0.48530313618017779</v>
      </c>
      <c r="F105" s="83" t="s">
        <v>480</v>
      </c>
      <c r="G105" s="160">
        <f>F124</f>
        <v>0.80014369031225263</v>
      </c>
      <c r="H105" s="118">
        <f>G105*C105</f>
        <v>0.37985198888096572</v>
      </c>
      <c r="I105" s="22">
        <f>G105*D105</f>
        <v>0</v>
      </c>
      <c r="J105" s="89">
        <f>G105*E105</f>
        <v>0.38831224230331712</v>
      </c>
      <c r="N105" s="41" t="s">
        <v>33</v>
      </c>
      <c r="O105" s="41"/>
      <c r="P105" s="41"/>
      <c r="Q105" s="41"/>
      <c r="R105" s="41"/>
      <c r="S105" s="573" t="s">
        <v>482</v>
      </c>
      <c r="T105" s="41" t="s">
        <v>480</v>
      </c>
      <c r="U105" s="278">
        <v>2.9166666666666664E-2</v>
      </c>
      <c r="V105" s="278">
        <v>3.2642238645303356E-2</v>
      </c>
      <c r="W105" s="278">
        <v>3.3881885962262312E-2</v>
      </c>
      <c r="AD105" s="41"/>
      <c r="AE105" s="41"/>
      <c r="AF105" s="41"/>
      <c r="AG105" s="41"/>
      <c r="AH105" s="41"/>
      <c r="AI105" s="41"/>
      <c r="AJ105" s="41"/>
      <c r="AK105" s="41"/>
      <c r="AL105" s="41"/>
      <c r="AM105" s="41"/>
      <c r="AN105" s="41"/>
    </row>
    <row r="106" spans="1:40">
      <c r="A106" s="31"/>
      <c r="B106" s="319"/>
      <c r="C106" s="83"/>
      <c r="D106" s="28"/>
      <c r="E106" s="28"/>
      <c r="F106" s="83" t="s">
        <v>27</v>
      </c>
      <c r="G106" s="160">
        <f>F125</f>
        <v>0.19985630968774726</v>
      </c>
      <c r="H106" s="118">
        <f>G106*C105</f>
        <v>9.4877729643378428E-2</v>
      </c>
      <c r="I106" s="22">
        <f>G106*D105</f>
        <v>0</v>
      </c>
      <c r="J106" s="89">
        <f>G106*E105</f>
        <v>9.6990893876860593E-2</v>
      </c>
      <c r="S106" s="573"/>
      <c r="T106" t="s">
        <v>27</v>
      </c>
      <c r="U106" s="278">
        <v>5.4166666666666669E-2</v>
      </c>
      <c r="V106" s="278">
        <v>6.0621300341277662E-2</v>
      </c>
      <c r="W106" s="278">
        <v>6.2923502501344306E-2</v>
      </c>
    </row>
    <row r="107" spans="1:40">
      <c r="A107" s="31" t="s">
        <v>29</v>
      </c>
      <c r="B107" s="319">
        <f>E126+E127</f>
        <v>0.20245407287910142</v>
      </c>
      <c r="C107" s="95">
        <f>B107*(Q12+Q13+Q17+Q19)</f>
        <v>0.12050837671375082</v>
      </c>
      <c r="D107" s="24">
        <f>B107*(AE60+AE61+AE66+AE68+AE65+AE67)</f>
        <v>0</v>
      </c>
      <c r="E107" s="24">
        <f>B107*(AF60+AF61+AF66+AF68+AF65+AF67)</f>
        <v>0.12319239953410786</v>
      </c>
      <c r="F107" s="83" t="s">
        <v>36</v>
      </c>
      <c r="G107" s="161">
        <f>F126</f>
        <v>0.96344554944088223</v>
      </c>
      <c r="H107" s="118">
        <f>G107*C107</f>
        <v>0.11610325921520848</v>
      </c>
      <c r="I107" s="22">
        <f>G107*D107</f>
        <v>0</v>
      </c>
      <c r="J107" s="89">
        <f>G107*E107</f>
        <v>0.11868916905607924</v>
      </c>
      <c r="K107" s="32"/>
      <c r="N107" t="s">
        <v>29</v>
      </c>
      <c r="S107" s="573"/>
      <c r="T107" t="s">
        <v>36</v>
      </c>
      <c r="U107" s="278">
        <v>0.44956660175384816</v>
      </c>
      <c r="V107" s="278">
        <v>0.50313806747681722</v>
      </c>
      <c r="W107" s="278">
        <v>0.5222456342765377</v>
      </c>
    </row>
    <row r="108" spans="1:40" ht="15" thickBot="1">
      <c r="A108" s="31"/>
      <c r="B108" s="319"/>
      <c r="C108" s="26"/>
      <c r="D108" s="30"/>
      <c r="E108" s="30"/>
      <c r="F108" s="83" t="s">
        <v>31</v>
      </c>
      <c r="G108" s="161">
        <f>F127</f>
        <v>3.6554450559117838E-2</v>
      </c>
      <c r="H108" s="166">
        <f>G108*C107</f>
        <v>4.4051174985423516E-3</v>
      </c>
      <c r="I108" s="60">
        <f>G108*D107</f>
        <v>0</v>
      </c>
      <c r="J108" s="162">
        <f>G108*E107</f>
        <v>4.5032304780286371E-3</v>
      </c>
      <c r="K108" s="2"/>
      <c r="L108" s="2"/>
      <c r="M108" s="2"/>
      <c r="S108" s="573"/>
      <c r="T108" t="s">
        <v>31</v>
      </c>
      <c r="U108" s="278">
        <v>6.2338160150913577E-2</v>
      </c>
      <c r="V108" s="278">
        <v>6.9766529155037532E-2</v>
      </c>
      <c r="W108" s="278">
        <v>7.2416037714188544E-2</v>
      </c>
    </row>
    <row r="109" spans="1:40">
      <c r="A109" s="40" t="s">
        <v>34</v>
      </c>
      <c r="B109" s="320">
        <f>H124+H125</f>
        <v>0.99915160629362931</v>
      </c>
      <c r="C109" s="157">
        <f>B109*Q16</f>
        <v>0</v>
      </c>
      <c r="D109" s="59">
        <f>B109*AE64</f>
        <v>0</v>
      </c>
      <c r="E109" s="59">
        <f>B109*AF64</f>
        <v>4.995758031468147E-2</v>
      </c>
      <c r="F109" s="19" t="s">
        <v>35</v>
      </c>
      <c r="G109" s="165">
        <v>1</v>
      </c>
      <c r="H109" s="157">
        <f>G109*C109</f>
        <v>0</v>
      </c>
      <c r="I109" s="59">
        <f>G109*D109</f>
        <v>0</v>
      </c>
      <c r="J109" s="158">
        <f>G109*E109</f>
        <v>4.995758031468147E-2</v>
      </c>
      <c r="N109" t="s">
        <v>34</v>
      </c>
      <c r="S109" s="573" t="s">
        <v>483</v>
      </c>
      <c r="T109" t="s">
        <v>35</v>
      </c>
      <c r="U109" s="278">
        <v>0</v>
      </c>
      <c r="V109" s="278">
        <v>2.0455493255017183E-2</v>
      </c>
      <c r="W109" s="278">
        <v>1.4088222787226089E-2</v>
      </c>
    </row>
    <row r="110" spans="1:40">
      <c r="A110" s="31" t="s">
        <v>30</v>
      </c>
      <c r="B110" s="319">
        <f>H126+H127</f>
        <v>8.4839370637065231E-4</v>
      </c>
      <c r="C110" s="159">
        <f>B110*Q16</f>
        <v>0</v>
      </c>
      <c r="D110" s="22">
        <f>B110*AE64</f>
        <v>0</v>
      </c>
      <c r="E110" s="22">
        <f>B110*AF64</f>
        <v>4.2419685318532617E-5</v>
      </c>
      <c r="F110" s="83" t="s">
        <v>36</v>
      </c>
      <c r="G110" s="161">
        <f>I126</f>
        <v>9.0892815765216836E-2</v>
      </c>
      <c r="H110" s="159">
        <f>G110*C110</f>
        <v>0</v>
      </c>
      <c r="I110" s="22">
        <f>G110*D110</f>
        <v>0</v>
      </c>
      <c r="J110" s="89">
        <f>G110*E110</f>
        <v>3.8556446424758588E-6</v>
      </c>
      <c r="N110" t="s">
        <v>30</v>
      </c>
      <c r="S110" s="573"/>
      <c r="T110" t="s">
        <v>36</v>
      </c>
      <c r="U110" s="278">
        <v>0</v>
      </c>
      <c r="V110" s="280">
        <v>2.7834310961323972E-4</v>
      </c>
      <c r="W110" s="280">
        <v>1.9170203771834291E-4</v>
      </c>
    </row>
    <row r="111" spans="1:40" ht="15" thickBot="1">
      <c r="A111" s="26"/>
      <c r="B111" s="91"/>
      <c r="C111" s="26"/>
      <c r="D111" s="30"/>
      <c r="E111" s="30"/>
      <c r="F111" s="26" t="s">
        <v>31</v>
      </c>
      <c r="G111" s="163">
        <f>I127</f>
        <v>0.90910718423478321</v>
      </c>
      <c r="H111" s="164">
        <f>G111*C110</f>
        <v>0</v>
      </c>
      <c r="I111" s="60">
        <f>G111*D110</f>
        <v>0</v>
      </c>
      <c r="J111" s="162">
        <f>G111*E110</f>
        <v>3.856404067605676E-5</v>
      </c>
      <c r="S111" s="573"/>
      <c r="T111" t="s">
        <v>31</v>
      </c>
      <c r="U111" s="278">
        <v>0</v>
      </c>
      <c r="V111" s="278">
        <v>3.911336231775823E-3</v>
      </c>
      <c r="W111" s="278">
        <v>2.6938375693038689E-3</v>
      </c>
    </row>
    <row r="112" spans="1:40">
      <c r="G112" s="32" t="s">
        <v>326</v>
      </c>
      <c r="H112" s="2">
        <f>SUM(H105:H111)</f>
        <v>0.59523809523809501</v>
      </c>
      <c r="I112" s="2">
        <f>SUM(I105:I111)</f>
        <v>0</v>
      </c>
      <c r="J112" s="2">
        <f>SUM(J105:J111)</f>
        <v>0.65849553571428554</v>
      </c>
      <c r="K112" t="s">
        <v>328</v>
      </c>
    </row>
    <row r="113" spans="1:13">
      <c r="G113" s="32"/>
      <c r="H113" s="140"/>
      <c r="I113" s="140"/>
      <c r="J113" s="140"/>
    </row>
    <row r="114" spans="1:13">
      <c r="G114" s="32"/>
      <c r="H114" s="140"/>
      <c r="I114" s="140"/>
      <c r="J114" s="140"/>
    </row>
    <row r="115" spans="1:13">
      <c r="G115" s="32"/>
    </row>
    <row r="116" spans="1:13">
      <c r="A116" s="9" t="s">
        <v>57</v>
      </c>
    </row>
    <row r="117" spans="1:13" ht="70">
      <c r="A117" s="14" t="s">
        <v>38</v>
      </c>
      <c r="B117" s="15" t="s">
        <v>39</v>
      </c>
      <c r="C117" s="15" t="s">
        <v>40</v>
      </c>
      <c r="D117" s="15" t="s">
        <v>41</v>
      </c>
      <c r="E117" s="16" t="s">
        <v>42</v>
      </c>
      <c r="F117" s="16" t="s">
        <v>43</v>
      </c>
      <c r="G117" s="16" t="s">
        <v>44</v>
      </c>
      <c r="H117" s="16" t="s">
        <v>45</v>
      </c>
      <c r="I117" s="16" t="s">
        <v>46</v>
      </c>
      <c r="J117" s="16" t="s">
        <v>47</v>
      </c>
      <c r="K117" s="16" t="s">
        <v>48</v>
      </c>
    </row>
    <row r="118" spans="1:13" ht="24">
      <c r="A118" s="322">
        <v>2016</v>
      </c>
      <c r="B118" s="324" t="s">
        <v>50</v>
      </c>
      <c r="C118" s="323" t="s">
        <v>51</v>
      </c>
      <c r="D118" s="323" t="s">
        <v>49</v>
      </c>
      <c r="E118" s="326">
        <v>19213.12</v>
      </c>
      <c r="F118" s="326">
        <v>320.87</v>
      </c>
      <c r="G118" s="326">
        <v>4138298.861</v>
      </c>
      <c r="H118" s="326">
        <v>0</v>
      </c>
      <c r="I118" s="326">
        <v>3209.3320000000003</v>
      </c>
      <c r="J118" s="326">
        <v>0</v>
      </c>
      <c r="K118" s="325">
        <v>4161042.1830000002</v>
      </c>
      <c r="L118" s="321"/>
      <c r="M118" s="327"/>
    </row>
    <row r="119" spans="1:13">
      <c r="A119" s="329">
        <v>2016</v>
      </c>
      <c r="B119" s="331" t="s">
        <v>52</v>
      </c>
      <c r="C119" s="330" t="s">
        <v>53</v>
      </c>
      <c r="D119" s="330" t="s">
        <v>49</v>
      </c>
      <c r="E119" s="333">
        <v>609329.44999999995</v>
      </c>
      <c r="F119" s="333">
        <v>745645.32000000007</v>
      </c>
      <c r="G119" s="333">
        <v>2439508.2422000002</v>
      </c>
      <c r="H119" s="333">
        <v>137073</v>
      </c>
      <c r="I119" s="333">
        <v>28290.809999999998</v>
      </c>
      <c r="J119" s="333">
        <v>0</v>
      </c>
      <c r="K119" s="332">
        <v>3959846.8222000003</v>
      </c>
      <c r="L119" s="328"/>
      <c r="M119" s="334"/>
    </row>
    <row r="120" spans="1:13">
      <c r="C120" s="13"/>
      <c r="E120" s="11"/>
      <c r="F120" s="311"/>
      <c r="G120" s="311"/>
      <c r="H120" s="11"/>
      <c r="I120" s="311"/>
      <c r="J120" s="11"/>
    </row>
    <row r="121" spans="1:13">
      <c r="D121" s="17"/>
      <c r="F121" s="17"/>
    </row>
    <row r="122" spans="1:13">
      <c r="C122">
        <v>2016</v>
      </c>
      <c r="D122" s="564" t="s">
        <v>54</v>
      </c>
      <c r="E122" s="564"/>
      <c r="F122" s="564"/>
      <c r="G122" s="564" t="s">
        <v>55</v>
      </c>
      <c r="H122" s="564"/>
      <c r="I122" s="564"/>
    </row>
    <row r="123" spans="1:13">
      <c r="C123" s="1" t="s">
        <v>37</v>
      </c>
      <c r="D123" t="s">
        <v>56</v>
      </c>
      <c r="G123" t="s">
        <v>56</v>
      </c>
    </row>
    <row r="124" spans="1:13">
      <c r="B124" s="570" t="s">
        <v>659</v>
      </c>
      <c r="C124" s="12" t="s">
        <v>658</v>
      </c>
      <c r="D124" s="17">
        <f>G119</f>
        <v>2439508.2422000002</v>
      </c>
      <c r="E124" s="18">
        <f>D124/SUM(D124:D127)</f>
        <v>0.6381513413200226</v>
      </c>
      <c r="F124" s="277">
        <f>E124/(E124+E125)</f>
        <v>0.80014369031225263</v>
      </c>
      <c r="G124" s="17">
        <f>G118</f>
        <v>4138298.861</v>
      </c>
      <c r="H124" s="18">
        <f>G124/SUM(G124:G127)</f>
        <v>0.99453422460052954</v>
      </c>
      <c r="I124" s="276">
        <f>H124/(H124+H125)</f>
        <v>0.99537869762304843</v>
      </c>
    </row>
    <row r="125" spans="1:13">
      <c r="B125" s="570"/>
      <c r="C125" s="12" t="s">
        <v>657</v>
      </c>
      <c r="D125" s="17">
        <f>E119</f>
        <v>609329.44999999995</v>
      </c>
      <c r="E125" s="18">
        <f>D125/SUM(D124:D127)</f>
        <v>0.15939458580087579</v>
      </c>
      <c r="F125" s="277">
        <f>E125/(E124+E125)</f>
        <v>0.19985630968774726</v>
      </c>
      <c r="G125" s="17">
        <f>E118</f>
        <v>19213.12</v>
      </c>
      <c r="H125" s="18">
        <f>G125/SUM(G124:G127)</f>
        <v>4.6173816930997445E-3</v>
      </c>
      <c r="I125" s="276">
        <f>H125/(H124+H125)</f>
        <v>4.6213023769515861E-3</v>
      </c>
    </row>
    <row r="126" spans="1:13">
      <c r="B126" s="571" t="s">
        <v>660</v>
      </c>
      <c r="C126" s="12" t="s">
        <v>36</v>
      </c>
      <c r="D126" s="17">
        <f>F119</f>
        <v>745645.32000000007</v>
      </c>
      <c r="E126" s="18">
        <f>D126/SUM(D124:D127)</f>
        <v>0.19505347548155028</v>
      </c>
      <c r="F126" s="316">
        <f>E126/(E126+E127)</f>
        <v>0.96344554944088223</v>
      </c>
      <c r="G126" s="17">
        <f>F118</f>
        <v>320.87</v>
      </c>
      <c r="H126" s="18">
        <f>G126/SUM(G124:G127)</f>
        <v>7.7112892849517169E-5</v>
      </c>
      <c r="I126" s="317">
        <f>H126/(H126+H127)</f>
        <v>9.0892815765216836E-2</v>
      </c>
    </row>
    <row r="127" spans="1:13">
      <c r="B127" s="571"/>
      <c r="C127" s="12" t="s">
        <v>31</v>
      </c>
      <c r="D127" s="17">
        <f>I119</f>
        <v>28290.809999999998</v>
      </c>
      <c r="E127" s="18">
        <f>D127/SUM(D124:D127)</f>
        <v>7.4005973975511527E-3</v>
      </c>
      <c r="F127" s="316">
        <f>E127/(E126+E127)</f>
        <v>3.6554450559117838E-2</v>
      </c>
      <c r="G127" s="17">
        <f>I118</f>
        <v>3209.3320000000003</v>
      </c>
      <c r="H127" s="18">
        <f>G127/SUM(G124:G127)</f>
        <v>7.7128081352113517E-4</v>
      </c>
      <c r="I127" s="317">
        <f>H127/(H126+H127)</f>
        <v>0.90910718423478321</v>
      </c>
    </row>
    <row r="128" spans="1:13">
      <c r="D128" s="17"/>
      <c r="E128" s="3">
        <f>SUM(E124:E127)</f>
        <v>0.99999999999999989</v>
      </c>
      <c r="F128" s="17"/>
      <c r="H128" s="3">
        <f>SUM(H124:H127)</f>
        <v>1</v>
      </c>
    </row>
    <row r="129" spans="3:9">
      <c r="D129" s="17"/>
      <c r="F129" s="17"/>
    </row>
    <row r="130" spans="3:9">
      <c r="C130" s="567" t="s">
        <v>94</v>
      </c>
      <c r="D130" s="567"/>
      <c r="E130" s="567"/>
      <c r="F130" s="567"/>
      <c r="G130" s="567"/>
      <c r="H130" s="567"/>
      <c r="I130" s="567"/>
    </row>
    <row r="131" spans="3:9">
      <c r="C131" s="567"/>
      <c r="D131" s="567"/>
      <c r="E131" s="567"/>
      <c r="F131" s="567"/>
      <c r="G131" s="567"/>
      <c r="H131" s="567"/>
      <c r="I131" s="567"/>
    </row>
    <row r="132" spans="3:9" ht="60" customHeight="1">
      <c r="C132" s="567"/>
      <c r="D132" s="567"/>
      <c r="E132" s="567"/>
      <c r="F132" s="567"/>
      <c r="G132" s="567"/>
      <c r="H132" s="567"/>
      <c r="I132" s="567"/>
    </row>
  </sheetData>
  <mergeCells count="18">
    <mergeCell ref="AR56:AS56"/>
    <mergeCell ref="AT56:AT58"/>
    <mergeCell ref="S105:S108"/>
    <mergeCell ref="S109:S111"/>
    <mergeCell ref="C103:J103"/>
    <mergeCell ref="AK58:AL58"/>
    <mergeCell ref="AM58:AN58"/>
    <mergeCell ref="AI58:AJ58"/>
    <mergeCell ref="AG58:AH58"/>
    <mergeCell ref="A1:K1"/>
    <mergeCell ref="A2:K2"/>
    <mergeCell ref="T10:U10"/>
    <mergeCell ref="C130:I132"/>
    <mergeCell ref="R10:S10"/>
    <mergeCell ref="B124:B125"/>
    <mergeCell ref="B126:B127"/>
    <mergeCell ref="D122:F122"/>
    <mergeCell ref="G122:I122"/>
  </mergeCells>
  <pageMargins left="0.7" right="0.7" top="0.75" bottom="0.75" header="0.3" footer="0.3"/>
  <pageSetup paperSize="9" orientation="portrait" verticalDpi="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AE161"/>
  <sheetViews>
    <sheetView tabSelected="1" topLeftCell="L1" zoomScale="85" zoomScaleNormal="85" workbookViewId="0">
      <pane ySplit="2" topLeftCell="A61" activePane="bottomLeft" state="frozen"/>
      <selection activeCell="B59" sqref="B59"/>
      <selection pane="bottomLeft" activeCell="O78" sqref="O78"/>
    </sheetView>
  </sheetViews>
  <sheetFormatPr defaultRowHeight="14.5"/>
  <cols>
    <col min="1" max="1" width="36.7265625" style="41" customWidth="1"/>
    <col min="2" max="2" width="56" style="41" customWidth="1"/>
    <col min="3" max="3" width="25.1796875" style="41" customWidth="1"/>
    <col min="4" max="4" width="11.1796875" style="41" customWidth="1"/>
    <col min="5" max="5" width="19.54296875" style="41" customWidth="1"/>
    <col min="6" max="6" width="14.54296875" style="41" customWidth="1"/>
    <col min="7" max="7" width="17" style="41" customWidth="1"/>
    <col min="8" max="8" width="11.81640625" style="41" customWidth="1"/>
    <col min="9" max="9" width="14.1796875" style="41" customWidth="1"/>
    <col min="10" max="10" width="15.26953125" customWidth="1"/>
    <col min="11" max="11" width="10" customWidth="1"/>
    <col min="12" max="12" width="19.26953125" customWidth="1"/>
    <col min="13" max="13" width="23.1796875" customWidth="1"/>
    <col min="14" max="14" width="24.26953125" customWidth="1"/>
    <col min="15" max="15" width="16.453125" customWidth="1"/>
    <col min="16" max="16" width="14.26953125" customWidth="1"/>
    <col min="17" max="17" width="15.453125" customWidth="1"/>
    <col min="18" max="18" width="19.54296875" customWidth="1"/>
    <col min="19" max="20" width="20" customWidth="1"/>
    <col min="21" max="21" width="14.54296875" bestFit="1" customWidth="1"/>
    <col min="22" max="22" width="25.81640625" customWidth="1"/>
    <col min="23" max="23" width="9.26953125" customWidth="1"/>
    <col min="24" max="24" width="20.54296875" customWidth="1"/>
    <col min="25" max="25" width="11.81640625" bestFit="1" customWidth="1"/>
    <col min="26" max="26" width="13.54296875" customWidth="1"/>
    <col min="27" max="27" width="14.26953125" customWidth="1"/>
    <col min="28" max="28" width="13" customWidth="1"/>
    <col min="30" max="30" width="9.81640625" customWidth="1"/>
    <col min="31" max="31" width="13.54296875" customWidth="1"/>
  </cols>
  <sheetData>
    <row r="1" spans="1:31">
      <c r="L1" s="9" t="s">
        <v>1020</v>
      </c>
      <c r="Q1" s="9" t="s">
        <v>1021</v>
      </c>
      <c r="V1" s="9" t="s">
        <v>1022</v>
      </c>
    </row>
    <row r="2" spans="1:31" ht="43.5">
      <c r="A2" s="10" t="s">
        <v>69</v>
      </c>
      <c r="B2" s="10" t="s">
        <v>313</v>
      </c>
      <c r="C2" s="10" t="s">
        <v>70</v>
      </c>
      <c r="D2" s="10" t="s">
        <v>71</v>
      </c>
      <c r="E2" s="10" t="s">
        <v>141</v>
      </c>
      <c r="F2" s="10"/>
      <c r="G2" s="10" t="s">
        <v>207</v>
      </c>
      <c r="H2" s="10"/>
      <c r="I2" s="10"/>
      <c r="N2" s="10" t="s">
        <v>141</v>
      </c>
      <c r="O2" s="10" t="s">
        <v>207</v>
      </c>
      <c r="X2" s="564" t="s">
        <v>1017</v>
      </c>
      <c r="Y2" s="564"/>
      <c r="Z2" s="564"/>
      <c r="AA2" s="564"/>
    </row>
    <row r="3" spans="1:31" s="265" customFormat="1" ht="28.5" customHeight="1">
      <c r="A3" s="485" t="s">
        <v>465</v>
      </c>
      <c r="B3" s="281"/>
      <c r="C3" s="485"/>
      <c r="D3" s="485"/>
      <c r="E3" s="711"/>
      <c r="F3" s="711"/>
      <c r="G3" s="711"/>
      <c r="H3" s="485"/>
      <c r="I3" s="393"/>
      <c r="R3" s="389" t="s">
        <v>958</v>
      </c>
      <c r="S3" s="389" t="s">
        <v>127</v>
      </c>
      <c r="T3" s="389" t="s">
        <v>920</v>
      </c>
      <c r="W3" s="389" t="s">
        <v>127</v>
      </c>
      <c r="X3" s="389" t="s">
        <v>1018</v>
      </c>
      <c r="Y3" s="389" t="s">
        <v>993</v>
      </c>
      <c r="Z3" s="389" t="s">
        <v>992</v>
      </c>
      <c r="AA3" s="389" t="s">
        <v>997</v>
      </c>
      <c r="AB3" s="389"/>
      <c r="AD3" s="709" t="s">
        <v>1023</v>
      </c>
      <c r="AE3" s="710"/>
    </row>
    <row r="4" spans="1:31" s="265" customFormat="1">
      <c r="A4" s="281" t="s">
        <v>466</v>
      </c>
      <c r="B4" s="281" t="s">
        <v>425</v>
      </c>
      <c r="C4" s="479" t="e">
        <f>#REF!</f>
        <v>#REF!</v>
      </c>
      <c r="D4" s="281" t="s">
        <v>134</v>
      </c>
      <c r="E4" s="480"/>
      <c r="F4" s="480"/>
      <c r="G4" s="480" t="e">
        <f>-C4</f>
        <v>#REF!</v>
      </c>
      <c r="H4" s="481"/>
      <c r="I4" s="696"/>
      <c r="L4" s="265" t="s">
        <v>925</v>
      </c>
      <c r="M4" s="265" t="s">
        <v>245</v>
      </c>
      <c r="N4" s="550">
        <f>E13</f>
        <v>194056311.36419001</v>
      </c>
      <c r="O4" s="550">
        <f>G13</f>
        <v>17412309.757818148</v>
      </c>
      <c r="Q4" s="265" t="s">
        <v>951</v>
      </c>
      <c r="R4" s="265" t="s">
        <v>245</v>
      </c>
      <c r="S4" s="391">
        <f>N4</f>
        <v>194056311.36419001</v>
      </c>
      <c r="T4" s="391">
        <f>O4</f>
        <v>17412309.757818148</v>
      </c>
      <c r="V4" s="265" t="s">
        <v>990</v>
      </c>
      <c r="W4" s="550">
        <f>S5+S7+S6+S4</f>
        <v>1278255428.2074823</v>
      </c>
      <c r="X4" s="549">
        <f>(T5+T7+T6+T4)/1000</f>
        <v>87903.24874590087</v>
      </c>
      <c r="Y4" s="265">
        <f>(T5+T7+T4)/1000</f>
        <v>87768.375757510861</v>
      </c>
      <c r="Z4" s="549">
        <f>X4-Y4</f>
        <v>134.87298839000869</v>
      </c>
      <c r="AA4" s="697">
        <f>(T5+T6+T7)/1000/$Y$11</f>
        <v>3.6222230429100305E-2</v>
      </c>
      <c r="AD4" s="698">
        <f>(X4)/(X4+X5+X6+X7+X8)</f>
        <v>3.3963520994951917E-2</v>
      </c>
      <c r="AE4" s="699" t="s">
        <v>1012</v>
      </c>
    </row>
    <row r="5" spans="1:31" s="265" customFormat="1" ht="43.5">
      <c r="A5" s="281"/>
      <c r="B5" s="281" t="s">
        <v>421</v>
      </c>
      <c r="C5" s="281" t="e">
        <f>#REF!</f>
        <v>#REF!</v>
      </c>
      <c r="D5" s="281" t="s">
        <v>352</v>
      </c>
      <c r="E5" s="480"/>
      <c r="F5" s="480">
        <f>E4+E5</f>
        <v>0</v>
      </c>
      <c r="G5" s="480" t="e">
        <f>C5</f>
        <v>#REF!</v>
      </c>
      <c r="H5" s="482" t="e">
        <f>G4+G5</f>
        <v>#REF!</v>
      </c>
      <c r="I5" s="700"/>
      <c r="M5" s="265" t="s">
        <v>177</v>
      </c>
      <c r="N5" s="550">
        <f>E15</f>
        <v>218487005.18935066</v>
      </c>
      <c r="O5" s="550">
        <f>G15</f>
        <v>15201359.360668523</v>
      </c>
      <c r="Q5" s="265" t="s">
        <v>926</v>
      </c>
      <c r="R5" s="265" t="s">
        <v>177</v>
      </c>
      <c r="S5" s="391">
        <f t="shared" ref="S5:S6" si="0">N5</f>
        <v>218487005.18935066</v>
      </c>
      <c r="T5" s="391">
        <f t="shared" ref="T5:T6" si="1">O5</f>
        <v>15201359.360668523</v>
      </c>
      <c r="U5" s="701"/>
      <c r="V5" s="265" t="s">
        <v>991</v>
      </c>
      <c r="W5" s="550">
        <f>S8</f>
        <v>2690652285.5267277</v>
      </c>
      <c r="X5" s="549">
        <f>T8/1000</f>
        <v>165049.9380734413</v>
      </c>
      <c r="Y5" s="550">
        <f>T8/1000</f>
        <v>165049.9380734413</v>
      </c>
      <c r="Z5" s="549"/>
      <c r="AD5" s="698">
        <f>(X5)/(X4+X5+X6+X7+X8)</f>
        <v>6.3770988182438954E-2</v>
      </c>
      <c r="AE5" s="702" t="s">
        <v>1011</v>
      </c>
    </row>
    <row r="6" spans="1:31" s="265" customFormat="1" ht="29">
      <c r="A6" s="281"/>
      <c r="B6" s="281" t="s">
        <v>422</v>
      </c>
      <c r="C6" s="281" t="e">
        <f>#REF!</f>
        <v>#REF!</v>
      </c>
      <c r="D6" s="281" t="s">
        <v>352</v>
      </c>
      <c r="E6" s="281"/>
      <c r="F6" s="281"/>
      <c r="G6" s="480" t="e">
        <f t="shared" ref="G6:G7" si="2">C6</f>
        <v>#REF!</v>
      </c>
      <c r="H6" s="281"/>
      <c r="I6" s="264"/>
      <c r="M6" s="265" t="s">
        <v>76</v>
      </c>
      <c r="N6" s="550">
        <f>E17</f>
        <v>2039416.3854273849</v>
      </c>
      <c r="O6" s="550">
        <f>G17</f>
        <v>134872.98839001791</v>
      </c>
      <c r="R6" s="265" t="s">
        <v>76</v>
      </c>
      <c r="S6" s="391">
        <f t="shared" si="0"/>
        <v>2039416.3854273849</v>
      </c>
      <c r="T6" s="391">
        <f t="shared" si="1"/>
        <v>134872.98839001791</v>
      </c>
      <c r="U6" s="550"/>
      <c r="V6" s="265" t="s">
        <v>987</v>
      </c>
      <c r="W6" s="550">
        <f>S9+S10+S12+S11+S13</f>
        <v>7904901483.4000483</v>
      </c>
      <c r="X6" s="549">
        <f>(T9+T10+T12+T11+T13)/1000</f>
        <v>547919.7986580896</v>
      </c>
      <c r="Y6" s="265">
        <f>(T9+T10+T12+T11)/1000</f>
        <v>535481.22154774785</v>
      </c>
      <c r="Z6" s="549">
        <f t="shared" ref="Z6:Z7" si="3">X6-Y6</f>
        <v>12438.57711034175</v>
      </c>
      <c r="AC6" s="697"/>
      <c r="AD6" s="698">
        <f>X6/(X4+X5+X6+X7+X8)</f>
        <v>0.21170190921005799</v>
      </c>
      <c r="AE6" s="702" t="s">
        <v>1009</v>
      </c>
    </row>
    <row r="7" spans="1:31" s="265" customFormat="1" ht="29">
      <c r="A7" s="281"/>
      <c r="B7" s="281" t="s">
        <v>423</v>
      </c>
      <c r="C7" s="281" t="e">
        <f>#REF!</f>
        <v>#REF!</v>
      </c>
      <c r="D7" s="281" t="s">
        <v>352</v>
      </c>
      <c r="E7" s="281"/>
      <c r="F7" s="482">
        <f>E4+E6+E7</f>
        <v>0</v>
      </c>
      <c r="G7" s="480" t="e">
        <f t="shared" si="2"/>
        <v>#REF!</v>
      </c>
      <c r="H7" s="483" t="e">
        <f>G4+G6+G7</f>
        <v>#REF!</v>
      </c>
      <c r="I7" s="703"/>
      <c r="L7" s="265" t="s">
        <v>926</v>
      </c>
      <c r="M7" s="265" t="s">
        <v>933</v>
      </c>
      <c r="N7" s="550">
        <f>E22</f>
        <v>85009440.344047248</v>
      </c>
      <c r="O7" s="550">
        <v>390.76506923510453</v>
      </c>
      <c r="R7" s="265" t="s">
        <v>952</v>
      </c>
      <c r="S7" s="391">
        <f>N7+N8+N9+N10</f>
        <v>863672695.26851416</v>
      </c>
      <c r="T7" s="391">
        <f>O7+O8+O9+O10</f>
        <v>55154706.639024191</v>
      </c>
      <c r="V7" s="704" t="s">
        <v>988</v>
      </c>
      <c r="W7" s="550">
        <f>S14+S15</f>
        <v>17561959298.153732</v>
      </c>
      <c r="X7" s="549">
        <f>(T14+T15)/1000</f>
        <v>1561467.3118161478</v>
      </c>
      <c r="Y7" s="550">
        <f>(T14*(1-O54)+T15*(1-O53))/1000</f>
        <v>931942.64504768979</v>
      </c>
      <c r="Z7" s="549">
        <f t="shared" si="3"/>
        <v>629524.66676845797</v>
      </c>
      <c r="AD7" s="698">
        <f>X7/(X4+X5+X6+X7+X8)</f>
        <v>0.60331021417762909</v>
      </c>
      <c r="AE7" s="702" t="s">
        <v>1010</v>
      </c>
    </row>
    <row r="8" spans="1:31" s="265" customFormat="1" ht="29">
      <c r="A8" s="281" t="s">
        <v>744</v>
      </c>
      <c r="B8" s="281" t="s">
        <v>418</v>
      </c>
      <c r="C8" s="479" t="e">
        <f>#REF!*1000</f>
        <v>#REF!</v>
      </c>
      <c r="D8" s="281" t="s">
        <v>134</v>
      </c>
      <c r="E8" s="480"/>
      <c r="F8" s="480"/>
      <c r="G8" s="480" t="e">
        <f>C8</f>
        <v>#REF!</v>
      </c>
      <c r="H8" s="481"/>
      <c r="I8" s="696"/>
      <c r="M8" s="265" t="s">
        <v>934</v>
      </c>
      <c r="N8" s="550">
        <f>E24</f>
        <v>70008735.729788646</v>
      </c>
      <c r="O8" s="550">
        <f>G24</f>
        <v>4936096.1775954105</v>
      </c>
      <c r="Q8" s="265" t="s">
        <v>312</v>
      </c>
      <c r="R8" s="265" t="s">
        <v>927</v>
      </c>
      <c r="S8" s="391">
        <f>N11+N12</f>
        <v>2690652285.5267277</v>
      </c>
      <c r="T8" s="391">
        <f>O11+O12</f>
        <v>165049938.0734413</v>
      </c>
      <c r="V8" s="515" t="s">
        <v>989</v>
      </c>
      <c r="W8" s="550">
        <f>S16+S20</f>
        <v>2761762559.0951872</v>
      </c>
      <c r="X8" s="549">
        <f>(T16+T20)/1000</f>
        <v>225826.24642154807</v>
      </c>
      <c r="Y8" s="705">
        <f>(T16+T20)/1000</f>
        <v>225826.24642154807</v>
      </c>
      <c r="Z8" s="549"/>
      <c r="AD8" s="698">
        <f>X8/(X4+X5+X6+X7+X8)</f>
        <v>8.7253367434921972E-2</v>
      </c>
      <c r="AE8" s="702" t="s">
        <v>1019</v>
      </c>
    </row>
    <row r="9" spans="1:31" s="265" customFormat="1">
      <c r="A9" s="484" t="s">
        <v>72</v>
      </c>
      <c r="B9" s="484" t="s">
        <v>318</v>
      </c>
      <c r="C9" s="281">
        <v>15</v>
      </c>
      <c r="D9" s="281" t="s">
        <v>78</v>
      </c>
      <c r="E9" s="480">
        <f>C9*database!E6</f>
        <v>14113.923375313248</v>
      </c>
      <c r="F9" s="480"/>
      <c r="G9" s="480">
        <f>C9*database!M6</f>
        <v>981.98435660343705</v>
      </c>
      <c r="H9" s="281"/>
      <c r="I9" s="264"/>
      <c r="M9" s="265" t="s">
        <v>935</v>
      </c>
      <c r="N9" s="550">
        <f>E28</f>
        <v>388614584.42993021</v>
      </c>
      <c r="O9" s="550">
        <f>G28</f>
        <v>27653208.598780524</v>
      </c>
      <c r="Q9" s="265" t="s">
        <v>928</v>
      </c>
      <c r="R9" s="265" t="s">
        <v>80</v>
      </c>
      <c r="S9" s="391">
        <f>N13+N14</f>
        <v>3339757870.7987423</v>
      </c>
      <c r="T9" s="391">
        <f>O13+O14</f>
        <v>225984710.89548963</v>
      </c>
      <c r="V9" s="265" t="s">
        <v>996</v>
      </c>
      <c r="W9" s="550"/>
      <c r="X9" s="549">
        <f>AA9</f>
        <v>-6827474.550854017</v>
      </c>
      <c r="Z9" s="549"/>
      <c r="AA9" s="549">
        <f>T21/1000</f>
        <v>-6827474.550854017</v>
      </c>
      <c r="AD9" s="707">
        <f>SUM(AD4:AD8)</f>
        <v>0.99999999999999989</v>
      </c>
      <c r="AE9" s="708"/>
    </row>
    <row r="10" spans="1:31" s="265" customFormat="1">
      <c r="A10" s="484" t="s">
        <v>73</v>
      </c>
      <c r="B10" s="484" t="s">
        <v>314</v>
      </c>
      <c r="C10" s="281">
        <v>0.84</v>
      </c>
      <c r="D10" s="281" t="s">
        <v>176</v>
      </c>
      <c r="E10" s="480">
        <f>C10*database!E22</f>
        <v>128.69001508356001</v>
      </c>
      <c r="F10" s="480">
        <f>SUM(E8:E10)</f>
        <v>14242.613390396809</v>
      </c>
      <c r="G10" s="480">
        <f>C10*database!M22</f>
        <v>9.4177332823329447</v>
      </c>
      <c r="H10" s="480" t="e">
        <f>SUM(G8:G10)</f>
        <v>#REF!</v>
      </c>
      <c r="I10" s="266"/>
      <c r="M10" s="265" t="s">
        <v>936</v>
      </c>
      <c r="N10" s="550">
        <f>E30</f>
        <v>320039934.76474804</v>
      </c>
      <c r="O10" s="550">
        <f>G30</f>
        <v>22565011.097579021</v>
      </c>
      <c r="R10" s="265" t="s">
        <v>81</v>
      </c>
      <c r="S10" s="391">
        <f t="shared" ref="S10:T12" si="4">N15</f>
        <v>1825096207.2635202</v>
      </c>
      <c r="T10" s="391">
        <f t="shared" si="4"/>
        <v>124522952.83483915</v>
      </c>
      <c r="V10" s="265" t="s">
        <v>1041</v>
      </c>
      <c r="X10" s="550">
        <f>T22</f>
        <v>-421611.17859639297</v>
      </c>
    </row>
    <row r="11" spans="1:31" s="265" customFormat="1">
      <c r="A11" s="706"/>
      <c r="B11" s="264"/>
      <c r="C11" s="264"/>
      <c r="D11" s="264"/>
      <c r="E11" s="266"/>
      <c r="F11" s="264"/>
      <c r="G11" s="266"/>
      <c r="H11" s="264"/>
      <c r="I11" s="264"/>
      <c r="L11" s="265" t="s">
        <v>312</v>
      </c>
      <c r="M11" s="265" t="s">
        <v>937</v>
      </c>
      <c r="N11" s="550">
        <f>E33</f>
        <v>0</v>
      </c>
      <c r="O11" s="550">
        <f>G33</f>
        <v>0</v>
      </c>
      <c r="R11" s="265" t="s">
        <v>219</v>
      </c>
      <c r="S11" s="391">
        <f t="shared" si="4"/>
        <v>2028288117.9494061</v>
      </c>
      <c r="T11" s="391">
        <f t="shared" si="4"/>
        <v>144070550.75394577</v>
      </c>
      <c r="V11" s="265" t="s">
        <v>994</v>
      </c>
      <c r="X11" s="549">
        <f>SUM(X4:X8)</f>
        <v>2588166.5437151277</v>
      </c>
      <c r="Y11" s="549">
        <f>SUM(Y4:Y8)</f>
        <v>1946068.426847938</v>
      </c>
      <c r="Z11" s="549"/>
      <c r="AA11" s="550"/>
    </row>
    <row r="12" spans="1:31">
      <c r="A12" s="10" t="s">
        <v>178</v>
      </c>
      <c r="E12" s="253"/>
      <c r="F12" s="253"/>
      <c r="G12" s="253"/>
      <c r="M12" t="s">
        <v>938</v>
      </c>
      <c r="N12" s="186">
        <f>E35</f>
        <v>2690652285.5267277</v>
      </c>
      <c r="O12" s="186">
        <f>G35</f>
        <v>165049938.0734413</v>
      </c>
      <c r="R12" t="s">
        <v>82</v>
      </c>
      <c r="S12" s="214">
        <f t="shared" si="4"/>
        <v>545324109.13164628</v>
      </c>
      <c r="T12" s="214">
        <f t="shared" si="4"/>
        <v>40903007.063473254</v>
      </c>
      <c r="V12" s="606" t="s">
        <v>959</v>
      </c>
      <c r="W12" s="607">
        <f>S17+S18+S19</f>
        <v>49258243255.677986</v>
      </c>
      <c r="X12" s="608">
        <f>(T17+T18+T19)/1000</f>
        <v>4127664.5681346911</v>
      </c>
    </row>
    <row r="13" spans="1:31">
      <c r="A13" s="44" t="s">
        <v>245</v>
      </c>
      <c r="B13" s="41" t="s">
        <v>298</v>
      </c>
      <c r="C13" s="41">
        <f>25000*C_model!Z120</f>
        <v>387006148.78551</v>
      </c>
      <c r="D13" s="41" t="s">
        <v>74</v>
      </c>
      <c r="E13" s="253">
        <f>C13*database!E5</f>
        <v>194056311.36419001</v>
      </c>
      <c r="F13" s="253"/>
      <c r="G13" s="253">
        <f>C13*database!M5</f>
        <v>17412309.757818148</v>
      </c>
      <c r="L13" t="s">
        <v>928</v>
      </c>
      <c r="M13" t="s">
        <v>939</v>
      </c>
      <c r="N13" s="186">
        <f>E38</f>
        <v>0</v>
      </c>
      <c r="O13" s="186">
        <f>G38</f>
        <v>0</v>
      </c>
      <c r="R13" t="s">
        <v>953</v>
      </c>
      <c r="S13" s="214">
        <f>N18+N19</f>
        <v>166435178.25673392</v>
      </c>
      <c r="T13" s="214">
        <f>O18+O19</f>
        <v>12438577.110341862</v>
      </c>
      <c r="V13" t="s">
        <v>1069</v>
      </c>
      <c r="W13" s="515"/>
      <c r="X13" s="539">
        <f>T23/1000</f>
        <v>-111541.26415725841</v>
      </c>
      <c r="Y13" s="515"/>
      <c r="Z13" s="515"/>
      <c r="AA13" s="515"/>
    </row>
    <row r="14" spans="1:31">
      <c r="A14" s="44"/>
      <c r="B14" s="281" t="s">
        <v>299</v>
      </c>
      <c r="C14" s="281">
        <f>25000</f>
        <v>25000</v>
      </c>
      <c r="D14" s="281" t="s">
        <v>74</v>
      </c>
      <c r="E14" s="480">
        <f>C14*database!E5</f>
        <v>12535.738254622773</v>
      </c>
      <c r="F14" s="480"/>
      <c r="G14" s="480">
        <f>C14*database!M5</f>
        <v>1124.8083404140275</v>
      </c>
      <c r="M14" t="s">
        <v>940</v>
      </c>
      <c r="N14" s="186">
        <f>E40</f>
        <v>3339757870.7987423</v>
      </c>
      <c r="O14" s="186">
        <f>G40</f>
        <v>225984710.89548963</v>
      </c>
      <c r="Q14" s="476" t="s">
        <v>235</v>
      </c>
      <c r="R14" t="s">
        <v>235</v>
      </c>
      <c r="S14" s="214">
        <f>(M54+M55)*database!E15</f>
        <v>16104108422.913343</v>
      </c>
      <c r="T14" s="214">
        <f>(M54+M55)*database!M15</f>
        <v>895116145.86902523</v>
      </c>
      <c r="V14" t="s">
        <v>1093</v>
      </c>
      <c r="W14" s="515"/>
      <c r="X14" s="539">
        <f>T24</f>
        <v>-1415163.08759224</v>
      </c>
      <c r="Y14" s="539"/>
      <c r="Z14" s="515"/>
      <c r="AA14" s="515"/>
    </row>
    <row r="15" spans="1:31" ht="43.5">
      <c r="A15" s="41" t="s">
        <v>177</v>
      </c>
      <c r="B15" s="41" t="s">
        <v>300</v>
      </c>
      <c r="C15" s="41">
        <f>15*C_model!Z120</f>
        <v>232203.68927130601</v>
      </c>
      <c r="D15" s="41" t="s">
        <v>75</v>
      </c>
      <c r="E15" s="253">
        <f>C15*database!E6</f>
        <v>218487005.18935066</v>
      </c>
      <c r="F15" s="253"/>
      <c r="G15" s="253">
        <f>C15*database!M6</f>
        <v>15201359.360668523</v>
      </c>
      <c r="M15" t="s">
        <v>81</v>
      </c>
      <c r="N15" s="186">
        <f>E43</f>
        <v>1825096207.2635202</v>
      </c>
      <c r="O15" s="186">
        <f>G43</f>
        <v>124522952.83483915</v>
      </c>
      <c r="Q15" s="476" t="s">
        <v>240</v>
      </c>
      <c r="R15" t="s">
        <v>240</v>
      </c>
      <c r="S15" s="214">
        <f>M53*database!E16</f>
        <v>1457850875.2403891</v>
      </c>
      <c r="T15" s="214">
        <f>M53*database!M35*(1-0.5*0.5)</f>
        <v>666351165.94712269</v>
      </c>
      <c r="V15" s="515"/>
      <c r="W15" s="515"/>
      <c r="X15" s="539"/>
      <c r="Y15" s="539"/>
      <c r="Z15" s="515"/>
      <c r="AA15" s="515"/>
    </row>
    <row r="16" spans="1:31">
      <c r="B16" s="281" t="s">
        <v>301</v>
      </c>
      <c r="C16" s="281">
        <f>15</f>
        <v>15</v>
      </c>
      <c r="D16" s="281" t="s">
        <v>75</v>
      </c>
      <c r="E16" s="480">
        <f>C16*database!E6</f>
        <v>14113.923375313248</v>
      </c>
      <c r="F16" s="480"/>
      <c r="G16" s="480">
        <f>C16*database!M6</f>
        <v>981.98435660343705</v>
      </c>
      <c r="M16" t="s">
        <v>219</v>
      </c>
      <c r="N16" s="186">
        <f>E46</f>
        <v>2028288117.9494061</v>
      </c>
      <c r="O16" s="186">
        <f>G46</f>
        <v>144070550.75394577</v>
      </c>
      <c r="Q16" t="s">
        <v>1114</v>
      </c>
      <c r="R16" t="s">
        <v>954</v>
      </c>
      <c r="S16" s="214">
        <f>N24+N25+N26+N27</f>
        <v>931090538.54071927</v>
      </c>
      <c r="T16" s="214">
        <f>O24+O25+O26+O27</f>
        <v>75805200.397310123</v>
      </c>
      <c r="V16" s="515"/>
      <c r="W16" s="515"/>
      <c r="X16" s="515"/>
      <c r="Y16" s="515"/>
      <c r="Z16" s="515"/>
      <c r="AA16" s="515"/>
    </row>
    <row r="17" spans="1:27">
      <c r="A17" s="41" t="s">
        <v>76</v>
      </c>
      <c r="B17" s="8" t="s">
        <v>302</v>
      </c>
      <c r="C17" s="41">
        <f>0.832*C_model!Z120</f>
        <v>12879.564631581772</v>
      </c>
      <c r="D17" s="41" t="s">
        <v>176</v>
      </c>
      <c r="E17" s="253">
        <f>C17*database!E21</f>
        <v>2039416.3854273849</v>
      </c>
      <c r="F17" s="253"/>
      <c r="G17" s="253">
        <f>C17*database!M21</f>
        <v>134872.98839001791</v>
      </c>
      <c r="M17" t="s">
        <v>82</v>
      </c>
      <c r="N17" s="186">
        <f>E49</f>
        <v>545324109.13164628</v>
      </c>
      <c r="O17" s="186">
        <f>G49</f>
        <v>40903007.063473254</v>
      </c>
      <c r="Q17" s="606" t="s">
        <v>268</v>
      </c>
      <c r="R17" s="555" t="s">
        <v>956</v>
      </c>
      <c r="S17" s="609">
        <f>J40*1000000*database!E19</f>
        <v>12080581637.779984</v>
      </c>
      <c r="T17" s="609">
        <f>J40*1000000*database!M19</f>
        <v>1054439338.8607237</v>
      </c>
      <c r="V17" s="515"/>
      <c r="W17" s="515"/>
      <c r="X17" s="515"/>
      <c r="Y17" s="515"/>
      <c r="Z17" s="515"/>
      <c r="AA17" s="515"/>
    </row>
    <row r="18" spans="1:27">
      <c r="B18" s="484" t="s">
        <v>303</v>
      </c>
      <c r="C18" s="281">
        <f>0.832</f>
        <v>0.83199999999999996</v>
      </c>
      <c r="D18" s="281" t="s">
        <v>176</v>
      </c>
      <c r="E18" s="480">
        <f>C18*database!E21</f>
        <v>131.74315135737601</v>
      </c>
      <c r="F18" s="480">
        <f>SUM(E13:E18)</f>
        <v>414609514.34374934</v>
      </c>
      <c r="G18" s="480">
        <f>C18*database!M21</f>
        <v>8.7125869196957151</v>
      </c>
      <c r="H18" s="480">
        <f>SUM(G13:G18)</f>
        <v>32750657.612160631</v>
      </c>
      <c r="I18" s="480"/>
      <c r="M18" t="s">
        <v>941</v>
      </c>
      <c r="N18" s="186">
        <f>E52</f>
        <v>0</v>
      </c>
      <c r="O18" s="186">
        <f>G52</f>
        <v>0</v>
      </c>
      <c r="Q18" s="555"/>
      <c r="R18" s="555" t="s">
        <v>518</v>
      </c>
      <c r="S18" s="555">
        <f>J41*1000000*database!E18</f>
        <v>15574753051.750002</v>
      </c>
      <c r="T18" s="555">
        <f>J41*1000000*database!M18</f>
        <v>1320341249.9079504</v>
      </c>
      <c r="V18" s="515"/>
      <c r="W18" s="515"/>
      <c r="X18" s="392"/>
      <c r="Y18" s="515"/>
      <c r="Z18" s="515"/>
      <c r="AA18" s="515"/>
    </row>
    <row r="19" spans="1:27">
      <c r="E19" s="253"/>
      <c r="G19" s="253"/>
      <c r="M19" t="s">
        <v>942</v>
      </c>
      <c r="N19" s="186">
        <f>E54</f>
        <v>166435178.25673392</v>
      </c>
      <c r="O19" s="186">
        <f>G54</f>
        <v>12438577.110341862</v>
      </c>
      <c r="Q19" s="555"/>
      <c r="R19" s="555" t="s">
        <v>957</v>
      </c>
      <c r="S19" s="609">
        <f>J39*1000000*database!E17</f>
        <v>21602908566.148003</v>
      </c>
      <c r="T19" s="609">
        <f>J39*1000000*database!M17</f>
        <v>1752883979.3660173</v>
      </c>
      <c r="V19" s="515"/>
      <c r="W19" s="515"/>
      <c r="X19" s="392"/>
      <c r="Y19" s="515"/>
      <c r="Z19" s="515"/>
      <c r="AA19" s="515"/>
    </row>
    <row r="20" spans="1:27">
      <c r="A20" s="485" t="s">
        <v>179</v>
      </c>
      <c r="B20" s="281" t="s">
        <v>319</v>
      </c>
      <c r="C20" s="479">
        <f>-C_model!K109</f>
        <v>-11759638.738604793</v>
      </c>
      <c r="D20" s="281" t="s">
        <v>79</v>
      </c>
      <c r="E20" s="480">
        <v>0</v>
      </c>
      <c r="F20" s="480">
        <f>E20</f>
        <v>0</v>
      </c>
      <c r="G20" s="480">
        <f>C20*1000</f>
        <v>-11759638738.604794</v>
      </c>
      <c r="H20" s="482">
        <f>G20</f>
        <v>-11759638738.604794</v>
      </c>
      <c r="I20" s="482"/>
      <c r="L20" t="s">
        <v>235</v>
      </c>
      <c r="M20" t="s">
        <v>943</v>
      </c>
      <c r="N20" s="186">
        <f>E56</f>
        <v>0</v>
      </c>
      <c r="O20" s="186">
        <f>G56</f>
        <v>0</v>
      </c>
      <c r="Q20" s="476" t="s">
        <v>1113</v>
      </c>
      <c r="R20" t="s">
        <v>955</v>
      </c>
      <c r="S20" s="214">
        <f>N69*database!E28</f>
        <v>1830672020.5544677</v>
      </c>
      <c r="T20" s="214">
        <f>N69*database!M28</f>
        <v>150021046.02423796</v>
      </c>
      <c r="V20" s="704" t="s">
        <v>1117</v>
      </c>
      <c r="W20" s="515"/>
      <c r="X20" s="515"/>
      <c r="Y20" s="515"/>
      <c r="Z20" s="515"/>
      <c r="AA20" s="515"/>
    </row>
    <row r="21" spans="1:27">
      <c r="A21" s="42"/>
      <c r="C21" s="48"/>
      <c r="E21" s="253"/>
      <c r="F21" s="253"/>
      <c r="G21" s="253"/>
      <c r="M21" t="s">
        <v>944</v>
      </c>
      <c r="N21" s="186">
        <f>E58</f>
        <v>5656006739.2529058</v>
      </c>
      <c r="O21" s="186">
        <f>G58</f>
        <v>314378344.98467696</v>
      </c>
      <c r="Q21" t="s">
        <v>996</v>
      </c>
      <c r="T21" s="370">
        <f>N70+G130+G135+O110</f>
        <v>-6827474550.8540173</v>
      </c>
      <c r="U21" s="256">
        <v>30</v>
      </c>
      <c r="V21" s="712">
        <v>-2401329803.0459399</v>
      </c>
      <c r="W21" s="515"/>
      <c r="X21" s="515"/>
      <c r="Y21" s="515"/>
      <c r="Z21" s="515"/>
      <c r="AA21" s="515"/>
    </row>
    <row r="22" spans="1:27">
      <c r="A22" s="10" t="s">
        <v>77</v>
      </c>
      <c r="B22" s="41" t="s">
        <v>304</v>
      </c>
      <c r="C22" s="41">
        <f>7*C_model!Z120</f>
        <v>108361.72165994281</v>
      </c>
      <c r="D22" s="41" t="s">
        <v>78</v>
      </c>
      <c r="E22" s="253">
        <f>C22*database!E8</f>
        <v>85009440.344047248</v>
      </c>
      <c r="F22" s="253"/>
      <c r="G22" s="253">
        <f>C22*database!M8</f>
        <v>6049139.38098324</v>
      </c>
      <c r="H22" s="42"/>
      <c r="I22" s="42"/>
      <c r="L22" t="s">
        <v>240</v>
      </c>
      <c r="M22" t="s">
        <v>945</v>
      </c>
      <c r="N22" s="186">
        <f>E61</f>
        <v>0</v>
      </c>
      <c r="O22" s="186">
        <f>G61</f>
        <v>0</v>
      </c>
      <c r="Q22" t="s">
        <v>1041</v>
      </c>
      <c r="S22" s="214"/>
      <c r="T22" s="214">
        <f>O78</f>
        <v>-421611.17859639297</v>
      </c>
      <c r="V22" s="515"/>
      <c r="W22" s="515"/>
      <c r="X22" s="515"/>
      <c r="Y22" s="515"/>
      <c r="Z22" s="515"/>
      <c r="AA22" s="515"/>
    </row>
    <row r="23" spans="1:27">
      <c r="A23" s="42"/>
      <c r="B23" s="281" t="s">
        <v>305</v>
      </c>
      <c r="C23" s="281">
        <v>7</v>
      </c>
      <c r="D23" s="281" t="s">
        <v>78</v>
      </c>
      <c r="E23" s="480">
        <f>C23*database!E8</f>
        <v>5491.4786632474106</v>
      </c>
      <c r="F23" s="480"/>
      <c r="G23" s="480">
        <f>C23*database!M8</f>
        <v>390.76506923510453</v>
      </c>
      <c r="H23" s="281"/>
      <c r="I23" s="281"/>
      <c r="M23" t="s">
        <v>946</v>
      </c>
      <c r="N23" s="186">
        <f>E63</f>
        <v>506940437.23458743</v>
      </c>
      <c r="O23" s="186">
        <f>G63</f>
        <v>46791177.537805088</v>
      </c>
      <c r="Q23" t="s">
        <v>1069</v>
      </c>
      <c r="S23" s="214"/>
      <c r="T23" s="214">
        <f>O110</f>
        <v>-111541264.15725841</v>
      </c>
      <c r="V23" s="515"/>
      <c r="W23" s="515"/>
      <c r="X23" s="540"/>
      <c r="Y23" s="515"/>
      <c r="Z23" s="515"/>
      <c r="AA23" s="515"/>
    </row>
    <row r="24" spans="1:27">
      <c r="A24" s="42"/>
      <c r="B24" s="41" t="s">
        <v>306</v>
      </c>
      <c r="C24" s="41">
        <f>7*C_model!Z120</f>
        <v>108361.72165994281</v>
      </c>
      <c r="D24" s="41" t="s">
        <v>78</v>
      </c>
      <c r="E24" s="253">
        <f>C24*database!E7</f>
        <v>70008735.729788646</v>
      </c>
      <c r="F24" s="253"/>
      <c r="G24" s="253">
        <f>C24*database!M7</f>
        <v>4936096.1775954105</v>
      </c>
      <c r="H24" s="42"/>
      <c r="I24" s="42"/>
      <c r="L24" t="s">
        <v>321</v>
      </c>
      <c r="M24" t="s">
        <v>947</v>
      </c>
      <c r="N24" s="186">
        <f>E68</f>
        <v>0</v>
      </c>
      <c r="O24" s="186">
        <f>G68</f>
        <v>0</v>
      </c>
      <c r="Q24" t="s">
        <v>1093</v>
      </c>
      <c r="T24" s="370">
        <f>R87</f>
        <v>-1415163.08759224</v>
      </c>
      <c r="V24" s="515"/>
      <c r="W24" s="515"/>
      <c r="X24" s="515"/>
      <c r="Y24" s="515"/>
      <c r="Z24" s="515"/>
      <c r="AA24" s="515"/>
    </row>
    <row r="25" spans="1:27">
      <c r="A25" s="42"/>
      <c r="B25" s="281" t="s">
        <v>307</v>
      </c>
      <c r="C25" s="281">
        <v>7</v>
      </c>
      <c r="D25" s="281" t="s">
        <v>78</v>
      </c>
      <c r="E25" s="480">
        <f>C25*database!E7</f>
        <v>4522.4562936201246</v>
      </c>
      <c r="F25" s="480">
        <f>SUM(E22:E25)</f>
        <v>155028190.00879276</v>
      </c>
      <c r="G25" s="480">
        <f>C25*database!M7</f>
        <v>318.86419589751387</v>
      </c>
      <c r="H25" s="480">
        <f>SUM(G22:G25)</f>
        <v>10985945.187843785</v>
      </c>
      <c r="I25" s="480"/>
      <c r="M25" t="s">
        <v>948</v>
      </c>
      <c r="N25" s="186">
        <f>E70</f>
        <v>68814641.681159705</v>
      </c>
      <c r="O25" s="186">
        <f>G70</f>
        <v>5142880.4645571876</v>
      </c>
      <c r="V25" s="515"/>
      <c r="W25" s="515"/>
      <c r="X25" s="515"/>
      <c r="Y25" s="515"/>
      <c r="Z25" s="515"/>
      <c r="AA25" s="515"/>
    </row>
    <row r="26" spans="1:27" s="265" customFormat="1">
      <c r="A26" s="264"/>
      <c r="C26" s="264"/>
      <c r="D26" s="264"/>
      <c r="E26" s="266"/>
      <c r="G26" s="266"/>
      <c r="L26"/>
      <c r="M26" t="s">
        <v>950</v>
      </c>
      <c r="N26" s="186">
        <f>E72</f>
        <v>0</v>
      </c>
      <c r="O26" s="186">
        <f>G72</f>
        <v>0</v>
      </c>
      <c r="V26" s="541"/>
      <c r="W26" s="542"/>
      <c r="X26" s="515"/>
      <c r="Y26" s="515"/>
      <c r="Z26" s="515"/>
      <c r="AA26" s="515"/>
    </row>
    <row r="27" spans="1:27">
      <c r="C27" s="47"/>
      <c r="D27" s="46"/>
      <c r="E27" s="253"/>
      <c r="F27" s="253"/>
      <c r="G27" s="253"/>
      <c r="M27" t="s">
        <v>949</v>
      </c>
      <c r="N27" s="186">
        <f>E74</f>
        <v>862275896.85955954</v>
      </c>
      <c r="O27" s="186">
        <f>G74</f>
        <v>70662319.932752937</v>
      </c>
      <c r="V27" s="541"/>
      <c r="W27" s="515"/>
      <c r="X27" s="515"/>
      <c r="Y27" s="515"/>
      <c r="Z27" s="515"/>
      <c r="AA27" s="515"/>
    </row>
    <row r="28" spans="1:27">
      <c r="A28" s="10" t="s">
        <v>180</v>
      </c>
      <c r="B28" s="41" t="s">
        <v>309</v>
      </c>
      <c r="C28" s="41">
        <f>32*C_model!Z120</f>
        <v>495367.87044545281</v>
      </c>
      <c r="D28" s="41" t="s">
        <v>78</v>
      </c>
      <c r="E28" s="253">
        <f>C28*database!E8</f>
        <v>388614584.42993021</v>
      </c>
      <c r="F28" s="253"/>
      <c r="G28" s="253">
        <f>C28*database!M8</f>
        <v>27653208.598780524</v>
      </c>
      <c r="H28" s="42"/>
      <c r="I28" s="42"/>
      <c r="L28" t="s">
        <v>268</v>
      </c>
      <c r="M28" t="s">
        <v>522</v>
      </c>
      <c r="N28" s="186">
        <f>E90</f>
        <v>1977732534.5246909</v>
      </c>
      <c r="O28" s="186">
        <f>G90</f>
        <v>172624054.75791201</v>
      </c>
      <c r="V28" s="541"/>
      <c r="W28" s="543"/>
      <c r="X28" s="515"/>
      <c r="Y28" s="515"/>
      <c r="Z28" s="515"/>
      <c r="AA28" s="515"/>
    </row>
    <row r="29" spans="1:27">
      <c r="A29" s="42"/>
      <c r="B29" s="281" t="s">
        <v>308</v>
      </c>
      <c r="C29" s="281">
        <v>32</v>
      </c>
      <c r="D29" s="281" t="s">
        <v>78</v>
      </c>
      <c r="E29" s="480">
        <f>C29*database!E8</f>
        <v>25103.902460559591</v>
      </c>
      <c r="F29" s="480"/>
      <c r="G29" s="480">
        <f>C29*database!M8</f>
        <v>1786.3546022176208</v>
      </c>
      <c r="H29" s="281"/>
      <c r="I29" s="281"/>
      <c r="M29" t="s">
        <v>277</v>
      </c>
      <c r="N29" s="186">
        <f>E92</f>
        <v>1563571068.8812127</v>
      </c>
      <c r="O29" s="186">
        <f>G92</f>
        <v>126869892.02633929</v>
      </c>
      <c r="V29" s="515"/>
      <c r="W29" s="515"/>
      <c r="X29" s="515"/>
      <c r="Y29" s="515"/>
      <c r="Z29" s="515"/>
      <c r="AA29" s="515"/>
    </row>
    <row r="30" spans="1:27">
      <c r="A30" s="42"/>
      <c r="B30" s="41" t="s">
        <v>310</v>
      </c>
      <c r="C30" s="41">
        <f>32*C_model!Z120</f>
        <v>495367.87044545281</v>
      </c>
      <c r="D30" s="41" t="s">
        <v>78</v>
      </c>
      <c r="E30" s="253">
        <f>C30*database!E7</f>
        <v>320039934.76474804</v>
      </c>
      <c r="F30" s="253"/>
      <c r="G30" s="253">
        <f>C30*database!M7</f>
        <v>22565011.097579021</v>
      </c>
      <c r="H30" s="42"/>
      <c r="I30" s="42"/>
      <c r="L30" t="s">
        <v>929</v>
      </c>
      <c r="M30" t="s">
        <v>410</v>
      </c>
      <c r="N30" s="186">
        <f>E104</f>
        <v>16562922888.662674</v>
      </c>
      <c r="O30" s="186">
        <f>G104</f>
        <v>920618472.69552326</v>
      </c>
      <c r="V30" s="515"/>
      <c r="W30" s="515"/>
      <c r="X30" s="515"/>
      <c r="Y30" s="515"/>
      <c r="Z30" s="515"/>
      <c r="AA30" s="515"/>
    </row>
    <row r="31" spans="1:27">
      <c r="A31" s="42"/>
      <c r="B31" s="281" t="s">
        <v>311</v>
      </c>
      <c r="C31" s="281">
        <v>32</v>
      </c>
      <c r="D31" s="281" t="s">
        <v>78</v>
      </c>
      <c r="E31" s="480">
        <f>C31*database!E7</f>
        <v>20674.085913691997</v>
      </c>
      <c r="F31" s="480">
        <f>SUM(E28:E31)</f>
        <v>708700297.18305254</v>
      </c>
      <c r="G31" s="480">
        <f>C31*database!M7</f>
        <v>1457.664895531492</v>
      </c>
      <c r="H31" s="480">
        <f>SUM(G28:G31)</f>
        <v>50221463.715857297</v>
      </c>
      <c r="I31" s="480"/>
      <c r="L31" t="s">
        <v>930</v>
      </c>
      <c r="M31" t="s">
        <v>283</v>
      </c>
      <c r="N31" s="186">
        <f>E107</f>
        <v>58183705.584649466</v>
      </c>
      <c r="O31" s="186">
        <f>G107</f>
        <v>4348374.6408689851</v>
      </c>
      <c r="V31" s="515"/>
      <c r="W31" s="515"/>
      <c r="X31" s="539"/>
      <c r="Y31" s="539"/>
      <c r="Z31" s="515"/>
      <c r="AA31" s="515"/>
    </row>
    <row r="32" spans="1:27">
      <c r="A32" s="42"/>
      <c r="E32" s="253"/>
      <c r="G32" s="253"/>
      <c r="L32" t="s">
        <v>931</v>
      </c>
      <c r="M32" t="s">
        <v>283</v>
      </c>
      <c r="N32" s="186">
        <f>E112</f>
        <v>98876801.183920816</v>
      </c>
      <c r="O32" s="186">
        <f>G112</f>
        <v>7389583.9138825797</v>
      </c>
      <c r="V32" s="515"/>
      <c r="W32" s="515"/>
      <c r="X32" s="539"/>
      <c r="Y32" s="539"/>
      <c r="Z32" s="515"/>
      <c r="AA32" s="515"/>
    </row>
    <row r="33" spans="1:15">
      <c r="A33" s="10" t="s">
        <v>1099</v>
      </c>
      <c r="B33" s="41" t="s">
        <v>296</v>
      </c>
      <c r="C33" s="75">
        <f>material_flow!B7*100</f>
        <v>0</v>
      </c>
      <c r="D33" s="41" t="s">
        <v>293</v>
      </c>
      <c r="E33" s="253">
        <f>C33*database!E20</f>
        <v>0</v>
      </c>
      <c r="F33" s="253"/>
      <c r="G33" s="253">
        <f>C33*database!M20</f>
        <v>0</v>
      </c>
      <c r="L33" t="s">
        <v>932</v>
      </c>
      <c r="M33" t="s">
        <v>518</v>
      </c>
      <c r="N33" s="186">
        <f>E117</f>
        <v>1243240557.3313415</v>
      </c>
      <c r="O33" s="186">
        <f>G117</f>
        <v>105395044.52808507</v>
      </c>
    </row>
    <row r="34" spans="1:15">
      <c r="B34" s="281" t="s">
        <v>294</v>
      </c>
      <c r="C34" s="486">
        <f>material_flow!B8*240</f>
        <v>0</v>
      </c>
      <c r="D34" s="281" t="s">
        <v>293</v>
      </c>
      <c r="E34" s="480">
        <f>C34*database!E20</f>
        <v>0</v>
      </c>
      <c r="F34" s="480"/>
      <c r="G34" s="480">
        <f>C34*database!M20</f>
        <v>0</v>
      </c>
      <c r="H34" s="281"/>
      <c r="I34" s="281"/>
      <c r="M34" t="s">
        <v>277</v>
      </c>
      <c r="N34" s="186">
        <f>E118</f>
        <v>1270634556.185529</v>
      </c>
      <c r="O34" s="186">
        <f>G118</f>
        <v>103100698.23915413</v>
      </c>
    </row>
    <row r="35" spans="1:15">
      <c r="B35" s="41" t="s">
        <v>295</v>
      </c>
      <c r="C35" s="75">
        <f>(material_flow!B41)*200</f>
        <v>1909601141.7023177</v>
      </c>
      <c r="D35" s="41" t="s">
        <v>293</v>
      </c>
      <c r="E35" s="253">
        <f>C35*database!E20</f>
        <v>2690652285.5267277</v>
      </c>
      <c r="F35" s="253"/>
      <c r="G35" s="253">
        <f>C35*database!M20</f>
        <v>165049938.0734413</v>
      </c>
    </row>
    <row r="36" spans="1:15">
      <c r="B36" s="281" t="s">
        <v>297</v>
      </c>
      <c r="C36" s="486">
        <f>(material_flow!B42)*240</f>
        <v>0</v>
      </c>
      <c r="D36" s="281" t="s">
        <v>293</v>
      </c>
      <c r="E36" s="480">
        <f>C36*database!E20</f>
        <v>0</v>
      </c>
      <c r="F36" s="480">
        <f>SUM(E33:E36)</f>
        <v>2690652285.5267277</v>
      </c>
      <c r="G36" s="480">
        <f>C36*database!M20</f>
        <v>0</v>
      </c>
      <c r="H36" s="480">
        <f>SUM(G33:G36)</f>
        <v>165049938.0734413</v>
      </c>
      <c r="I36" s="480"/>
    </row>
    <row r="37" spans="1:15">
      <c r="C37" s="48"/>
      <c r="D37" s="46"/>
      <c r="E37" s="253"/>
      <c r="G37" s="253"/>
    </row>
    <row r="38" spans="1:15" ht="15" customHeight="1">
      <c r="A38" s="49" t="s">
        <v>80</v>
      </c>
      <c r="B38" s="41" t="s">
        <v>185</v>
      </c>
      <c r="C38" s="147">
        <f>material_flow!J20</f>
        <v>0</v>
      </c>
      <c r="D38" s="41" t="s">
        <v>159</v>
      </c>
      <c r="E38" s="253">
        <f>C38*database!E9</f>
        <v>0</v>
      </c>
      <c r="F38" s="253"/>
      <c r="G38" s="253">
        <f>C38*database!M9</f>
        <v>0</v>
      </c>
      <c r="I38" s="1" t="s">
        <v>972</v>
      </c>
    </row>
    <row r="39" spans="1:15">
      <c r="B39" s="281" t="s">
        <v>186</v>
      </c>
      <c r="C39" s="482">
        <f>material_flow!J21</f>
        <v>0</v>
      </c>
      <c r="D39" s="281" t="s">
        <v>159</v>
      </c>
      <c r="E39" s="480">
        <f>C39*database!E9</f>
        <v>0</v>
      </c>
      <c r="F39" s="480"/>
      <c r="G39" s="480">
        <f>C39*database!M9</f>
        <v>0</v>
      </c>
      <c r="H39" s="281"/>
      <c r="I39" t="s">
        <v>971</v>
      </c>
      <c r="J39">
        <v>1900</v>
      </c>
    </row>
    <row r="40" spans="1:15">
      <c r="B40" s="41" t="s">
        <v>187</v>
      </c>
      <c r="C40" s="48">
        <f>material_flow!M83</f>
        <v>11173323.398534236</v>
      </c>
      <c r="D40" s="41" t="s">
        <v>159</v>
      </c>
      <c r="E40" s="253">
        <f>C40*database!E9</f>
        <v>3339757870.7987423</v>
      </c>
      <c r="F40" s="253"/>
      <c r="G40" s="253">
        <f>C40*database!M9</f>
        <v>225984710.89548963</v>
      </c>
      <c r="I40" t="s">
        <v>968</v>
      </c>
      <c r="J40">
        <v>750</v>
      </c>
    </row>
    <row r="41" spans="1:15">
      <c r="B41" s="281" t="s">
        <v>188</v>
      </c>
      <c r="C41" s="479">
        <f>material_flow!M84</f>
        <v>0</v>
      </c>
      <c r="D41" s="281" t="s">
        <v>159</v>
      </c>
      <c r="E41" s="480">
        <f>C41*database!E9</f>
        <v>0</v>
      </c>
      <c r="F41" s="480">
        <f>SUM(E38:E41)</f>
        <v>3339757870.7987423</v>
      </c>
      <c r="G41" s="480">
        <f>C41*database!M9</f>
        <v>0</v>
      </c>
      <c r="H41" s="480">
        <f>SUM(G38:G41)</f>
        <v>225984710.89548963</v>
      </c>
      <c r="I41" t="s">
        <v>969</v>
      </c>
      <c r="J41">
        <v>1250</v>
      </c>
    </row>
    <row r="42" spans="1:15">
      <c r="C42" s="48"/>
      <c r="E42" s="253"/>
      <c r="G42" s="253"/>
      <c r="I42" t="s">
        <v>970</v>
      </c>
      <c r="J42">
        <f>SUM(J39:J41)</f>
        <v>3900</v>
      </c>
    </row>
    <row r="43" spans="1:15">
      <c r="A43" s="10" t="s">
        <v>81</v>
      </c>
      <c r="B43" s="41" t="s">
        <v>217</v>
      </c>
      <c r="C43" s="147">
        <f>material_flow!X82</f>
        <v>5031065.1236806633</v>
      </c>
      <c r="D43" s="41" t="s">
        <v>159</v>
      </c>
      <c r="E43" s="253">
        <f>C43*database!E10</f>
        <v>1825096207.2635202</v>
      </c>
      <c r="F43" s="253"/>
      <c r="G43" s="253">
        <f>C43*database!M10</f>
        <v>124522952.83483915</v>
      </c>
    </row>
    <row r="44" spans="1:15">
      <c r="B44" s="281" t="s">
        <v>218</v>
      </c>
      <c r="C44" s="482">
        <f>material_flow!X83</f>
        <v>0</v>
      </c>
      <c r="D44" s="281" t="s">
        <v>159</v>
      </c>
      <c r="E44" s="480">
        <f>C44*database!E10</f>
        <v>0</v>
      </c>
      <c r="F44" s="480">
        <f>SUM(E43:E44)</f>
        <v>1825096207.2635202</v>
      </c>
      <c r="G44" s="480">
        <f>C44*database!M10</f>
        <v>0</v>
      </c>
      <c r="H44" s="480">
        <f>SUM(G43:G44)</f>
        <v>124522952.83483915</v>
      </c>
      <c r="I44" s="480"/>
    </row>
    <row r="45" spans="1:15">
      <c r="E45" s="253"/>
      <c r="G45" s="253"/>
      <c r="L45" s="9" t="s">
        <v>1014</v>
      </c>
    </row>
    <row r="46" spans="1:15">
      <c r="A46" s="10" t="s">
        <v>219</v>
      </c>
      <c r="B46" s="41" t="s">
        <v>220</v>
      </c>
      <c r="C46" s="147">
        <f>material_flow!X82</f>
        <v>5031065.1236806633</v>
      </c>
      <c r="D46" s="41" t="s">
        <v>159</v>
      </c>
      <c r="E46" s="253">
        <f>C46*database!E11</f>
        <v>2028288117.9494061</v>
      </c>
      <c r="F46" s="253"/>
      <c r="G46" s="253">
        <f>C46*database!M11</f>
        <v>144070550.75394577</v>
      </c>
    </row>
    <row r="47" spans="1:15" ht="15" thickBot="1">
      <c r="B47" s="281" t="s">
        <v>221</v>
      </c>
      <c r="C47" s="482">
        <f>material_flow!X83</f>
        <v>0</v>
      </c>
      <c r="D47" s="281" t="s">
        <v>159</v>
      </c>
      <c r="E47" s="480">
        <f>C47*database!E11</f>
        <v>0</v>
      </c>
      <c r="F47" s="480">
        <f>SUM(E46:E47)</f>
        <v>2028288117.9494061</v>
      </c>
      <c r="G47" s="480">
        <f>C47*database!M11</f>
        <v>0</v>
      </c>
      <c r="H47" s="480">
        <f>SUM(G46:G47)</f>
        <v>144070550.75394577</v>
      </c>
      <c r="I47" s="480"/>
      <c r="L47" s="1" t="s">
        <v>982</v>
      </c>
    </row>
    <row r="48" spans="1:15">
      <c r="B48" s="46"/>
      <c r="E48" s="253"/>
      <c r="G48" s="253"/>
      <c r="L48" s="509"/>
      <c r="M48" s="565" t="s">
        <v>981</v>
      </c>
      <c r="N48" s="565"/>
      <c r="O48" s="566"/>
    </row>
    <row r="49" spans="1:18">
      <c r="A49" s="10" t="s">
        <v>82</v>
      </c>
      <c r="B49" s="41" t="s">
        <v>222</v>
      </c>
      <c r="C49" s="41">
        <f>material_flow!X84</f>
        <v>1163222.7752402609</v>
      </c>
      <c r="D49" s="41" t="s">
        <v>159</v>
      </c>
      <c r="E49" s="253">
        <f>C49*database!E12</f>
        <v>545324109.13164628</v>
      </c>
      <c r="F49" s="253"/>
      <c r="G49" s="253">
        <f>C49*database!M12</f>
        <v>40903007.063473254</v>
      </c>
      <c r="L49" s="510"/>
      <c r="M49" s="508" t="s">
        <v>973</v>
      </c>
      <c r="N49" s="508" t="s">
        <v>974</v>
      </c>
      <c r="O49" s="511" t="s">
        <v>975</v>
      </c>
    </row>
    <row r="50" spans="1:18" ht="15" thickBot="1">
      <c r="B50" s="281" t="s">
        <v>223</v>
      </c>
      <c r="C50" s="281">
        <f>material_flow!X85</f>
        <v>0</v>
      </c>
      <c r="D50" s="281" t="s">
        <v>159</v>
      </c>
      <c r="E50" s="480">
        <f>C50*database!E12</f>
        <v>0</v>
      </c>
      <c r="F50" s="480">
        <f>SUM(E49:E50)</f>
        <v>545324109.13164628</v>
      </c>
      <c r="G50" s="480">
        <f>C50*database!M12</f>
        <v>0</v>
      </c>
      <c r="H50" s="480">
        <f>SUM(G49:G50)</f>
        <v>40903007.063473254</v>
      </c>
      <c r="I50" s="480"/>
      <c r="L50" s="512" t="s">
        <v>976</v>
      </c>
      <c r="M50" s="531">
        <v>1310000</v>
      </c>
      <c r="N50" s="470">
        <v>1535000</v>
      </c>
      <c r="O50" s="471">
        <v>982000</v>
      </c>
    </row>
    <row r="51" spans="1:18" ht="15" thickBot="1">
      <c r="E51" s="253"/>
      <c r="G51" s="253"/>
      <c r="L51" s="507"/>
      <c r="M51" s="507"/>
      <c r="N51" s="519"/>
      <c r="O51" s="507"/>
    </row>
    <row r="52" spans="1:18" ht="43.5">
      <c r="A52" s="10" t="s">
        <v>320</v>
      </c>
      <c r="B52" s="41" t="s">
        <v>231</v>
      </c>
      <c r="C52" s="147">
        <f>material_flow!J22</f>
        <v>0</v>
      </c>
      <c r="D52" s="41" t="s">
        <v>171</v>
      </c>
      <c r="E52" s="253">
        <f>C52*database!E14</f>
        <v>0</v>
      </c>
      <c r="F52" s="253"/>
      <c r="G52" s="253">
        <f>C52*database!M14</f>
        <v>0</v>
      </c>
      <c r="J52" s="535"/>
      <c r="K52" s="536" t="s">
        <v>1015</v>
      </c>
      <c r="L52" s="509" t="s">
        <v>980</v>
      </c>
      <c r="M52" s="513"/>
      <c r="N52" s="507" t="s">
        <v>985</v>
      </c>
      <c r="O52" s="507" t="s">
        <v>986</v>
      </c>
    </row>
    <row r="53" spans="1:18">
      <c r="B53" s="281" t="s">
        <v>232</v>
      </c>
      <c r="C53" s="482">
        <f>material_flow!J23</f>
        <v>0</v>
      </c>
      <c r="D53" s="281" t="s">
        <v>171</v>
      </c>
      <c r="E53" s="480">
        <f>C53*database!E14</f>
        <v>0</v>
      </c>
      <c r="F53" s="480"/>
      <c r="G53" s="480">
        <f>C53*database!M14</f>
        <v>0</v>
      </c>
      <c r="H53" s="281"/>
      <c r="I53" s="281"/>
      <c r="J53" s="535"/>
      <c r="K53" s="537">
        <f>M53/material_flow!B47</f>
        <v>821835.63287342526</v>
      </c>
      <c r="L53" s="514" t="s">
        <v>977</v>
      </c>
      <c r="M53" s="529">
        <f>950000+420000</f>
        <v>1370000</v>
      </c>
      <c r="N53" s="466">
        <f>M53*(N66*database!M29+N67*database!M30)</f>
        <v>427621564.06783533</v>
      </c>
      <c r="O53" s="474">
        <f>N53/(M53*database!M35)</f>
        <v>0.48130203628446333</v>
      </c>
    </row>
    <row r="54" spans="1:18" ht="43.5">
      <c r="B54" s="41" t="s">
        <v>229</v>
      </c>
      <c r="C54" s="41">
        <f>material_flow!X86</f>
        <v>1082475868.2820733</v>
      </c>
      <c r="D54" s="41" t="s">
        <v>171</v>
      </c>
      <c r="E54" s="253">
        <f>C54*database!E14</f>
        <v>166435178.25673392</v>
      </c>
      <c r="F54" s="253"/>
      <c r="G54" s="253">
        <f>C54*database!M14</f>
        <v>12438577.110341862</v>
      </c>
      <c r="J54" s="536" t="s">
        <v>1016</v>
      </c>
      <c r="K54" s="538">
        <f>400000/K53</f>
        <v>0.48671532846715332</v>
      </c>
      <c r="L54" s="514" t="s">
        <v>978</v>
      </c>
      <c r="M54" s="529">
        <f>600000+500000</f>
        <v>1100000</v>
      </c>
      <c r="N54" s="466">
        <f>M54*N65*database!M29</f>
        <v>143120007.67084628</v>
      </c>
      <c r="O54" s="474">
        <f>(N54+N55)/((M54+M55)*database!M34)</f>
        <v>0.34499265278895669</v>
      </c>
      <c r="Q54" s="11">
        <f>SUM(N53:N55)/(M53*database!M35+(GWP_impact!M54+GWP_impact!M55)*database!M34)</f>
        <v>0.40063833846536928</v>
      </c>
      <c r="R54" s="478" t="s">
        <v>1079</v>
      </c>
    </row>
    <row r="55" spans="1:18" ht="15" thickBot="1">
      <c r="B55" s="281" t="s">
        <v>230</v>
      </c>
      <c r="C55" s="281">
        <f>material_flow!X87</f>
        <v>0</v>
      </c>
      <c r="D55" s="281" t="s">
        <v>171</v>
      </c>
      <c r="E55" s="480">
        <f>C55*database!E14</f>
        <v>0</v>
      </c>
      <c r="F55" s="480">
        <f>SUM(E52:E55)</f>
        <v>166435178.25673392</v>
      </c>
      <c r="G55" s="480">
        <f>C55*database!M14</f>
        <v>0</v>
      </c>
      <c r="H55" s="480">
        <f>SUM(G52:G55)</f>
        <v>12438577.110341862</v>
      </c>
      <c r="I55" s="480"/>
      <c r="L55" s="512" t="s">
        <v>979</v>
      </c>
      <c r="M55" s="530">
        <v>2315000</v>
      </c>
      <c r="N55" s="466">
        <f>M55*N65*database!M29</f>
        <v>301202561.59819013</v>
      </c>
      <c r="O55" s="507"/>
    </row>
    <row r="56" spans="1:18">
      <c r="A56" s="10" t="s">
        <v>235</v>
      </c>
      <c r="B56" s="41" t="s">
        <v>236</v>
      </c>
      <c r="C56" s="147">
        <f>material_flow!J28</f>
        <v>0</v>
      </c>
      <c r="D56" s="41" t="s">
        <v>159</v>
      </c>
      <c r="E56" s="253">
        <f>C56*database!E15</f>
        <v>0</v>
      </c>
      <c r="F56" s="253"/>
      <c r="G56" s="253">
        <f>C56*database!M15</f>
        <v>0</v>
      </c>
      <c r="L56" s="520" t="s">
        <v>1004</v>
      </c>
      <c r="M56" s="508"/>
      <c r="N56" s="469">
        <f>M53/material_flow!B47*material_flow!B45</f>
        <v>2054589.0821835632</v>
      </c>
      <c r="O56" s="507" t="s">
        <v>1002</v>
      </c>
    </row>
    <row r="57" spans="1:18">
      <c r="B57" s="281" t="s">
        <v>237</v>
      </c>
      <c r="C57" s="482">
        <f>material_flow!J29</f>
        <v>0</v>
      </c>
      <c r="D57" s="281" t="s">
        <v>159</v>
      </c>
      <c r="E57" s="480">
        <f>C57*database!E15</f>
        <v>0</v>
      </c>
      <c r="F57" s="480"/>
      <c r="G57" s="480">
        <f>C57*database!M15</f>
        <v>0</v>
      </c>
      <c r="H57" s="281"/>
      <c r="I57" s="281"/>
      <c r="L57" s="520"/>
      <c r="M57" s="508"/>
      <c r="N57" s="474">
        <f>N56/(C_model!AA116+C_model!AA114)</f>
        <v>0.14940529059537808</v>
      </c>
      <c r="O57" t="s">
        <v>1003</v>
      </c>
    </row>
    <row r="58" spans="1:18">
      <c r="B58" s="41" t="s">
        <v>238</v>
      </c>
      <c r="C58" s="147">
        <f>material_flow!AF77</f>
        <v>1199399.7126265254</v>
      </c>
      <c r="D58" s="41" t="s">
        <v>159</v>
      </c>
      <c r="E58" s="253">
        <f>C58*database!E15</f>
        <v>5656006739.2529058</v>
      </c>
      <c r="F58" s="253"/>
      <c r="G58" s="253">
        <f>C58*database!M15</f>
        <v>314378344.98467696</v>
      </c>
      <c r="L58" s="521" t="s">
        <v>1001</v>
      </c>
      <c r="N58" s="283">
        <f>((M55+M54)*P58/material_flow!B46)*material_flow!B45</f>
        <v>2217532.4675324676</v>
      </c>
      <c r="P58" s="11">
        <v>0.4</v>
      </c>
    </row>
    <row r="59" spans="1:18">
      <c r="B59" s="281" t="s">
        <v>239</v>
      </c>
      <c r="C59" s="482">
        <f>material_flow!AF78</f>
        <v>0</v>
      </c>
      <c r="D59" s="281" t="s">
        <v>159</v>
      </c>
      <c r="E59" s="480">
        <f>C59*database!E15</f>
        <v>0</v>
      </c>
      <c r="F59" s="480">
        <f>SUM(E56:E59)</f>
        <v>5656006739.2529058</v>
      </c>
      <c r="G59" s="480">
        <f>C59*database!M15</f>
        <v>0</v>
      </c>
      <c r="H59" s="480">
        <f>SUM(G56:G59)</f>
        <v>314378344.98467696</v>
      </c>
      <c r="I59" s="480"/>
      <c r="N59" s="11">
        <f>N58/(C_model!AA116+C_model!AA114)</f>
        <v>0.16125418244910822</v>
      </c>
    </row>
    <row r="60" spans="1:18">
      <c r="D60" s="41" t="s">
        <v>159</v>
      </c>
      <c r="E60" s="253"/>
      <c r="F60" s="253"/>
      <c r="G60" s="253"/>
      <c r="L60" s="521" t="s">
        <v>1005</v>
      </c>
      <c r="N60" s="11"/>
    </row>
    <row r="61" spans="1:18">
      <c r="A61" s="10" t="s">
        <v>240</v>
      </c>
      <c r="B61" s="41" t="s">
        <v>241</v>
      </c>
      <c r="C61" s="147">
        <f>material_flow!J30</f>
        <v>0</v>
      </c>
      <c r="D61" s="41" t="s">
        <v>159</v>
      </c>
      <c r="E61" s="253">
        <f>C61*database!E16</f>
        <v>0</v>
      </c>
      <c r="F61" s="253"/>
      <c r="G61" s="253">
        <f>C61*database!M16</f>
        <v>0</v>
      </c>
      <c r="L61" s="522" t="s">
        <v>1024</v>
      </c>
      <c r="N61" s="11"/>
    </row>
    <row r="62" spans="1:18">
      <c r="B62" s="281" t="s">
        <v>242</v>
      </c>
      <c r="C62" s="482">
        <f>material_flow!J31</f>
        <v>0</v>
      </c>
      <c r="D62" s="281" t="s">
        <v>159</v>
      </c>
      <c r="E62" s="480">
        <f>C62*database!E16</f>
        <v>0</v>
      </c>
      <c r="F62" s="480"/>
      <c r="G62" s="480">
        <f>C62*database!M16</f>
        <v>0</v>
      </c>
      <c r="H62" s="281"/>
      <c r="I62" s="281"/>
      <c r="L62" s="523">
        <v>0.13</v>
      </c>
      <c r="M62" s="283">
        <f>L62*(C_model!Z114+C_model!Z116)</f>
        <v>1241240.7421065066</v>
      </c>
      <c r="N62" s="283"/>
    </row>
    <row r="63" spans="1:18">
      <c r="B63" s="41" t="s">
        <v>243</v>
      </c>
      <c r="C63" s="147">
        <f>material_flow!AF80</f>
        <v>476391.93473534484</v>
      </c>
      <c r="D63" s="41" t="s">
        <v>159</v>
      </c>
      <c r="E63" s="253">
        <f>C63*database!E16</f>
        <v>506940437.23458743</v>
      </c>
      <c r="F63" s="253"/>
      <c r="G63" s="253">
        <f>C63*database!M16</f>
        <v>46791177.537805088</v>
      </c>
      <c r="L63" s="68">
        <v>0.14000000000000001</v>
      </c>
      <c r="M63" s="283">
        <f>L63*(C_model!Z114+C_model!Z116)</f>
        <v>1336720.7991916225</v>
      </c>
      <c r="N63" s="283">
        <f>M62+M63</f>
        <v>2577961.5412981291</v>
      </c>
    </row>
    <row r="64" spans="1:18">
      <c r="B64" s="281" t="s">
        <v>244</v>
      </c>
      <c r="C64" s="482">
        <f>material_flow!AF81</f>
        <v>0</v>
      </c>
      <c r="D64" s="281" t="s">
        <v>159</v>
      </c>
      <c r="E64" s="480">
        <f>C64*database!E16</f>
        <v>0</v>
      </c>
      <c r="F64" s="480">
        <f>SUM(E61:E64)</f>
        <v>506940437.23458743</v>
      </c>
      <c r="G64" s="480">
        <f>C64*database!M16</f>
        <v>0</v>
      </c>
      <c r="H64" s="480">
        <f>SUM(G61:G64)</f>
        <v>46791177.537805088</v>
      </c>
      <c r="I64" s="480"/>
      <c r="L64" s="68"/>
      <c r="N64" s="11"/>
    </row>
    <row r="65" spans="1:19">
      <c r="E65" s="253"/>
      <c r="G65" s="253"/>
      <c r="L65" s="516" t="s">
        <v>1074</v>
      </c>
      <c r="M65" s="28"/>
      <c r="N65">
        <v>49.6</v>
      </c>
      <c r="O65" t="s">
        <v>1078</v>
      </c>
    </row>
    <row r="66" spans="1:19" ht="17.5">
      <c r="A66" s="10" t="s">
        <v>321</v>
      </c>
      <c r="B66" s="10"/>
      <c r="E66" s="253"/>
      <c r="F66" s="253"/>
      <c r="G66" s="253"/>
      <c r="L66" s="516" t="s">
        <v>1072</v>
      </c>
      <c r="M66" s="506"/>
      <c r="N66">
        <v>46.36</v>
      </c>
      <c r="O66" t="s">
        <v>1077</v>
      </c>
    </row>
    <row r="67" spans="1:19" ht="17.5">
      <c r="A67" s="10"/>
      <c r="B67" s="10"/>
      <c r="E67" s="253"/>
      <c r="F67" s="253"/>
      <c r="G67" s="253"/>
      <c r="L67" s="516" t="s">
        <v>1072</v>
      </c>
      <c r="M67" s="506"/>
      <c r="N67">
        <v>41.79</v>
      </c>
      <c r="O67" t="s">
        <v>1073</v>
      </c>
    </row>
    <row r="68" spans="1:19">
      <c r="A68" s="41" t="s">
        <v>283</v>
      </c>
      <c r="B68" s="41" t="s">
        <v>284</v>
      </c>
      <c r="C68" s="48">
        <f>material_flow!D18</f>
        <v>0</v>
      </c>
      <c r="D68" s="41" t="s">
        <v>171</v>
      </c>
      <c r="E68" s="253">
        <f>C68*database!E13</f>
        <v>0</v>
      </c>
      <c r="F68" s="253"/>
      <c r="G68" s="253">
        <f>C68*database!M13</f>
        <v>0</v>
      </c>
      <c r="L68" s="516"/>
      <c r="M68" s="516"/>
    </row>
    <row r="69" spans="1:19">
      <c r="B69" s="281" t="s">
        <v>285</v>
      </c>
      <c r="C69" s="479">
        <f>material_flow!D19</f>
        <v>0</v>
      </c>
      <c r="D69" s="281" t="s">
        <v>171</v>
      </c>
      <c r="E69" s="480">
        <f>C69*database!E13</f>
        <v>0</v>
      </c>
      <c r="F69" s="480"/>
      <c r="G69" s="480">
        <f>C69*database!M13</f>
        <v>0</v>
      </c>
      <c r="L69" s="517" t="s">
        <v>998</v>
      </c>
      <c r="N69" s="546">
        <f>(2500000000-400000000)*0.8</f>
        <v>1680000000</v>
      </c>
      <c r="O69" s="5" t="s">
        <v>447</v>
      </c>
      <c r="Q69" s="532" t="s">
        <v>1032</v>
      </c>
      <c r="R69" s="532"/>
    </row>
    <row r="70" spans="1:19">
      <c r="B70" s="8" t="s">
        <v>286</v>
      </c>
      <c r="C70" s="48">
        <f>material_flow!I75</f>
        <v>447562767.5864808</v>
      </c>
      <c r="D70" s="41" t="s">
        <v>171</v>
      </c>
      <c r="E70" s="253">
        <f>C70*database!E13</f>
        <v>68814641.681159705</v>
      </c>
      <c r="F70" s="253"/>
      <c r="G70" s="253">
        <f>C70*database!M13</f>
        <v>5142880.4645571876</v>
      </c>
      <c r="L70" t="s">
        <v>999</v>
      </c>
      <c r="N70" s="518">
        <f>-N69*material_flow!B51*database!M42/2</f>
        <v>-2165405254.6214037</v>
      </c>
      <c r="O70" s="76" t="s">
        <v>920</v>
      </c>
      <c r="Q70" s="533">
        <v>-2577863398.3588142</v>
      </c>
      <c r="R70" s="532" t="s">
        <v>920</v>
      </c>
    </row>
    <row r="71" spans="1:19">
      <c r="B71" s="484" t="s">
        <v>287</v>
      </c>
      <c r="C71" s="479">
        <f>material_flow!I76</f>
        <v>0</v>
      </c>
      <c r="D71" s="281" t="s">
        <v>171</v>
      </c>
      <c r="E71" s="480">
        <f>C71*database!E13</f>
        <v>0</v>
      </c>
      <c r="F71" s="480"/>
      <c r="G71" s="480">
        <f>C71*database!M13</f>
        <v>0</v>
      </c>
      <c r="H71" s="253"/>
      <c r="I71" s="253"/>
      <c r="P71" s="535" t="s">
        <v>1031</v>
      </c>
      <c r="Q71" s="534">
        <f>N70-Q70</f>
        <v>412458143.73741055</v>
      </c>
      <c r="R71" s="532" t="s">
        <v>1035</v>
      </c>
    </row>
    <row r="72" spans="1:19">
      <c r="A72" s="41" t="s">
        <v>828</v>
      </c>
      <c r="B72" s="8" t="s">
        <v>829</v>
      </c>
      <c r="C72" s="48">
        <f>material_flow!Q30</f>
        <v>0</v>
      </c>
      <c r="D72" s="41" t="s">
        <v>171</v>
      </c>
      <c r="E72" s="253">
        <f>C72*database!$E$28</f>
        <v>0</v>
      </c>
      <c r="F72" s="253"/>
      <c r="G72" s="253">
        <f>C72*database!$M$28</f>
        <v>0</v>
      </c>
      <c r="H72" s="253"/>
      <c r="I72" s="253"/>
      <c r="J72" s="437"/>
    </row>
    <row r="73" spans="1:19">
      <c r="B73" s="484" t="s">
        <v>830</v>
      </c>
      <c r="C73" s="479">
        <f>material_flow!Q31</f>
        <v>0</v>
      </c>
      <c r="D73" s="281" t="s">
        <v>171</v>
      </c>
      <c r="E73" s="480">
        <f>C73*database!$E$28</f>
        <v>0</v>
      </c>
      <c r="F73" s="480"/>
      <c r="G73" s="480">
        <f>C73*database!$M$28</f>
        <v>0</v>
      </c>
      <c r="H73" s="253"/>
      <c r="I73" s="253"/>
      <c r="J73" s="437"/>
      <c r="L73" s="558" t="s">
        <v>1082</v>
      </c>
    </row>
    <row r="74" spans="1:19">
      <c r="B74" s="8" t="s">
        <v>831</v>
      </c>
      <c r="C74" s="48">
        <f>material_flow!AF94</f>
        <v>791306957.47745466</v>
      </c>
      <c r="D74" s="41" t="s">
        <v>171</v>
      </c>
      <c r="E74" s="253">
        <f>C74*database!$E$28</f>
        <v>862275896.85955954</v>
      </c>
      <c r="F74" s="253"/>
      <c r="G74" s="253">
        <f>C74*database!$M$28</f>
        <v>70662319.932752937</v>
      </c>
      <c r="H74" s="253"/>
      <c r="I74" s="253"/>
      <c r="J74" s="437"/>
      <c r="L74" s="12" t="s">
        <v>1025</v>
      </c>
      <c r="N74" s="283">
        <v>400000</v>
      </c>
      <c r="O74" t="s">
        <v>247</v>
      </c>
    </row>
    <row r="75" spans="1:19">
      <c r="B75" s="484" t="s">
        <v>832</v>
      </c>
      <c r="C75" s="479">
        <f>material_flow!AF95</f>
        <v>0</v>
      </c>
      <c r="D75" s="281" t="s">
        <v>171</v>
      </c>
      <c r="E75" s="480">
        <f>C75*database!$E$28</f>
        <v>0</v>
      </c>
      <c r="F75" s="480"/>
      <c r="G75" s="480">
        <f>C75*database!$M$28</f>
        <v>0</v>
      </c>
      <c r="H75" s="253"/>
      <c r="I75" s="253"/>
      <c r="J75" s="437"/>
      <c r="L75" t="s">
        <v>1026</v>
      </c>
      <c r="N75" s="283">
        <f>N74*material_flow!B45</f>
        <v>1000000</v>
      </c>
      <c r="O75" t="s">
        <v>159</v>
      </c>
      <c r="P75" s="283">
        <f>N75*material_flow!B44/1000</f>
        <v>449000</v>
      </c>
      <c r="Q75" t="s">
        <v>1080</v>
      </c>
      <c r="R75" s="283">
        <f>P75*(1+material_flow!B56)</f>
        <v>862080</v>
      </c>
      <c r="S75" t="s">
        <v>1081</v>
      </c>
    </row>
    <row r="76" spans="1:19">
      <c r="A76" s="8" t="s">
        <v>802</v>
      </c>
      <c r="B76" s="258" t="s">
        <v>498</v>
      </c>
      <c r="C76" s="224">
        <v>0</v>
      </c>
      <c r="D76" s="41" t="s">
        <v>127</v>
      </c>
      <c r="E76" s="253">
        <f>C76*database!$E$43</f>
        <v>0</v>
      </c>
      <c r="F76" s="253"/>
      <c r="G76" s="253">
        <f>C76*database!$M$43</f>
        <v>0</v>
      </c>
      <c r="N76" s="278">
        <f>N75/material_flow!D41</f>
        <v>7.2717845086859939E-2</v>
      </c>
      <c r="O76" t="s">
        <v>1027</v>
      </c>
    </row>
    <row r="77" spans="1:19">
      <c r="B77" s="487" t="s">
        <v>499</v>
      </c>
      <c r="C77" s="488">
        <v>0</v>
      </c>
      <c r="D77" s="281" t="s">
        <v>127</v>
      </c>
      <c r="E77" s="480">
        <f>C77*database!$E$43</f>
        <v>0</v>
      </c>
      <c r="F77" s="480"/>
      <c r="G77" s="480">
        <f>C77*database!$M$43</f>
        <v>0</v>
      </c>
    </row>
    <row r="78" spans="1:19">
      <c r="B78" s="258" t="s">
        <v>496</v>
      </c>
      <c r="C78" s="224">
        <f>material_flow!AF89</f>
        <v>2083602264.5940354</v>
      </c>
      <c r="D78" s="41" t="s">
        <v>127</v>
      </c>
      <c r="E78" s="253">
        <f>C78*database!$E$43</f>
        <v>23532107.076078597</v>
      </c>
      <c r="F78" s="253"/>
      <c r="G78" s="253">
        <f>C78*database!$M$43</f>
        <v>4271863.3804933839</v>
      </c>
      <c r="L78" t="s">
        <v>1116</v>
      </c>
      <c r="O78" s="518">
        <f>-(0.8*N74*0.5*44/12)*50%+HWP!AF100</f>
        <v>-421611.17859639297</v>
      </c>
      <c r="P78" t="s">
        <v>1036</v>
      </c>
      <c r="Q78" s="214">
        <f>-(0.8*N74*0.5*44/12)</f>
        <v>-586666.66666666663</v>
      </c>
      <c r="R78" s="214"/>
    </row>
    <row r="79" spans="1:19">
      <c r="B79" s="487" t="s">
        <v>497</v>
      </c>
      <c r="C79" s="488">
        <f>material_flow!AF90</f>
        <v>0</v>
      </c>
      <c r="D79" s="281" t="s">
        <v>127</v>
      </c>
      <c r="E79" s="480">
        <f>C79*database!$E$43</f>
        <v>0</v>
      </c>
      <c r="F79" s="480"/>
      <c r="G79" s="480">
        <f>C79*database!$M$43</f>
        <v>0</v>
      </c>
      <c r="H79" s="253"/>
      <c r="I79" s="253"/>
      <c r="L79" t="s">
        <v>1028</v>
      </c>
      <c r="O79" s="544">
        <f>-0.25*T14/1000</f>
        <v>-223779.03646725632</v>
      </c>
      <c r="P79" t="s">
        <v>1036</v>
      </c>
    </row>
    <row r="80" spans="1:19" ht="29">
      <c r="A80" s="8" t="s">
        <v>833</v>
      </c>
      <c r="B80" s="457" t="s">
        <v>844</v>
      </c>
      <c r="C80" s="459">
        <f>material_flow!Q32</f>
        <v>0</v>
      </c>
      <c r="D80" s="8" t="s">
        <v>393</v>
      </c>
      <c r="E80" s="458"/>
      <c r="F80" s="458"/>
      <c r="G80" s="458"/>
      <c r="J80" s="439"/>
      <c r="L80" t="s">
        <v>1030</v>
      </c>
      <c r="O80" s="370">
        <f>SUM(O78:O79)</f>
        <v>-645390.21506364923</v>
      </c>
      <c r="P80" t="s">
        <v>1036</v>
      </c>
    </row>
    <row r="81" spans="1:20">
      <c r="A81" s="8"/>
      <c r="B81" s="489" t="s">
        <v>845</v>
      </c>
      <c r="C81" s="490">
        <f>material_flow!Q33</f>
        <v>0</v>
      </c>
      <c r="D81" s="484" t="s">
        <v>393</v>
      </c>
      <c r="E81" s="491"/>
      <c r="F81" s="491"/>
      <c r="G81" s="491"/>
      <c r="J81" s="439"/>
      <c r="L81" t="s">
        <v>1083</v>
      </c>
      <c r="O81">
        <f>400000*material_flow!B45</f>
        <v>1000000</v>
      </c>
      <c r="P81" t="s">
        <v>1084</v>
      </c>
    </row>
    <row r="82" spans="1:20">
      <c r="A82" s="8"/>
      <c r="B82" s="457" t="s">
        <v>846</v>
      </c>
      <c r="C82" s="459">
        <f>material_flow!AF96</f>
        <v>5803445226.1396532</v>
      </c>
      <c r="D82" s="8" t="s">
        <v>393</v>
      </c>
      <c r="E82" s="458"/>
      <c r="F82" s="458"/>
      <c r="G82" s="458"/>
      <c r="J82" s="439"/>
      <c r="O82" s="278">
        <f>GWP_impact!O81/C_model!AA116</f>
        <v>7.2717845086859939E-2</v>
      </c>
      <c r="P82" t="s">
        <v>1085</v>
      </c>
      <c r="R82" t="s">
        <v>1088</v>
      </c>
    </row>
    <row r="83" spans="1:20">
      <c r="A83" s="8"/>
      <c r="B83" s="489" t="s">
        <v>847</v>
      </c>
      <c r="C83" s="490">
        <f>material_flow!AF97</f>
        <v>0</v>
      </c>
      <c r="D83" s="484" t="s">
        <v>393</v>
      </c>
      <c r="E83" s="491"/>
      <c r="F83" s="491"/>
      <c r="G83" s="491"/>
      <c r="J83" s="439"/>
      <c r="R83" s="559">
        <f>50/(100%-O82)</f>
        <v>53.921020409029197</v>
      </c>
      <c r="S83" t="s">
        <v>1089</v>
      </c>
    </row>
    <row r="84" spans="1:20">
      <c r="A84" s="41" t="s">
        <v>417</v>
      </c>
      <c r="B84" s="42" t="s">
        <v>413</v>
      </c>
      <c r="C84" s="48">
        <v>0</v>
      </c>
      <c r="D84" s="41" t="s">
        <v>134</v>
      </c>
      <c r="E84" s="253"/>
      <c r="F84" s="253"/>
      <c r="G84" s="253">
        <f>C84</f>
        <v>0</v>
      </c>
      <c r="Q84" t="s">
        <v>1086</v>
      </c>
      <c r="R84" s="6">
        <f>(R83-50)/50</f>
        <v>7.8420408180583934E-2</v>
      </c>
    </row>
    <row r="85" spans="1:20">
      <c r="B85" s="281" t="s">
        <v>414</v>
      </c>
      <c r="C85" s="479">
        <v>0</v>
      </c>
      <c r="D85" s="281" t="s">
        <v>134</v>
      </c>
      <c r="E85" s="480"/>
      <c r="F85" s="480"/>
      <c r="G85" s="480">
        <f t="shared" ref="G85:G87" si="5">C85</f>
        <v>0</v>
      </c>
      <c r="R85" t="s">
        <v>79</v>
      </c>
    </row>
    <row r="86" spans="1:20">
      <c r="B86" s="42" t="s">
        <v>415</v>
      </c>
      <c r="C86" s="48">
        <v>0</v>
      </c>
      <c r="D86" s="41" t="s">
        <v>134</v>
      </c>
      <c r="E86" s="253"/>
      <c r="F86" s="253"/>
      <c r="G86" s="253">
        <f t="shared" si="5"/>
        <v>0</v>
      </c>
      <c r="Q86" s="32" t="s">
        <v>1087</v>
      </c>
      <c r="R86" s="546">
        <v>-446935.27205294103</v>
      </c>
      <c r="S86" t="s">
        <v>1090</v>
      </c>
    </row>
    <row r="87" spans="1:20">
      <c r="B87" s="281" t="s">
        <v>416</v>
      </c>
      <c r="C87" s="479">
        <v>0</v>
      </c>
      <c r="D87" s="281" t="s">
        <v>134</v>
      </c>
      <c r="E87" s="480"/>
      <c r="F87" s="480">
        <f>SUM(E68:E87)</f>
        <v>954622645.61679792</v>
      </c>
      <c r="G87" s="480">
        <f t="shared" si="5"/>
        <v>0</v>
      </c>
      <c r="H87" s="480">
        <f>SUM(G68:G87)</f>
        <v>80077063.77780351</v>
      </c>
      <c r="I87" s="480"/>
      <c r="R87" s="518">
        <v>-1415163.08759224</v>
      </c>
      <c r="S87" t="s">
        <v>1091</v>
      </c>
      <c r="T87" t="s">
        <v>1092</v>
      </c>
    </row>
    <row r="88" spans="1:20">
      <c r="A88" s="10"/>
      <c r="E88" s="253"/>
      <c r="F88" s="253"/>
      <c r="G88" s="253"/>
    </row>
    <row r="89" spans="1:20">
      <c r="A89" s="10" t="s">
        <v>268</v>
      </c>
      <c r="E89" s="253"/>
      <c r="F89" s="253"/>
      <c r="G89" s="253"/>
    </row>
    <row r="90" spans="1:20">
      <c r="A90" s="42" t="s">
        <v>522</v>
      </c>
      <c r="B90" s="42" t="s">
        <v>280</v>
      </c>
      <c r="C90" s="147">
        <f>material_flow!M85*1000</f>
        <v>122783773.61026634</v>
      </c>
      <c r="D90" s="41" t="s">
        <v>171</v>
      </c>
      <c r="E90" s="253">
        <f>C90*database!$E$19</f>
        <v>1977732534.5246909</v>
      </c>
      <c r="F90" s="253"/>
      <c r="G90" s="253">
        <f>C90*database!$M$19</f>
        <v>172624054.75791201</v>
      </c>
    </row>
    <row r="91" spans="1:20">
      <c r="B91" s="281" t="s">
        <v>281</v>
      </c>
      <c r="C91" s="482">
        <f>material_flow!M86*1000</f>
        <v>0</v>
      </c>
      <c r="D91" s="281" t="s">
        <v>171</v>
      </c>
      <c r="E91" s="480">
        <f>C91*database!$E$19</f>
        <v>0</v>
      </c>
      <c r="F91" s="480"/>
      <c r="G91" s="480">
        <f>C91*database!$M$19</f>
        <v>0</v>
      </c>
      <c r="L91" s="1" t="s">
        <v>1042</v>
      </c>
    </row>
    <row r="92" spans="1:20">
      <c r="A92" s="42" t="s">
        <v>277</v>
      </c>
      <c r="B92" s="42" t="s">
        <v>278</v>
      </c>
      <c r="C92" s="147">
        <f>material_flow!M87*1000</f>
        <v>137517826.44349831</v>
      </c>
      <c r="D92" s="41" t="s">
        <v>171</v>
      </c>
      <c r="E92" s="253">
        <f>C92*database!E17</f>
        <v>1563571068.8812127</v>
      </c>
      <c r="F92" s="253"/>
      <c r="G92" s="253">
        <f>C92*database!M17</f>
        <v>126869892.02633929</v>
      </c>
    </row>
    <row r="93" spans="1:20" ht="29">
      <c r="B93" s="281" t="s">
        <v>279</v>
      </c>
      <c r="C93" s="482">
        <f>material_flow!M88*1000</f>
        <v>0</v>
      </c>
      <c r="D93" s="281" t="s">
        <v>171</v>
      </c>
      <c r="E93" s="480">
        <f>C93*database!E17</f>
        <v>0</v>
      </c>
      <c r="F93" s="480">
        <f>SUM(E90:E93)</f>
        <v>3541303603.4059038</v>
      </c>
      <c r="G93" s="480">
        <f>C93*database!M17</f>
        <v>0</v>
      </c>
      <c r="H93" s="480">
        <f>SUM(G90:G93)</f>
        <v>299493946.78425133</v>
      </c>
      <c r="I93" s="480"/>
      <c r="M93" s="41" t="s">
        <v>1058</v>
      </c>
      <c r="N93" s="41" t="s">
        <v>1059</v>
      </c>
      <c r="O93" s="41" t="s">
        <v>1060</v>
      </c>
      <c r="P93" s="41" t="s">
        <v>1050</v>
      </c>
      <c r="Q93" s="41" t="s">
        <v>1064</v>
      </c>
      <c r="R93" s="41"/>
      <c r="S93" s="41"/>
    </row>
    <row r="94" spans="1:20">
      <c r="B94" s="42"/>
      <c r="C94" s="147"/>
      <c r="E94" s="253"/>
      <c r="F94" s="253"/>
      <c r="G94" s="253"/>
      <c r="L94" t="s">
        <v>3</v>
      </c>
      <c r="M94" s="278">
        <f>material_flow!AT64-material_flow!AP64</f>
        <v>-3.6830357142857151E-3</v>
      </c>
      <c r="N94" s="283">
        <f>M94*C_model!$AA$116</f>
        <v>-50648.306614234876</v>
      </c>
      <c r="P94" s="283">
        <f>database!M32</f>
        <v>100.6647210180427</v>
      </c>
      <c r="Q94" s="283">
        <f>P94*N94</f>
        <v>-5098497.6553582409</v>
      </c>
    </row>
    <row r="95" spans="1:20">
      <c r="A95" s="248" t="s">
        <v>398</v>
      </c>
      <c r="B95" s="42" t="s">
        <v>742</v>
      </c>
      <c r="C95" s="147">
        <v>0</v>
      </c>
      <c r="D95" s="41" t="s">
        <v>134</v>
      </c>
      <c r="E95" s="253"/>
      <c r="F95" s="253"/>
      <c r="G95" s="253">
        <f>C95</f>
        <v>0</v>
      </c>
      <c r="L95" t="s">
        <v>2</v>
      </c>
      <c r="M95" s="278">
        <f>material_flow!AT65-material_flow!AP65</f>
        <v>-1.473214285714286E-2</v>
      </c>
      <c r="N95" s="283">
        <f>M95*C_model!$AA$116</f>
        <v>-202593.2264569395</v>
      </c>
      <c r="P95" s="283">
        <f>database!M33</f>
        <v>67.734523905205677</v>
      </c>
      <c r="Q95" s="283">
        <f>P95*N95</f>
        <v>-13722555.740480317</v>
      </c>
    </row>
    <row r="96" spans="1:20">
      <c r="B96" s="281" t="s">
        <v>403</v>
      </c>
      <c r="C96" s="482">
        <v>0</v>
      </c>
      <c r="D96" s="281" t="s">
        <v>134</v>
      </c>
      <c r="E96" s="480"/>
      <c r="F96" s="480"/>
      <c r="G96" s="480">
        <f t="shared" ref="G96:G102" si="6">C96</f>
        <v>0</v>
      </c>
      <c r="H96" s="281"/>
      <c r="I96" s="281"/>
      <c r="L96" t="s">
        <v>962</v>
      </c>
      <c r="M96" s="278">
        <f>material_flow!AT66-material_flow!AP66</f>
        <v>-5.5245535714285698E-2</v>
      </c>
      <c r="N96" s="283">
        <f>M96*C_model!$AA$116</f>
        <v>-759724.59921352274</v>
      </c>
      <c r="P96" s="283">
        <f>database!M33</f>
        <v>67.734523905205677</v>
      </c>
      <c r="Q96" s="283">
        <f>P96*N96</f>
        <v>-51459584.026801161</v>
      </c>
    </row>
    <row r="97" spans="1:20">
      <c r="B97" s="42" t="s">
        <v>404</v>
      </c>
      <c r="C97" s="147">
        <v>0</v>
      </c>
      <c r="D97" s="41" t="s">
        <v>134</v>
      </c>
      <c r="E97" s="253"/>
      <c r="F97" s="253"/>
      <c r="G97" s="253">
        <f t="shared" si="6"/>
        <v>0</v>
      </c>
      <c r="L97" t="s">
        <v>1049</v>
      </c>
      <c r="M97" s="2"/>
      <c r="N97" s="551">
        <f>SUM(N94:N96)</f>
        <v>-1012966.1322846971</v>
      </c>
      <c r="O97" s="370">
        <f>N97*material_flow!B44/1000</f>
        <v>-454821.79339582904</v>
      </c>
      <c r="P97" s="283"/>
      <c r="Q97" s="551">
        <f>SUM(Q94:Q96)</f>
        <v>-70280637.422639728</v>
      </c>
    </row>
    <row r="98" spans="1:20">
      <c r="B98" s="281" t="s">
        <v>405</v>
      </c>
      <c r="C98" s="482">
        <f>mulch_C_storage!L34*1000*44/12</f>
        <v>0</v>
      </c>
      <c r="D98" s="281" t="s">
        <v>134</v>
      </c>
      <c r="E98" s="480"/>
      <c r="F98" s="480"/>
      <c r="G98" s="480">
        <f t="shared" si="6"/>
        <v>0</v>
      </c>
      <c r="H98" s="482">
        <f>SUM(G95:G98)</f>
        <v>0</v>
      </c>
      <c r="I98" s="482"/>
      <c r="L98" t="s">
        <v>1054</v>
      </c>
      <c r="M98" s="11">
        <v>0</v>
      </c>
      <c r="N98" s="551">
        <v>0</v>
      </c>
      <c r="O98" s="370">
        <f>N98/material_flow!B47</f>
        <v>0</v>
      </c>
      <c r="P98" s="283">
        <f>database!M35</f>
        <v>648.51694982688343</v>
      </c>
      <c r="Q98" s="551">
        <f>P98*N98</f>
        <v>0</v>
      </c>
    </row>
    <row r="99" spans="1:20">
      <c r="A99" s="248" t="s">
        <v>775</v>
      </c>
      <c r="B99" s="42" t="s">
        <v>406</v>
      </c>
      <c r="C99" s="147">
        <f>-1*mulch_C_storage!L27*1000*44/12</f>
        <v>0</v>
      </c>
      <c r="D99" s="41" t="s">
        <v>134</v>
      </c>
      <c r="E99" s="253"/>
      <c r="F99" s="253"/>
      <c r="G99" s="253">
        <f t="shared" si="6"/>
        <v>0</v>
      </c>
      <c r="L99" t="s">
        <v>161</v>
      </c>
      <c r="M99" s="11">
        <v>0</v>
      </c>
      <c r="N99" s="551">
        <v>0</v>
      </c>
      <c r="O99" s="370">
        <f>N99/material_flow!B46</f>
        <v>0</v>
      </c>
      <c r="P99" s="283">
        <f>database!M34</f>
        <v>377.13585153414709</v>
      </c>
      <c r="Q99" s="551">
        <f>P99*N99</f>
        <v>0</v>
      </c>
    </row>
    <row r="100" spans="1:20">
      <c r="B100" s="281" t="s">
        <v>407</v>
      </c>
      <c r="C100" s="482">
        <f>-1*mulch_C_storage!L29*1000*44/12</f>
        <v>0</v>
      </c>
      <c r="D100" s="281" t="s">
        <v>134</v>
      </c>
      <c r="E100" s="480"/>
      <c r="F100" s="480"/>
      <c r="G100" s="480">
        <f t="shared" si="6"/>
        <v>0</v>
      </c>
      <c r="L100" t="s">
        <v>1055</v>
      </c>
      <c r="M100" s="11">
        <f>SUM(M98:M99)</f>
        <v>0</v>
      </c>
      <c r="N100" s="551">
        <f>SUM(N98:N99)</f>
        <v>0</v>
      </c>
      <c r="O100" s="370">
        <f>SUM(O98:O99)</f>
        <v>0</v>
      </c>
      <c r="P100" s="283"/>
      <c r="Q100" s="552">
        <f>SUM(Q98:Q99)</f>
        <v>0</v>
      </c>
    </row>
    <row r="101" spans="1:20">
      <c r="B101" s="42" t="s">
        <v>408</v>
      </c>
      <c r="C101" s="147">
        <f>-1*mulch_C_storage!L28*1000*44/12</f>
        <v>-344679597.72361928</v>
      </c>
      <c r="D101" s="41" t="s">
        <v>134</v>
      </c>
      <c r="E101" s="253"/>
      <c r="F101" s="253"/>
      <c r="G101" s="253">
        <f t="shared" si="6"/>
        <v>-344679597.72361928</v>
      </c>
      <c r="L101" t="s">
        <v>961</v>
      </c>
      <c r="M101" s="11">
        <v>0</v>
      </c>
      <c r="N101" s="283">
        <f>M101*C_model!$AA$116</f>
        <v>0</v>
      </c>
      <c r="O101" s="186">
        <f>N101*material_flow!B44/1000*0.9/0.8</f>
        <v>0</v>
      </c>
      <c r="P101" s="137">
        <f>database!M38</f>
        <v>0.10114447130907343</v>
      </c>
      <c r="Q101" s="553">
        <f>P101*O101*1000</f>
        <v>0</v>
      </c>
    </row>
    <row r="102" spans="1:20">
      <c r="B102" s="281" t="s">
        <v>409</v>
      </c>
      <c r="C102" s="482">
        <f>-1*mulch_C_storage!L30*1000*44/12</f>
        <v>0</v>
      </c>
      <c r="D102" s="281" t="s">
        <v>134</v>
      </c>
      <c r="E102" s="480"/>
      <c r="F102" s="482">
        <f>SUM(E95:E102)</f>
        <v>0</v>
      </c>
      <c r="G102" s="480">
        <f t="shared" si="6"/>
        <v>0</v>
      </c>
      <c r="H102" s="482">
        <f>SUM(G99:G102)</f>
        <v>-344679597.72361928</v>
      </c>
      <c r="I102" s="482"/>
      <c r="O102" s="278">
        <f>(O101+O100+O97)/O103</f>
        <v>-3.4331355177825262E-2</v>
      </c>
      <c r="P102" s="1" t="s">
        <v>49</v>
      </c>
      <c r="Q102" s="554">
        <f>Q101+Q100+Q97</f>
        <v>-70280637.422639728</v>
      </c>
    </row>
    <row r="103" spans="1:20">
      <c r="A103" s="248"/>
      <c r="E103" s="253"/>
      <c r="F103" s="253"/>
      <c r="G103" s="253"/>
      <c r="L103" s="265" t="s">
        <v>1044</v>
      </c>
      <c r="M103" s="265"/>
      <c r="N103" s="265"/>
      <c r="O103" s="283">
        <f>13248000</f>
        <v>13248000</v>
      </c>
      <c r="P103" s="265"/>
      <c r="Q103" s="265"/>
      <c r="R103" s="265"/>
    </row>
    <row r="104" spans="1:20" ht="43.5">
      <c r="A104" s="10" t="s">
        <v>410</v>
      </c>
      <c r="B104" s="42" t="s">
        <v>585</v>
      </c>
      <c r="C104" s="147">
        <f>HWP!P155+HWP!O282</f>
        <v>3512295.1348430198</v>
      </c>
      <c r="D104" s="41" t="s">
        <v>159</v>
      </c>
      <c r="E104" s="253">
        <f>C104*database!E15</f>
        <v>16562922888.662674</v>
      </c>
      <c r="F104" s="253">
        <f>SUM(E104:E104)</f>
        <v>16562922888.662674</v>
      </c>
      <c r="G104" s="253">
        <f>C104*database!M15</f>
        <v>920618472.69552326</v>
      </c>
      <c r="H104" s="253">
        <f>SUM(G104:G104)</f>
        <v>920618472.69552326</v>
      </c>
      <c r="I104" s="253"/>
      <c r="L104" s="265"/>
      <c r="M104" s="264" t="s">
        <v>1051</v>
      </c>
      <c r="N104" s="264" t="s">
        <v>1048</v>
      </c>
      <c r="P104" s="264" t="s">
        <v>1061</v>
      </c>
      <c r="Q104" s="264" t="s">
        <v>1065</v>
      </c>
      <c r="R104" s="264" t="s">
        <v>1066</v>
      </c>
      <c r="S104" s="264" t="s">
        <v>1067</v>
      </c>
    </row>
    <row r="105" spans="1:20">
      <c r="A105" s="42"/>
      <c r="B105" s="42"/>
      <c r="C105" s="147"/>
      <c r="E105" s="253"/>
      <c r="F105" s="253"/>
      <c r="G105" s="253"/>
      <c r="L105" s="265" t="s">
        <v>1045</v>
      </c>
      <c r="M105" s="265">
        <v>1000</v>
      </c>
      <c r="N105" s="265">
        <v>600</v>
      </c>
      <c r="P105" s="265">
        <f>database!M37</f>
        <v>1.1306099206436529E-2</v>
      </c>
      <c r="Q105" s="550">
        <f>$P105*M105*$O$97</f>
        <v>-5142260.3173826216</v>
      </c>
      <c r="R105" s="549">
        <f>$P105*N105*$O$100</f>
        <v>0</v>
      </c>
      <c r="S105" s="550">
        <f>$O$101*O105*P105</f>
        <v>0</v>
      </c>
    </row>
    <row r="106" spans="1:20" ht="29">
      <c r="A106" s="248" t="s">
        <v>449</v>
      </c>
      <c r="B106" s="42"/>
      <c r="E106" s="253"/>
      <c r="F106" s="253"/>
      <c r="G106" s="253"/>
      <c r="L106" s="265" t="s">
        <v>1046</v>
      </c>
      <c r="M106" s="265">
        <v>1000</v>
      </c>
      <c r="N106" s="265">
        <v>400</v>
      </c>
      <c r="P106" s="265">
        <f>database!M36</f>
        <v>6.212580200575981E-2</v>
      </c>
      <c r="Q106" s="550">
        <f>$P106*M106*$O$97</f>
        <v>-28256168.684413869</v>
      </c>
      <c r="R106" s="549">
        <f>$P106*N106*$O$100</f>
        <v>0</v>
      </c>
      <c r="S106" s="550">
        <f t="shared" ref="S106:S107" si="7">$O$101*O106*P106</f>
        <v>0</v>
      </c>
    </row>
    <row r="107" spans="1:20" ht="29">
      <c r="A107" s="41" t="s">
        <v>283</v>
      </c>
      <c r="B107" s="41" t="s">
        <v>521</v>
      </c>
      <c r="C107" s="147">
        <f>HWP!N158</f>
        <v>378420342.87642372</v>
      </c>
      <c r="D107" s="41" t="s">
        <v>171</v>
      </c>
      <c r="E107" s="253">
        <f>C107*database!$E$13</f>
        <v>58183705.584649466</v>
      </c>
      <c r="F107" s="253"/>
      <c r="G107" s="253">
        <f>C107*database!$M$13</f>
        <v>4348374.6408689851</v>
      </c>
      <c r="L107" s="265" t="s">
        <v>1047</v>
      </c>
      <c r="M107" s="265">
        <v>200</v>
      </c>
      <c r="N107" s="265">
        <v>200</v>
      </c>
      <c r="P107" s="265">
        <f>database!M20</f>
        <v>8.6431629343448765E-2</v>
      </c>
      <c r="Q107" s="550">
        <f>$P107*M107*$O$97</f>
        <v>-7862197.7328221863</v>
      </c>
      <c r="R107" s="549">
        <f>$P107*N107*$O$100</f>
        <v>0</v>
      </c>
      <c r="S107" s="550">
        <f t="shared" si="7"/>
        <v>0</v>
      </c>
    </row>
    <row r="108" spans="1:20" ht="29">
      <c r="A108" s="8" t="s">
        <v>833</v>
      </c>
      <c r="B108" s="457" t="s">
        <v>848</v>
      </c>
      <c r="C108" s="147">
        <f>HWP!N159</f>
        <v>2775334794.6556916</v>
      </c>
      <c r="D108" s="41" t="s">
        <v>393</v>
      </c>
      <c r="E108" s="458"/>
      <c r="F108" s="458"/>
      <c r="G108" s="458"/>
      <c r="H108" s="8"/>
      <c r="I108" s="8"/>
      <c r="J108" s="437"/>
      <c r="L108" s="265" t="s">
        <v>970</v>
      </c>
      <c r="M108" s="265"/>
      <c r="N108" s="265"/>
      <c r="P108" s="515"/>
      <c r="Q108" s="549">
        <f>SUM(Q105:Q107)</f>
        <v>-41260626.734618679</v>
      </c>
      <c r="R108" s="549">
        <f>SUM(R105:R107)</f>
        <v>0</v>
      </c>
      <c r="S108" s="186">
        <f>SUM(S105:S107)</f>
        <v>0</v>
      </c>
      <c r="T108" s="539">
        <f>Q108+R108+S108</f>
        <v>-41260626.734618679</v>
      </c>
    </row>
    <row r="109" spans="1:20" ht="29">
      <c r="A109" s="8" t="s">
        <v>834</v>
      </c>
      <c r="B109" s="460" t="s">
        <v>520</v>
      </c>
      <c r="C109" s="41">
        <v>0</v>
      </c>
      <c r="D109" s="41" t="s">
        <v>352</v>
      </c>
      <c r="F109" s="147">
        <f>SUM(E107:E109)</f>
        <v>58183705.584649466</v>
      </c>
      <c r="G109" s="253">
        <f>C109</f>
        <v>0</v>
      </c>
      <c r="H109" s="147">
        <f>SUM(G107:G109)</f>
        <v>4348374.6408689851</v>
      </c>
      <c r="I109" s="147"/>
      <c r="M109" s="186"/>
      <c r="N109" s="186"/>
    </row>
    <row r="110" spans="1:20">
      <c r="B110" s="42"/>
      <c r="F110" s="147"/>
      <c r="G110" s="253"/>
      <c r="H110" s="147"/>
      <c r="I110" s="147"/>
      <c r="L110" s="265" t="s">
        <v>1056</v>
      </c>
      <c r="M110" s="186"/>
      <c r="N110" s="186"/>
      <c r="O110" s="544">
        <f>T108+Q102</f>
        <v>-111541264.15725841</v>
      </c>
      <c r="P110" t="s">
        <v>920</v>
      </c>
    </row>
    <row r="111" spans="1:20" ht="29">
      <c r="A111" s="248" t="s">
        <v>450</v>
      </c>
      <c r="B111" s="42"/>
      <c r="E111" s="253"/>
      <c r="F111" s="253"/>
      <c r="G111" s="253"/>
      <c r="M111" s="186"/>
      <c r="N111" s="186"/>
    </row>
    <row r="112" spans="1:20" ht="29">
      <c r="A112" s="41" t="s">
        <v>283</v>
      </c>
      <c r="B112" s="41" t="s">
        <v>521</v>
      </c>
      <c r="C112" s="147">
        <f>HWP!K289</f>
        <v>643083705.83421504</v>
      </c>
      <c r="D112" s="41" t="s">
        <v>171</v>
      </c>
      <c r="E112" s="253">
        <f>C112*database!$E$13</f>
        <v>98876801.183920816</v>
      </c>
      <c r="F112" s="253"/>
      <c r="G112" s="253">
        <f>C112*database!$M$13</f>
        <v>7389583.9138825797</v>
      </c>
      <c r="M112" s="186"/>
      <c r="N112" s="186"/>
    </row>
    <row r="113" spans="1:14" ht="29">
      <c r="A113" s="8" t="s">
        <v>833</v>
      </c>
      <c r="B113" s="41" t="s">
        <v>521</v>
      </c>
      <c r="C113" s="147">
        <f>HWP!K290</f>
        <v>4716375898.5881338</v>
      </c>
      <c r="D113" s="41" t="s">
        <v>393</v>
      </c>
      <c r="E113" s="458"/>
      <c r="F113" s="458"/>
      <c r="G113" s="458"/>
      <c r="H113" s="8"/>
      <c r="I113" s="8"/>
      <c r="J113" s="437"/>
    </row>
    <row r="114" spans="1:14" ht="29">
      <c r="A114" s="8" t="s">
        <v>834</v>
      </c>
      <c r="B114" s="457" t="s">
        <v>848</v>
      </c>
      <c r="C114" s="48">
        <v>0</v>
      </c>
      <c r="D114" s="41" t="s">
        <v>352</v>
      </c>
      <c r="F114" s="147">
        <f>SUM(E112:E114)</f>
        <v>98876801.183920816</v>
      </c>
      <c r="G114" s="253">
        <f>C114</f>
        <v>0</v>
      </c>
      <c r="H114" s="147">
        <f>SUM(G112:G114)</f>
        <v>7389583.9138825797</v>
      </c>
      <c r="I114" s="147"/>
    </row>
    <row r="115" spans="1:14">
      <c r="B115" s="42"/>
      <c r="C115" s="147"/>
      <c r="G115" s="253">
        <f t="shared" ref="G115" si="8">C115</f>
        <v>0</v>
      </c>
    </row>
    <row r="116" spans="1:14" ht="29">
      <c r="A116" s="10" t="s">
        <v>411</v>
      </c>
      <c r="B116" s="10"/>
      <c r="E116" s="253"/>
      <c r="F116" s="253"/>
      <c r="G116" s="253"/>
    </row>
    <row r="117" spans="1:14">
      <c r="A117" s="42" t="s">
        <v>518</v>
      </c>
      <c r="B117" s="42" t="s">
        <v>519</v>
      </c>
      <c r="C117" s="147">
        <f>HWP!P160+HWP!O284</f>
        <v>99780117.957604572</v>
      </c>
      <c r="D117" s="41" t="s">
        <v>171</v>
      </c>
      <c r="E117" s="253">
        <f>C117*database!E18</f>
        <v>1243240557.3313415</v>
      </c>
      <c r="F117" s="253"/>
      <c r="G117" s="253">
        <f>C117*database!M18</f>
        <v>105395044.52808507</v>
      </c>
      <c r="M117" s="186"/>
      <c r="N117" s="186"/>
    </row>
    <row r="118" spans="1:14">
      <c r="A118" s="42" t="s">
        <v>277</v>
      </c>
      <c r="B118" s="42" t="s">
        <v>354</v>
      </c>
      <c r="C118" s="147">
        <f>HWP!P161+HWP!O285</f>
        <v>111753732.1125171</v>
      </c>
      <c r="D118" s="41" t="s">
        <v>171</v>
      </c>
      <c r="E118" s="253">
        <f>C118*database!E17</f>
        <v>1270634556.185529</v>
      </c>
      <c r="F118" s="253">
        <f>SUM(E117:E118)</f>
        <v>2513875113.5168705</v>
      </c>
      <c r="G118" s="253">
        <f>C118*database!M17</f>
        <v>103100698.23915413</v>
      </c>
      <c r="H118" s="253">
        <f>SUM(G117:G118)</f>
        <v>208495742.76723921</v>
      </c>
      <c r="I118" s="253"/>
      <c r="M118" s="186"/>
      <c r="N118" s="186"/>
    </row>
    <row r="119" spans="1:14">
      <c r="E119" s="253"/>
      <c r="F119" s="253"/>
      <c r="G119" s="253"/>
      <c r="M119" s="186"/>
      <c r="N119" s="186"/>
    </row>
    <row r="120" spans="1:14">
      <c r="E120" s="253"/>
      <c r="F120" s="253"/>
      <c r="G120" s="253"/>
      <c r="M120" s="186"/>
      <c r="N120" s="186"/>
    </row>
    <row r="121" spans="1:14" ht="29">
      <c r="A121" s="485" t="s">
        <v>444</v>
      </c>
      <c r="B121" s="281"/>
      <c r="C121" s="281"/>
      <c r="D121" s="281"/>
      <c r="E121" s="480"/>
      <c r="F121" s="480"/>
      <c r="G121" s="480"/>
      <c r="H121" s="281"/>
      <c r="I121" s="281"/>
    </row>
    <row r="122" spans="1:14">
      <c r="A122" s="281" t="s">
        <v>741</v>
      </c>
      <c r="B122" s="281" t="s">
        <v>370</v>
      </c>
      <c r="C122" s="482">
        <v>0</v>
      </c>
      <c r="D122" s="281" t="s">
        <v>352</v>
      </c>
      <c r="E122" s="480"/>
      <c r="F122" s="480"/>
      <c r="G122" s="480">
        <f>C122</f>
        <v>0</v>
      </c>
      <c r="H122" s="281"/>
      <c r="I122" s="281"/>
      <c r="M122" s="186"/>
      <c r="N122" s="186"/>
    </row>
    <row r="123" spans="1:14">
      <c r="A123" s="281"/>
      <c r="B123" s="281" t="s">
        <v>369</v>
      </c>
      <c r="C123" s="479">
        <v>0</v>
      </c>
      <c r="D123" s="281" t="s">
        <v>352</v>
      </c>
      <c r="E123" s="480"/>
      <c r="F123" s="480">
        <f>SUM(E122:E123)</f>
        <v>0</v>
      </c>
      <c r="G123" s="480">
        <f>C123</f>
        <v>0</v>
      </c>
      <c r="H123" s="480">
        <f>SUM(G122:G123)</f>
        <v>0</v>
      </c>
      <c r="I123" s="480"/>
      <c r="M123" s="186"/>
      <c r="N123" s="186"/>
    </row>
    <row r="124" spans="1:14">
      <c r="A124" s="281" t="s">
        <v>442</v>
      </c>
      <c r="B124" s="281" t="s">
        <v>370</v>
      </c>
      <c r="C124" s="482">
        <f>HWP!M442</f>
        <v>8891065.5713796914</v>
      </c>
      <c r="D124" s="281" t="s">
        <v>352</v>
      </c>
      <c r="E124" s="480"/>
      <c r="F124" s="480"/>
      <c r="G124" s="480">
        <f>C124</f>
        <v>8891065.5713796914</v>
      </c>
      <c r="H124" s="281"/>
      <c r="I124" s="281"/>
      <c r="M124" s="186"/>
      <c r="N124" s="186"/>
    </row>
    <row r="125" spans="1:14">
      <c r="A125" s="281"/>
      <c r="B125" s="281" t="s">
        <v>369</v>
      </c>
      <c r="C125" s="488">
        <f>HWP!M557</f>
        <v>3167465.9919285178</v>
      </c>
      <c r="D125" s="281" t="s">
        <v>352</v>
      </c>
      <c r="E125" s="480"/>
      <c r="F125" s="480">
        <f>SUM(E124:E125)</f>
        <v>0</v>
      </c>
      <c r="G125" s="480">
        <f>C125</f>
        <v>3167465.9919285178</v>
      </c>
      <c r="H125" s="480">
        <f>SUM(G124:G125)</f>
        <v>12058531.563308209</v>
      </c>
      <c r="I125" s="480"/>
      <c r="M125" s="186"/>
      <c r="N125" s="186"/>
    </row>
    <row r="126" spans="1:14">
      <c r="A126" s="281" t="s">
        <v>443</v>
      </c>
      <c r="B126" s="281" t="s">
        <v>370</v>
      </c>
      <c r="C126" s="488">
        <f>HWP!M436</f>
        <v>335406.1185810676</v>
      </c>
      <c r="D126" s="281" t="s">
        <v>352</v>
      </c>
      <c r="E126" s="480"/>
      <c r="F126" s="480"/>
      <c r="G126" s="480">
        <f>-C126</f>
        <v>-335406.1185810676</v>
      </c>
      <c r="H126" s="480"/>
      <c r="I126" s="480"/>
    </row>
    <row r="127" spans="1:14">
      <c r="A127" s="281"/>
      <c r="B127" s="281" t="s">
        <v>369</v>
      </c>
      <c r="C127" s="488">
        <f>HWP!M551</f>
        <v>9093986.9662337434</v>
      </c>
      <c r="D127" s="281" t="s">
        <v>352</v>
      </c>
      <c r="E127" s="480"/>
      <c r="F127" s="480">
        <f>SUM(E126:E127)</f>
        <v>0</v>
      </c>
      <c r="G127" s="480">
        <f>-C127</f>
        <v>-9093986.9662337434</v>
      </c>
      <c r="H127" s="480">
        <f>SUM(G126:G127)</f>
        <v>-9429393.0848148111</v>
      </c>
      <c r="I127" s="480"/>
    </row>
    <row r="128" spans="1:14">
      <c r="A128" s="281"/>
      <c r="B128" s="281"/>
      <c r="C128" s="488"/>
      <c r="D128" s="281"/>
      <c r="E128" s="480"/>
      <c r="F128" s="480"/>
      <c r="G128" s="480"/>
      <c r="H128" s="480"/>
      <c r="I128" s="480"/>
      <c r="M128" s="186"/>
      <c r="N128" s="186"/>
    </row>
    <row r="129" spans="1:14" ht="29">
      <c r="A129" s="485" t="s">
        <v>83</v>
      </c>
      <c r="B129" s="492" t="s">
        <v>905</v>
      </c>
      <c r="C129" s="281"/>
      <c r="D129" s="281"/>
      <c r="E129" s="480"/>
      <c r="F129" s="480"/>
      <c r="G129" s="480"/>
      <c r="H129" s="281"/>
      <c r="I129" s="281"/>
      <c r="M129" s="186"/>
      <c r="N129" s="186"/>
    </row>
    <row r="130" spans="1:14" ht="43.5">
      <c r="A130" s="493" t="s">
        <v>849</v>
      </c>
      <c r="B130" s="281" t="s">
        <v>851</v>
      </c>
      <c r="C130" s="482"/>
      <c r="D130" s="281" t="s">
        <v>352</v>
      </c>
      <c r="E130" s="480">
        <f>-concrete_substitution!F48</f>
        <v>-16073497839.357008</v>
      </c>
      <c r="F130" s="281"/>
      <c r="G130" s="480">
        <f>-concrete_substitution!D48</f>
        <v>-2510646789.5275502</v>
      </c>
      <c r="H130" s="281"/>
      <c r="I130" s="281"/>
      <c r="J130" s="437"/>
      <c r="K130" t="s">
        <v>841</v>
      </c>
      <c r="M130" s="186"/>
      <c r="N130" s="186"/>
    </row>
    <row r="131" spans="1:14" ht="43.5">
      <c r="A131" s="493" t="s">
        <v>850</v>
      </c>
      <c r="B131" s="281" t="s">
        <v>852</v>
      </c>
      <c r="C131" s="482"/>
      <c r="D131" s="281" t="s">
        <v>352</v>
      </c>
      <c r="E131" s="480">
        <f>-concrete_substitution!F49</f>
        <v>0</v>
      </c>
      <c r="F131" s="480">
        <f>SUM(E130:E131)</f>
        <v>-16073497839.357008</v>
      </c>
      <c r="G131" s="480">
        <f>-concrete_substitution!D49</f>
        <v>0</v>
      </c>
      <c r="H131" s="482">
        <f>SUM(G130:G131)</f>
        <v>-2510646789.5275502</v>
      </c>
      <c r="I131" s="482"/>
      <c r="J131" s="437"/>
      <c r="M131" s="186"/>
      <c r="N131" s="186"/>
    </row>
    <row r="132" spans="1:14">
      <c r="A132" s="487" t="s">
        <v>838</v>
      </c>
      <c r="B132" s="281" t="s">
        <v>899</v>
      </c>
      <c r="C132" s="482">
        <f>C80</f>
        <v>0</v>
      </c>
      <c r="D132" s="281" t="s">
        <v>393</v>
      </c>
      <c r="E132" s="480">
        <f>-C132*database!$E$42</f>
        <v>0</v>
      </c>
      <c r="F132" s="480"/>
      <c r="G132" s="480">
        <f>-C132*database!$M$42</f>
        <v>0</v>
      </c>
      <c r="H132" s="482"/>
      <c r="I132" s="482"/>
      <c r="J132" s="437"/>
      <c r="M132" s="186"/>
      <c r="N132" s="186"/>
    </row>
    <row r="133" spans="1:14">
      <c r="A133" s="487" t="s">
        <v>839</v>
      </c>
      <c r="B133" s="281" t="s">
        <v>900</v>
      </c>
      <c r="C133" s="482">
        <f>C81</f>
        <v>0</v>
      </c>
      <c r="D133" s="281" t="s">
        <v>393</v>
      </c>
      <c r="E133" s="480">
        <f>-C133*database!$E$42</f>
        <v>0</v>
      </c>
      <c r="F133" s="480"/>
      <c r="G133" s="480">
        <f>-C133*database!$M$42</f>
        <v>0</v>
      </c>
      <c r="H133" s="482"/>
      <c r="I133" s="482"/>
      <c r="J133" s="437"/>
      <c r="M133" s="186"/>
      <c r="N133" s="186"/>
    </row>
    <row r="134" spans="1:14">
      <c r="A134" s="494" t="s">
        <v>803</v>
      </c>
      <c r="B134" s="281" t="s">
        <v>906</v>
      </c>
      <c r="C134" s="495">
        <f>C78-C78</f>
        <v>0</v>
      </c>
      <c r="D134" s="281" t="s">
        <v>127</v>
      </c>
      <c r="E134" s="480">
        <f>-C134*database!$E$41</f>
        <v>0</v>
      </c>
      <c r="F134" s="480"/>
      <c r="G134" s="480">
        <f>-C134*database!$M$41</f>
        <v>0</v>
      </c>
      <c r="H134" s="482"/>
      <c r="I134" s="482"/>
      <c r="J134" s="437"/>
      <c r="M134" s="186"/>
      <c r="N134" s="186"/>
    </row>
    <row r="135" spans="1:14">
      <c r="A135" s="489" t="s">
        <v>804</v>
      </c>
      <c r="B135" s="281" t="s">
        <v>904</v>
      </c>
      <c r="C135" s="496">
        <f>C82</f>
        <v>5803445226.1396532</v>
      </c>
      <c r="D135" s="484" t="s">
        <v>393</v>
      </c>
      <c r="E135" s="480">
        <f>-C135*database!$E$42</f>
        <v>-34849598556.409386</v>
      </c>
      <c r="F135" s="480"/>
      <c r="G135" s="480">
        <f>-C135*database!$M$42</f>
        <v>-2039881242.5478048</v>
      </c>
      <c r="H135" s="496"/>
      <c r="I135" s="496"/>
      <c r="J135" s="437"/>
      <c r="M135" s="186"/>
      <c r="N135" s="186"/>
    </row>
    <row r="136" spans="1:14">
      <c r="A136" s="494" t="s">
        <v>806</v>
      </c>
      <c r="B136" s="484" t="s">
        <v>907</v>
      </c>
      <c r="C136" s="495">
        <f>C79-C79</f>
        <v>0</v>
      </c>
      <c r="D136" s="484" t="s">
        <v>127</v>
      </c>
      <c r="E136" s="491">
        <f>-C136*database!$E$41</f>
        <v>0</v>
      </c>
      <c r="F136" s="484"/>
      <c r="G136" s="491">
        <f>-C136*database!$M$41</f>
        <v>0</v>
      </c>
      <c r="H136" s="484"/>
      <c r="I136" s="484"/>
      <c r="J136" s="437"/>
      <c r="M136" s="186"/>
      <c r="N136" s="186"/>
    </row>
    <row r="137" spans="1:14">
      <c r="A137" s="489" t="s">
        <v>805</v>
      </c>
      <c r="B137" s="281" t="s">
        <v>903</v>
      </c>
      <c r="C137" s="496">
        <f>C83</f>
        <v>0</v>
      </c>
      <c r="D137" s="484" t="s">
        <v>393</v>
      </c>
      <c r="E137" s="480">
        <f>-C137*database!$E$42</f>
        <v>0</v>
      </c>
      <c r="F137" s="484"/>
      <c r="G137" s="480">
        <f>-C137*database!$M$42</f>
        <v>0</v>
      </c>
      <c r="H137" s="484"/>
      <c r="I137" s="484"/>
      <c r="J137" s="437"/>
      <c r="M137" s="186"/>
      <c r="N137" s="186"/>
    </row>
    <row r="138" spans="1:14">
      <c r="A138" s="489" t="s">
        <v>864</v>
      </c>
      <c r="B138" s="484" t="s">
        <v>901</v>
      </c>
      <c r="C138" s="496">
        <f>HWP!I27*material_flow!$B$51</f>
        <v>58573033.073470995</v>
      </c>
      <c r="D138" s="484" t="s">
        <v>393</v>
      </c>
      <c r="E138" s="480">
        <f>-C138*database!$E$42</f>
        <v>-351730154.98580909</v>
      </c>
      <c r="F138" s="281"/>
      <c r="G138" s="480">
        <f>-C138*database!$M$42</f>
        <v>-20588120.819602009</v>
      </c>
      <c r="H138" s="281"/>
      <c r="I138" s="281"/>
      <c r="J138" s="437"/>
    </row>
    <row r="139" spans="1:14">
      <c r="A139" s="489" t="s">
        <v>865</v>
      </c>
      <c r="B139" s="484" t="s">
        <v>902</v>
      </c>
      <c r="C139" s="496">
        <f>HWP!J27*material_flow!$B$51</f>
        <v>0</v>
      </c>
      <c r="D139" s="484" t="s">
        <v>393</v>
      </c>
      <c r="E139" s="480">
        <f>-C139*database!$E$42</f>
        <v>0</v>
      </c>
      <c r="F139" s="491">
        <f>SUM(E132:E139)</f>
        <v>-35201328711.395195</v>
      </c>
      <c r="G139" s="480">
        <f>-C139*database!$M$42</f>
        <v>0</v>
      </c>
      <c r="H139" s="496">
        <f>SUM(G132:G139)</f>
        <v>-2060469363.3674068</v>
      </c>
      <c r="I139" s="496"/>
      <c r="J139" s="437"/>
    </row>
    <row r="140" spans="1:14">
      <c r="A140" s="484"/>
      <c r="B140" s="484"/>
      <c r="C140" s="496"/>
      <c r="D140" s="484"/>
      <c r="E140" s="491"/>
      <c r="F140" s="491"/>
      <c r="G140" s="491"/>
      <c r="H140" s="496"/>
      <c r="I140" s="496"/>
    </row>
    <row r="141" spans="1:14" ht="29">
      <c r="A141" s="497" t="s">
        <v>85</v>
      </c>
      <c r="B141" s="484"/>
      <c r="C141" s="484"/>
      <c r="D141" s="484"/>
      <c r="E141" s="491"/>
      <c r="F141" s="491"/>
      <c r="G141" s="491"/>
      <c r="H141" s="484"/>
      <c r="I141" s="484"/>
    </row>
    <row r="142" spans="1:14">
      <c r="A142" s="498" t="s">
        <v>880</v>
      </c>
      <c r="B142" s="484" t="s">
        <v>908</v>
      </c>
      <c r="C142" s="490">
        <v>0</v>
      </c>
      <c r="D142" s="484" t="s">
        <v>127</v>
      </c>
      <c r="E142" s="491">
        <f>-C142*database!$E$41</f>
        <v>0</v>
      </c>
      <c r="F142" s="491"/>
      <c r="G142" s="491">
        <f>-C142*database!$M$41</f>
        <v>0</v>
      </c>
      <c r="H142" s="491"/>
      <c r="I142" s="491"/>
      <c r="J142" s="437"/>
      <c r="K142" t="s">
        <v>840</v>
      </c>
    </row>
    <row r="143" spans="1:14">
      <c r="A143" s="498" t="s">
        <v>807</v>
      </c>
      <c r="B143" s="484"/>
      <c r="C143" s="490">
        <f>C108</f>
        <v>2775334794.6556916</v>
      </c>
      <c r="D143" s="484" t="s">
        <v>393</v>
      </c>
      <c r="E143" s="491">
        <f>-C143*database!$E$42</f>
        <v>-16665842389.232243</v>
      </c>
      <c r="F143" s="491"/>
      <c r="G143" s="491">
        <f>-C143*database!$M$42</f>
        <v>-975515951.09552515</v>
      </c>
      <c r="H143" s="491"/>
      <c r="I143" s="491"/>
      <c r="J143" s="437"/>
      <c r="K143" t="s">
        <v>840</v>
      </c>
    </row>
    <row r="144" spans="1:14" ht="29">
      <c r="A144" s="498" t="s">
        <v>881</v>
      </c>
      <c r="B144" s="484" t="s">
        <v>733</v>
      </c>
      <c r="C144" s="490"/>
      <c r="D144" s="484" t="s">
        <v>127</v>
      </c>
      <c r="E144" s="491">
        <f>-C144*database!$E$41</f>
        <v>0</v>
      </c>
      <c r="F144" s="281"/>
      <c r="G144" s="491">
        <f>-C144*database!$M$41</f>
        <v>0</v>
      </c>
      <c r="H144" s="281"/>
      <c r="I144" s="281"/>
      <c r="J144" s="437"/>
      <c r="K144" t="s">
        <v>840</v>
      </c>
    </row>
    <row r="145" spans="1:11">
      <c r="A145" s="498" t="s">
        <v>808</v>
      </c>
      <c r="B145" s="484"/>
      <c r="C145" s="496">
        <f>C113</f>
        <v>4716375898.5881338</v>
      </c>
      <c r="D145" s="484" t="s">
        <v>393</v>
      </c>
      <c r="E145" s="491">
        <f>-C145*database!$E$42</f>
        <v>-28321764107.740685</v>
      </c>
      <c r="F145" s="491">
        <f>SUM(E142:E145)</f>
        <v>-44987606496.972931</v>
      </c>
      <c r="G145" s="491">
        <f>-C145*database!$M$42</f>
        <v>-1657781947.3509696</v>
      </c>
      <c r="H145" s="491">
        <f>SUM(G142:G145)</f>
        <v>-2633297898.4464946</v>
      </c>
      <c r="I145" s="491"/>
      <c r="J145" s="437"/>
      <c r="K145" t="s">
        <v>840</v>
      </c>
    </row>
    <row r="146" spans="1:11">
      <c r="A146" s="281" t="s">
        <v>882</v>
      </c>
      <c r="B146" s="281" t="s">
        <v>909</v>
      </c>
      <c r="C146" s="482">
        <f>fossilfuel_substitution!E10</f>
        <v>223517564.720135</v>
      </c>
      <c r="D146" s="281" t="s">
        <v>127</v>
      </c>
      <c r="E146" s="480">
        <f>-C146*database!$E$41</f>
        <v>-256522518.56132615</v>
      </c>
      <c r="F146" s="482"/>
      <c r="G146" s="480">
        <f>-C146*database!$M$41</f>
        <v>-30820575.587370038</v>
      </c>
      <c r="H146" s="482"/>
      <c r="I146" s="482"/>
      <c r="J146" s="437"/>
    </row>
    <row r="147" spans="1:11" ht="29">
      <c r="A147" s="281"/>
      <c r="B147" s="377" t="s">
        <v>515</v>
      </c>
      <c r="C147" s="482">
        <f>fossilfuel_substitution!F10</f>
        <v>1649717097.4729109</v>
      </c>
      <c r="D147" s="281" t="s">
        <v>393</v>
      </c>
      <c r="E147" s="491">
        <f>-C147*database!$E$42</f>
        <v>-9906525578.9134865</v>
      </c>
      <c r="F147" s="482"/>
      <c r="G147" s="491">
        <f>-C147*database!$M$42</f>
        <v>-579867101.61196566</v>
      </c>
      <c r="H147" s="482"/>
      <c r="I147" s="482"/>
      <c r="J147" s="437"/>
    </row>
    <row r="148" spans="1:11" ht="29">
      <c r="A148" s="281" t="s">
        <v>883</v>
      </c>
      <c r="B148" s="377" t="s">
        <v>910</v>
      </c>
      <c r="C148" s="482">
        <f>fossilfuel_substitution!E12</f>
        <v>75915703.469344005</v>
      </c>
      <c r="D148" s="281" t="s">
        <v>127</v>
      </c>
      <c r="E148" s="480">
        <f>-C148*database!$E$41</f>
        <v>-87125535.19762224</v>
      </c>
      <c r="F148" s="480"/>
      <c r="G148" s="480">
        <f>-C148*database!$M$41</f>
        <v>-10467927.565222416</v>
      </c>
      <c r="H148" s="480"/>
      <c r="I148" s="480"/>
      <c r="J148" s="437"/>
    </row>
    <row r="149" spans="1:11" ht="29">
      <c r="A149" s="281"/>
      <c r="B149" s="377" t="s">
        <v>514</v>
      </c>
      <c r="C149" s="482">
        <f>fossilfuel_substitution!F12</f>
        <v>560311374.79898691</v>
      </c>
      <c r="D149" s="281" t="s">
        <v>393</v>
      </c>
      <c r="E149" s="491">
        <f>-C149*database!$E$42</f>
        <v>-3364661113.7783222</v>
      </c>
      <c r="F149" s="480"/>
      <c r="G149" s="480">
        <f>-C149*database!$M$42</f>
        <v>-196946575.50837407</v>
      </c>
      <c r="H149" s="480"/>
      <c r="I149" s="480"/>
      <c r="J149" s="437"/>
    </row>
    <row r="150" spans="1:11">
      <c r="A150" s="281"/>
      <c r="B150" s="377"/>
      <c r="C150" s="482"/>
      <c r="D150" s="281"/>
      <c r="E150" s="499" t="s">
        <v>866</v>
      </c>
      <c r="F150" s="480">
        <f>E146+E147+E148+E149</f>
        <v>-13614834746.450758</v>
      </c>
      <c r="G150" s="480"/>
      <c r="H150" s="480">
        <f>G146+G147+G148+G149</f>
        <v>-818102180.27293217</v>
      </c>
      <c r="I150" s="480"/>
      <c r="J150" s="437"/>
    </row>
    <row r="151" spans="1:11">
      <c r="A151" s="281"/>
      <c r="B151" s="281"/>
      <c r="C151" s="281"/>
      <c r="D151" s="281"/>
      <c r="E151" s="499" t="s">
        <v>734</v>
      </c>
      <c r="F151" s="480"/>
      <c r="G151" s="480"/>
      <c r="H151" s="480"/>
      <c r="I151" s="480"/>
      <c r="J151" s="437"/>
    </row>
    <row r="152" spans="1:11">
      <c r="A152" s="281"/>
      <c r="B152" s="281"/>
      <c r="C152" s="281"/>
      <c r="D152" s="281"/>
      <c r="E152" s="499"/>
      <c r="F152" s="480"/>
      <c r="G152" s="480"/>
      <c r="H152" s="480"/>
      <c r="I152" s="480"/>
    </row>
    <row r="153" spans="1:11">
      <c r="A153" s="485" t="s">
        <v>351</v>
      </c>
      <c r="B153" s="281" t="s">
        <v>728</v>
      </c>
      <c r="C153" s="482">
        <f>-(HWP!N149+HWP!N150)*44/12</f>
        <v>-1120745717.7309501</v>
      </c>
      <c r="D153" s="281" t="s">
        <v>352</v>
      </c>
      <c r="E153" s="480"/>
      <c r="F153" s="480">
        <f>E153</f>
        <v>0</v>
      </c>
      <c r="G153" s="480">
        <f>C153</f>
        <v>-1120745717.7309501</v>
      </c>
      <c r="H153" s="482">
        <f>G153+H102</f>
        <v>-1465425315.4545693</v>
      </c>
      <c r="I153" s="482"/>
    </row>
    <row r="154" spans="1:11">
      <c r="A154" s="500"/>
      <c r="B154" s="281"/>
      <c r="C154" s="281"/>
      <c r="D154" s="281"/>
      <c r="E154" s="480"/>
      <c r="F154" s="480"/>
      <c r="G154" s="480"/>
      <c r="H154" s="281"/>
      <c r="I154" s="281"/>
    </row>
    <row r="155" spans="1:11">
      <c r="A155" s="485" t="s">
        <v>84</v>
      </c>
      <c r="B155" s="281" t="s">
        <v>729</v>
      </c>
      <c r="C155" s="501">
        <f>-(HWP!K280+HWP!K281)*44/12</f>
        <v>-1187372659.8368702</v>
      </c>
      <c r="D155" s="281" t="s">
        <v>352</v>
      </c>
      <c r="E155" s="480"/>
      <c r="F155" s="480">
        <f>E155</f>
        <v>0</v>
      </c>
      <c r="G155" s="480">
        <f>C155</f>
        <v>-1187372659.8368702</v>
      </c>
      <c r="H155" s="480">
        <f>G155</f>
        <v>-1187372659.8368702</v>
      </c>
      <c r="I155" s="480"/>
    </row>
    <row r="156" spans="1:11">
      <c r="A156" s="50"/>
      <c r="C156"/>
      <c r="E156" s="253"/>
      <c r="F156" s="253"/>
      <c r="G156" s="253"/>
    </row>
    <row r="157" spans="1:11">
      <c r="A157" s="440" t="s">
        <v>810</v>
      </c>
      <c r="B157" s="438"/>
      <c r="C157" s="437"/>
      <c r="D157" s="438"/>
      <c r="E157" s="439"/>
      <c r="F157" s="439"/>
      <c r="G157" s="439"/>
      <c r="H157" s="438"/>
      <c r="I157" s="438"/>
    </row>
    <row r="159" spans="1:11" ht="43.5">
      <c r="A159" s="10" t="s">
        <v>424</v>
      </c>
      <c r="B159" s="41" t="s">
        <v>421</v>
      </c>
      <c r="C159" s="41" t="e">
        <f>#REF!</f>
        <v>#REF!</v>
      </c>
      <c r="D159" s="41" t="s">
        <v>352</v>
      </c>
      <c r="E159" s="253"/>
      <c r="F159" s="253">
        <f>E4+E159</f>
        <v>0</v>
      </c>
      <c r="G159" s="253" t="e">
        <f>C159</f>
        <v>#REF!</v>
      </c>
      <c r="H159" s="147" t="e">
        <f>G159</f>
        <v>#REF!</v>
      </c>
      <c r="I159" s="147"/>
    </row>
    <row r="160" spans="1:11" ht="29">
      <c r="A160" s="42"/>
      <c r="B160" s="41" t="s">
        <v>422</v>
      </c>
      <c r="C160" s="41" t="e">
        <f>#REF!</f>
        <v>#REF!</v>
      </c>
      <c r="D160" s="41" t="s">
        <v>352</v>
      </c>
      <c r="G160" s="253" t="e">
        <f t="shared" ref="G160:G161" si="9">C160</f>
        <v>#REF!</v>
      </c>
    </row>
    <row r="161" spans="2:9" ht="29">
      <c r="B161" s="41" t="s">
        <v>423</v>
      </c>
      <c r="C161" s="41" t="e">
        <f>#REF!</f>
        <v>#REF!</v>
      </c>
      <c r="D161" s="41" t="s">
        <v>352</v>
      </c>
      <c r="F161" s="147">
        <f>E4+E160+E161</f>
        <v>0</v>
      </c>
      <c r="G161" s="253" t="e">
        <f t="shared" si="9"/>
        <v>#REF!</v>
      </c>
      <c r="H161" s="267" t="e">
        <f>G160+G161</f>
        <v>#REF!</v>
      </c>
      <c r="I161" s="267"/>
    </row>
  </sheetData>
  <mergeCells count="3">
    <mergeCell ref="M48:O48"/>
    <mergeCell ref="X2:AA2"/>
    <mergeCell ref="AD3:AE3"/>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R52"/>
  <sheetViews>
    <sheetView topLeftCell="A4" workbookViewId="0">
      <pane ySplit="1" topLeftCell="A20" activePane="bottomLeft" state="frozen"/>
      <selection activeCell="B59" sqref="B59"/>
      <selection pane="bottomLeft" activeCell="B59" sqref="B59"/>
    </sheetView>
  </sheetViews>
  <sheetFormatPr defaultRowHeight="14.5"/>
  <cols>
    <col min="1" max="1" width="50.7265625" customWidth="1"/>
    <col min="2" max="2" width="35.54296875" customWidth="1"/>
    <col min="3" max="3" width="9.54296875" bestFit="1" customWidth="1"/>
    <col min="5" max="5" width="9.54296875" style="64" bestFit="1" customWidth="1"/>
    <col min="6" max="6" width="12.26953125" bestFit="1" customWidth="1"/>
    <col min="7" max="8" width="9.54296875" bestFit="1" customWidth="1"/>
    <col min="9" max="10" width="12.26953125" bestFit="1" customWidth="1"/>
    <col min="11" max="11" width="11.81640625" bestFit="1" customWidth="1"/>
    <col min="12" max="12" width="9.54296875" bestFit="1" customWidth="1"/>
    <col min="13" max="13" width="9.54296875" style="64" bestFit="1" customWidth="1"/>
    <col min="14" max="14" width="11.81640625" bestFit="1" customWidth="1"/>
    <col min="15" max="15" width="12.26953125" bestFit="1" customWidth="1"/>
    <col min="16" max="17" width="9.54296875" bestFit="1" customWidth="1"/>
  </cols>
  <sheetData>
    <row r="1" spans="1:18">
      <c r="A1" s="71" t="s">
        <v>126</v>
      </c>
      <c r="B1" s="71"/>
    </row>
    <row r="3" spans="1:18">
      <c r="E3" s="64" t="s">
        <v>127</v>
      </c>
      <c r="F3" t="s">
        <v>128</v>
      </c>
      <c r="G3" t="s">
        <v>129</v>
      </c>
      <c r="H3" t="s">
        <v>130</v>
      </c>
      <c r="I3" t="s">
        <v>131</v>
      </c>
      <c r="J3" t="s">
        <v>132</v>
      </c>
      <c r="K3" t="s">
        <v>132</v>
      </c>
      <c r="L3" t="s">
        <v>133</v>
      </c>
      <c r="M3" s="64" t="s">
        <v>134</v>
      </c>
      <c r="N3" t="s">
        <v>135</v>
      </c>
      <c r="O3" t="s">
        <v>136</v>
      </c>
      <c r="P3" t="s">
        <v>137</v>
      </c>
      <c r="Q3" t="s">
        <v>138</v>
      </c>
    </row>
    <row r="4" spans="1:18" s="10" customFormat="1" ht="114.75" customHeight="1">
      <c r="C4" s="10" t="s">
        <v>139</v>
      </c>
      <c r="D4" s="10" t="s">
        <v>140</v>
      </c>
      <c r="E4" s="138" t="s">
        <v>141</v>
      </c>
      <c r="F4" s="10" t="s">
        <v>142</v>
      </c>
      <c r="G4" s="10" t="s">
        <v>143</v>
      </c>
      <c r="H4" s="10" t="s">
        <v>144</v>
      </c>
      <c r="I4" s="10" t="s">
        <v>145</v>
      </c>
      <c r="J4" s="10" t="s">
        <v>146</v>
      </c>
      <c r="K4" s="10" t="s">
        <v>147</v>
      </c>
      <c r="L4" s="10" t="s">
        <v>148</v>
      </c>
      <c r="M4" s="138" t="s">
        <v>149</v>
      </c>
      <c r="N4" s="10" t="s">
        <v>150</v>
      </c>
      <c r="O4" s="10" t="s">
        <v>151</v>
      </c>
      <c r="P4" s="10" t="s">
        <v>152</v>
      </c>
      <c r="Q4" s="10" t="s">
        <v>153</v>
      </c>
      <c r="R4" s="10" t="s">
        <v>731</v>
      </c>
    </row>
    <row r="5" spans="1:18" ht="29">
      <c r="A5" s="41" t="s">
        <v>964</v>
      </c>
      <c r="B5" s="8" t="s">
        <v>166</v>
      </c>
      <c r="C5">
        <v>1</v>
      </c>
      <c r="D5" t="s">
        <v>154</v>
      </c>
      <c r="E5" s="64">
        <v>0.50142953018491088</v>
      </c>
      <c r="F5">
        <v>8.6460007285453511E-8</v>
      </c>
      <c r="G5">
        <v>2.7777672442994927E-4</v>
      </c>
      <c r="H5">
        <v>0.56931224136337388</v>
      </c>
      <c r="I5">
        <v>3.428312725000289E-5</v>
      </c>
      <c r="J5">
        <v>3.1740162372032167E-9</v>
      </c>
      <c r="K5">
        <v>1.4348260555883421E-8</v>
      </c>
      <c r="L5">
        <v>1.8402054431431177E-2</v>
      </c>
      <c r="M5" s="64">
        <v>4.4992333616561096E-2</v>
      </c>
      <c r="N5">
        <v>5.4105629281835826E-5</v>
      </c>
      <c r="O5">
        <v>5.1594308578226306E-9</v>
      </c>
      <c r="P5">
        <v>1.2658455603066805E-4</v>
      </c>
      <c r="Q5">
        <v>6.1423845118745938E-4</v>
      </c>
      <c r="R5">
        <v>16.824261053516778</v>
      </c>
    </row>
    <row r="6" spans="1:18" ht="29">
      <c r="A6" s="41" t="s">
        <v>155</v>
      </c>
      <c r="B6" s="41"/>
      <c r="C6">
        <v>1</v>
      </c>
      <c r="D6" t="s">
        <v>156</v>
      </c>
      <c r="E6" s="64">
        <v>940.92822502088325</v>
      </c>
      <c r="F6">
        <v>5.5814569793599278E-5</v>
      </c>
      <c r="G6">
        <v>0.30251967304300686</v>
      </c>
      <c r="H6">
        <v>133.03443264232371</v>
      </c>
      <c r="I6">
        <v>4.1037132296833203E-3</v>
      </c>
      <c r="J6">
        <v>2.3720715566474541E-6</v>
      </c>
      <c r="K6">
        <v>6.1526272685312129E-6</v>
      </c>
      <c r="L6">
        <v>4.6264385187207955</v>
      </c>
      <c r="M6" s="64">
        <v>65.46562377356247</v>
      </c>
      <c r="N6">
        <v>0.10529914595182613</v>
      </c>
      <c r="O6">
        <v>1.1692767865269005E-5</v>
      </c>
      <c r="P6">
        <v>0.33268431145749866</v>
      </c>
      <c r="Q6">
        <v>1.1539858552122342</v>
      </c>
    </row>
    <row r="7" spans="1:18" ht="29">
      <c r="A7" s="41" t="s">
        <v>157</v>
      </c>
      <c r="B7" s="41" t="s">
        <v>166</v>
      </c>
      <c r="C7">
        <v>1</v>
      </c>
      <c r="D7" t="s">
        <v>156</v>
      </c>
      <c r="E7" s="64">
        <v>646.06518480287491</v>
      </c>
      <c r="F7">
        <v>8.8374004927050648E-5</v>
      </c>
      <c r="G7">
        <v>0.24740937121678261</v>
      </c>
      <c r="H7">
        <v>139.54398989602058</v>
      </c>
      <c r="I7">
        <v>3.49947859562179E-3</v>
      </c>
      <c r="J7">
        <v>1.5417221434199936E-6</v>
      </c>
      <c r="K7">
        <v>4.9164949620863326E-6</v>
      </c>
      <c r="L7">
        <v>3.2767157514610163</v>
      </c>
      <c r="M7" s="64">
        <v>45.552027985359125</v>
      </c>
      <c r="N7">
        <v>9.0790588681871565E-2</v>
      </c>
      <c r="O7">
        <v>7.8876477838834807E-6</v>
      </c>
      <c r="P7">
        <v>0.28021412410581076</v>
      </c>
      <c r="Q7">
        <v>0.99329652185335637</v>
      </c>
    </row>
    <row r="8" spans="1:18" ht="29">
      <c r="A8" s="41" t="s">
        <v>158</v>
      </c>
      <c r="B8" s="41" t="s">
        <v>167</v>
      </c>
      <c r="C8">
        <v>1</v>
      </c>
      <c r="D8" t="s">
        <v>156</v>
      </c>
      <c r="E8" s="64">
        <v>784.49695189248723</v>
      </c>
      <c r="F8">
        <v>1.0671107172116619E-4</v>
      </c>
      <c r="G8">
        <v>0.26812656769810395</v>
      </c>
      <c r="H8">
        <v>152.26202034391676</v>
      </c>
      <c r="I8">
        <v>5.2445891846148607E-3</v>
      </c>
      <c r="J8">
        <v>2.069324737531919E-6</v>
      </c>
      <c r="K8">
        <v>5.5750987573684981E-6</v>
      </c>
      <c r="L8">
        <v>4.0914195839735825</v>
      </c>
      <c r="M8" s="64">
        <v>55.823581319300651</v>
      </c>
      <c r="N8">
        <v>9.4825011334537967E-2</v>
      </c>
      <c r="O8">
        <v>9.4350355569093425E-6</v>
      </c>
      <c r="P8">
        <v>0.28617350187036955</v>
      </c>
      <c r="Q8">
        <v>0.99418234920752369</v>
      </c>
    </row>
    <row r="9" spans="1:18" ht="29">
      <c r="A9" s="41" t="s">
        <v>160</v>
      </c>
      <c r="B9" s="41" t="s">
        <v>166</v>
      </c>
      <c r="C9">
        <v>1</v>
      </c>
      <c r="D9" t="s">
        <v>159</v>
      </c>
      <c r="E9" s="64">
        <v>298.90460981706354</v>
      </c>
      <c r="F9">
        <v>4.1297880681104026E-5</v>
      </c>
      <c r="G9">
        <v>0.12738936733997375</v>
      </c>
      <c r="H9">
        <v>73.474501758758407</v>
      </c>
      <c r="I9">
        <v>1.9863643634877954E-3</v>
      </c>
      <c r="J9">
        <v>6.8973132132554943E-7</v>
      </c>
      <c r="K9">
        <v>2.9785553357164319E-6</v>
      </c>
      <c r="L9">
        <v>1.6203925346189427</v>
      </c>
      <c r="M9" s="64">
        <v>20.225379937104055</v>
      </c>
      <c r="N9">
        <v>4.8105620618746639E-2</v>
      </c>
      <c r="O9">
        <v>3.6211080409539292E-6</v>
      </c>
      <c r="P9">
        <v>0.24535207411155777</v>
      </c>
      <c r="Q9">
        <v>0.50798801875909705</v>
      </c>
    </row>
    <row r="10" spans="1:18" ht="29">
      <c r="A10" s="41" t="s">
        <v>163</v>
      </c>
      <c r="B10" s="41" t="s">
        <v>165</v>
      </c>
      <c r="C10">
        <v>1</v>
      </c>
      <c r="D10" t="s">
        <v>159</v>
      </c>
      <c r="E10" s="64">
        <v>362.76537122785305</v>
      </c>
      <c r="F10">
        <v>7.8213124695897073E-5</v>
      </c>
      <c r="G10">
        <v>0.14158783239823594</v>
      </c>
      <c r="H10">
        <v>165.82617262318919</v>
      </c>
      <c r="I10">
        <v>4.9142027136407284E-3</v>
      </c>
      <c r="J10">
        <v>1.7897729919515856E-6</v>
      </c>
      <c r="K10">
        <v>4.5502954854572833E-6</v>
      </c>
      <c r="L10">
        <v>8.866396732351717</v>
      </c>
      <c r="M10" s="64">
        <v>24.750813152611258</v>
      </c>
      <c r="N10">
        <v>5.104519884408798E-2</v>
      </c>
      <c r="O10">
        <v>5.1381586671223237E-6</v>
      </c>
      <c r="P10">
        <v>0.49293468862628281</v>
      </c>
      <c r="Q10">
        <v>0.52091129727020768</v>
      </c>
    </row>
    <row r="11" spans="1:18" ht="29">
      <c r="A11" s="41" t="s">
        <v>164</v>
      </c>
      <c r="B11" s="41" t="s">
        <v>165</v>
      </c>
      <c r="C11">
        <v>1</v>
      </c>
      <c r="D11" t="s">
        <v>159</v>
      </c>
      <c r="E11" s="64">
        <v>403.15282511499998</v>
      </c>
      <c r="F11">
        <v>9.2301176500166366E-5</v>
      </c>
      <c r="G11">
        <v>0.27129568099875478</v>
      </c>
      <c r="H11">
        <v>268.38810508636527</v>
      </c>
      <c r="I11">
        <v>9.3174076229809999E-3</v>
      </c>
      <c r="J11">
        <v>2.4034637413508233E-6</v>
      </c>
      <c r="K11">
        <v>2.4210783032867635E-5</v>
      </c>
      <c r="L11">
        <v>15.333226436899549</v>
      </c>
      <c r="M11" s="64">
        <v>28.636192776718737</v>
      </c>
      <c r="N11">
        <v>0.10975407877219798</v>
      </c>
      <c r="O11">
        <v>6.2737882995067713E-6</v>
      </c>
      <c r="P11">
        <v>0.67096434258435256</v>
      </c>
      <c r="Q11">
        <v>1.1896496892391504</v>
      </c>
    </row>
    <row r="12" spans="1:18" ht="29">
      <c r="A12" s="41" t="s">
        <v>168</v>
      </c>
      <c r="B12" s="41" t="s">
        <v>165</v>
      </c>
      <c r="C12">
        <v>1</v>
      </c>
      <c r="D12" t="s">
        <v>159</v>
      </c>
      <c r="E12" s="64">
        <v>468.80453232100007</v>
      </c>
      <c r="F12">
        <v>3.2861459647343637E-4</v>
      </c>
      <c r="G12">
        <v>0.30267296132992205</v>
      </c>
      <c r="H12">
        <v>367.41466259301967</v>
      </c>
      <c r="I12">
        <v>1.2090504685119002E-2</v>
      </c>
      <c r="J12">
        <v>4.3031529150581371E-6</v>
      </c>
      <c r="K12">
        <v>2.5651915142928477E-5</v>
      </c>
      <c r="L12">
        <v>18.468790962021263</v>
      </c>
      <c r="M12" s="64">
        <v>35.16351977807934</v>
      </c>
      <c r="N12">
        <v>0.1103406833428326</v>
      </c>
      <c r="O12">
        <v>7.1404419862428934E-6</v>
      </c>
      <c r="P12">
        <v>0.6887284928129872</v>
      </c>
      <c r="Q12">
        <v>1.2551147070436435</v>
      </c>
    </row>
    <row r="13" spans="1:18" ht="29">
      <c r="A13" s="41" t="s">
        <v>169</v>
      </c>
      <c r="B13" s="41" t="s">
        <v>165</v>
      </c>
      <c r="C13">
        <v>1</v>
      </c>
      <c r="D13" t="s">
        <v>171</v>
      </c>
      <c r="E13" s="64">
        <v>0.15375416961569066</v>
      </c>
      <c r="F13">
        <v>3.6872992981324138E-8</v>
      </c>
      <c r="G13">
        <v>6.634755617976001E-5</v>
      </c>
      <c r="H13">
        <v>0.12734070040599102</v>
      </c>
      <c r="I13">
        <v>4.999445491578747E-6</v>
      </c>
      <c r="J13">
        <v>1.1222508356306545E-9</v>
      </c>
      <c r="K13">
        <v>3.2055825741213609E-9</v>
      </c>
      <c r="L13">
        <v>1.1710006927054572E-2</v>
      </c>
      <c r="M13" s="64">
        <v>1.1490858572286064E-2</v>
      </c>
      <c r="N13">
        <v>2.1058936711990157E-5</v>
      </c>
      <c r="O13">
        <v>2.9961463967126605E-9</v>
      </c>
      <c r="P13">
        <v>1.7594818896006753E-4</v>
      </c>
      <c r="Q13">
        <v>2.3416364518348819E-4</v>
      </c>
    </row>
    <row r="14" spans="1:18" ht="58">
      <c r="A14" s="41" t="s">
        <v>170</v>
      </c>
      <c r="B14" s="41" t="s">
        <v>166</v>
      </c>
      <c r="C14">
        <v>1</v>
      </c>
      <c r="D14" t="s">
        <v>171</v>
      </c>
      <c r="E14" s="64">
        <v>0.15375416961569066</v>
      </c>
      <c r="F14">
        <v>3.6872992981324138E-8</v>
      </c>
      <c r="G14">
        <v>6.634755617976001E-5</v>
      </c>
      <c r="H14">
        <v>0.12734070040599102</v>
      </c>
      <c r="I14">
        <v>4.999445491578747E-6</v>
      </c>
      <c r="J14">
        <v>1.1222508356306545E-9</v>
      </c>
      <c r="K14">
        <v>3.2055825741213609E-9</v>
      </c>
      <c r="L14">
        <v>1.1710006927054572E-2</v>
      </c>
      <c r="M14" s="64">
        <v>1.1490858572286064E-2</v>
      </c>
      <c r="N14">
        <v>2.1058936711990157E-5</v>
      </c>
      <c r="O14">
        <v>2.9961463967126605E-9</v>
      </c>
      <c r="P14">
        <v>1.7594818896006753E-4</v>
      </c>
      <c r="Q14">
        <v>2.3416364518348819E-4</v>
      </c>
    </row>
    <row r="15" spans="1:18" ht="29">
      <c r="A15" s="41" t="s">
        <v>173</v>
      </c>
      <c r="B15" s="41" t="s">
        <v>166</v>
      </c>
      <c r="C15">
        <v>1</v>
      </c>
      <c r="D15" t="s">
        <v>159</v>
      </c>
      <c r="E15" s="64">
        <v>4715.69792764666</v>
      </c>
      <c r="F15">
        <v>1.3352376267734957E-3</v>
      </c>
      <c r="G15">
        <v>1.8975561100825613</v>
      </c>
      <c r="H15">
        <v>2206.7857779586852</v>
      </c>
      <c r="I15">
        <v>0.10620836251648257</v>
      </c>
      <c r="J15">
        <v>1.674547964033437E-5</v>
      </c>
      <c r="K15">
        <v>1.257545582215414E-4</v>
      </c>
      <c r="L15">
        <v>42.851531291988913</v>
      </c>
      <c r="M15" s="64">
        <v>262.11307346091513</v>
      </c>
      <c r="N15">
        <v>0.37291613475159524</v>
      </c>
      <c r="O15">
        <v>3.6399901951199087E-5</v>
      </c>
      <c r="P15">
        <v>1.9174036604935154</v>
      </c>
      <c r="Q15">
        <v>5.3913679988040561</v>
      </c>
    </row>
    <row r="16" spans="1:18" ht="29">
      <c r="A16" s="41" t="s">
        <v>172</v>
      </c>
      <c r="B16" s="41" t="s">
        <v>166</v>
      </c>
      <c r="C16">
        <v>1</v>
      </c>
      <c r="D16" t="s">
        <v>159</v>
      </c>
      <c r="E16" s="64">
        <v>1064.1247264528388</v>
      </c>
      <c r="F16">
        <v>9.9708720432709466E-2</v>
      </c>
      <c r="G16">
        <v>1.2468077032350324</v>
      </c>
      <c r="H16">
        <v>4741.825139532235</v>
      </c>
      <c r="I16">
        <v>9.9840564256347991E-2</v>
      </c>
      <c r="J16">
        <v>1.6690577852172976E-5</v>
      </c>
      <c r="K16">
        <v>4.4097169949958571E-4</v>
      </c>
      <c r="L16">
        <v>1527.6325360969897</v>
      </c>
      <c r="M16" s="64">
        <v>98.219919621014355</v>
      </c>
      <c r="N16">
        <v>0.25039183725500741</v>
      </c>
      <c r="O16">
        <v>7.6490650333832492E-6</v>
      </c>
      <c r="P16">
        <v>0.58531457595557645</v>
      </c>
      <c r="Q16">
        <v>2.2504663204981274</v>
      </c>
    </row>
    <row r="17" spans="1:18" ht="29">
      <c r="A17" s="41" t="s">
        <v>175</v>
      </c>
      <c r="B17" t="s">
        <v>166</v>
      </c>
      <c r="C17">
        <v>1</v>
      </c>
      <c r="D17" t="s">
        <v>171</v>
      </c>
      <c r="E17" s="64">
        <v>11.369951876920002</v>
      </c>
      <c r="F17">
        <v>6.7848896024015836E-6</v>
      </c>
      <c r="G17">
        <v>4.6849154845781393E-3</v>
      </c>
      <c r="H17">
        <v>12.246379711576955</v>
      </c>
      <c r="I17">
        <v>5.4684053392056601E-4</v>
      </c>
      <c r="J17">
        <v>6.9575470746035965E-8</v>
      </c>
      <c r="K17">
        <v>5.4709133381915723E-7</v>
      </c>
      <c r="L17">
        <v>0.12966873426188633</v>
      </c>
      <c r="M17" s="64">
        <v>0.9225705154557986</v>
      </c>
      <c r="N17">
        <v>1.9225096306814088E-3</v>
      </c>
      <c r="O17">
        <v>1.0367477686136378E-7</v>
      </c>
      <c r="P17">
        <v>2.9151883301611974E-3</v>
      </c>
      <c r="Q17">
        <v>1.2738448206781699E-2</v>
      </c>
    </row>
    <row r="18" spans="1:18" ht="29">
      <c r="A18" s="41" t="s">
        <v>174</v>
      </c>
      <c r="B18" s="41" t="s">
        <v>166</v>
      </c>
      <c r="C18">
        <v>1</v>
      </c>
      <c r="D18" t="s">
        <v>171</v>
      </c>
      <c r="E18" s="64">
        <v>12.459802441400001</v>
      </c>
      <c r="F18">
        <v>5.1106934718949926E-6</v>
      </c>
      <c r="G18">
        <v>7.0873533316923119E-3</v>
      </c>
      <c r="H18">
        <v>11.346342503804907</v>
      </c>
      <c r="I18">
        <v>8.9462902884858745E-4</v>
      </c>
      <c r="J18">
        <v>8.4979830213176239E-8</v>
      </c>
      <c r="K18">
        <v>6.8528278210097145E-7</v>
      </c>
      <c r="L18">
        <v>0.41283973563562626</v>
      </c>
      <c r="M18" s="64">
        <v>1.0562729999263603</v>
      </c>
      <c r="N18">
        <v>1.2181380743250586E-3</v>
      </c>
      <c r="O18">
        <v>1.3732422692721845E-7</v>
      </c>
      <c r="P18">
        <v>2.9270799755160082E-3</v>
      </c>
      <c r="Q18">
        <v>1.1722944208863611E-2</v>
      </c>
    </row>
    <row r="19" spans="1:18" ht="29">
      <c r="A19" s="41" t="s">
        <v>517</v>
      </c>
      <c r="B19" s="41" t="s">
        <v>166</v>
      </c>
      <c r="C19">
        <v>1</v>
      </c>
      <c r="D19" t="s">
        <v>171</v>
      </c>
      <c r="E19" s="64">
        <v>16.107442183706645</v>
      </c>
      <c r="F19">
        <v>3.2535317738108149E-6</v>
      </c>
      <c r="G19">
        <v>1.0263918688979178E-2</v>
      </c>
      <c r="H19">
        <v>16.494209739807566</v>
      </c>
      <c r="I19">
        <v>1.4049702209688554E-3</v>
      </c>
      <c r="J19">
        <v>1.2791089727173715E-7</v>
      </c>
      <c r="K19">
        <v>8.1008452940599144E-7</v>
      </c>
      <c r="L19">
        <v>0.71820727348794011</v>
      </c>
      <c r="M19" s="64">
        <v>1.405919118480965</v>
      </c>
      <c r="N19">
        <v>1.7966031046226533E-3</v>
      </c>
      <c r="O19">
        <v>1.7575307946048742E-7</v>
      </c>
      <c r="P19">
        <v>4.3521081836456511E-3</v>
      </c>
      <c r="Q19">
        <v>1.7900048081847753E-2</v>
      </c>
    </row>
    <row r="20" spans="1:18" ht="16" customHeight="1">
      <c r="A20" s="41" t="s">
        <v>292</v>
      </c>
      <c r="B20" s="41" t="s">
        <v>166</v>
      </c>
      <c r="C20">
        <v>1</v>
      </c>
      <c r="D20" t="s">
        <v>293</v>
      </c>
      <c r="E20" s="64">
        <v>1.4090127130570003</v>
      </c>
      <c r="F20">
        <v>1.6001416694243002E-7</v>
      </c>
      <c r="G20">
        <v>2.7729826703662322E-4</v>
      </c>
      <c r="H20">
        <v>0.32338742646740132</v>
      </c>
      <c r="I20">
        <v>7.0870319307712308E-6</v>
      </c>
      <c r="J20">
        <v>2.4396256448220033E-9</v>
      </c>
      <c r="K20">
        <v>2.1848728393536919E-8</v>
      </c>
      <c r="L20">
        <v>7.1472672819920873E-3</v>
      </c>
      <c r="M20" s="64">
        <v>8.6431629343448765E-2</v>
      </c>
      <c r="N20">
        <v>5.9265983238524232E-5</v>
      </c>
      <c r="O20">
        <v>1.7291954214882186E-8</v>
      </c>
      <c r="P20">
        <v>2.4978992184583783E-4</v>
      </c>
      <c r="Q20">
        <v>6.4636584439897477E-4</v>
      </c>
    </row>
    <row r="21" spans="1:18" ht="21" customHeight="1">
      <c r="A21" t="s">
        <v>315</v>
      </c>
      <c r="B21" s="41" t="s">
        <v>316</v>
      </c>
      <c r="C21">
        <v>1</v>
      </c>
      <c r="D21" t="s">
        <v>171</v>
      </c>
      <c r="E21" s="64">
        <v>158.34513384300001</v>
      </c>
      <c r="F21">
        <v>9.3541113198704578E-4</v>
      </c>
      <c r="G21">
        <v>0.11111410121582935</v>
      </c>
      <c r="H21">
        <v>134.23602511301959</v>
      </c>
      <c r="I21">
        <v>6.25152331349143E-3</v>
      </c>
      <c r="J21">
        <v>5.9236816729050326E-7</v>
      </c>
      <c r="K21">
        <v>3.7094437995370453E-6</v>
      </c>
      <c r="L21">
        <v>0.93791976835511648</v>
      </c>
      <c r="M21" s="64">
        <v>10.471859278480427</v>
      </c>
      <c r="N21">
        <v>2.1568723351838633E-2</v>
      </c>
      <c r="O21">
        <v>1.8180023172689549E-5</v>
      </c>
      <c r="P21">
        <v>4.0349375883458737E-2</v>
      </c>
      <c r="Q21">
        <v>0.1341350082433316</v>
      </c>
    </row>
    <row r="22" spans="1:18">
      <c r="A22" t="s">
        <v>317</v>
      </c>
      <c r="B22" s="41" t="s">
        <v>316</v>
      </c>
      <c r="C22">
        <v>1</v>
      </c>
      <c r="D22" t="s">
        <v>171</v>
      </c>
      <c r="E22" s="64">
        <v>153.20239890900001</v>
      </c>
      <c r="F22">
        <v>5.7481128049162129E-5</v>
      </c>
      <c r="G22">
        <v>6.2379579715651057E-2</v>
      </c>
      <c r="H22">
        <v>112.78275450503926</v>
      </c>
      <c r="I22">
        <v>1.6471953338220525E-2</v>
      </c>
      <c r="J22">
        <v>7.3033681115361793E-7</v>
      </c>
      <c r="K22">
        <v>3.8901942354486877E-6</v>
      </c>
      <c r="L22">
        <v>1.4295797965743313</v>
      </c>
      <c r="M22" s="64">
        <v>11.211587240872554</v>
      </c>
      <c r="N22">
        <v>1.3664735415187255E-2</v>
      </c>
      <c r="O22">
        <v>2.515363251939561E-6</v>
      </c>
      <c r="P22">
        <v>3.3868608211704898E-2</v>
      </c>
      <c r="Q22">
        <v>0.11848877543202005</v>
      </c>
    </row>
    <row r="23" spans="1:18">
      <c r="A23" t="s">
        <v>674</v>
      </c>
      <c r="B23" s="41" t="s">
        <v>678</v>
      </c>
      <c r="C23">
        <v>1</v>
      </c>
      <c r="D23" t="s">
        <v>171</v>
      </c>
      <c r="E23" s="64">
        <v>0.76065742348000176</v>
      </c>
      <c r="F23">
        <v>4.1284062949063302E-7</v>
      </c>
      <c r="G23">
        <v>4.4163364941709376E-4</v>
      </c>
      <c r="H23">
        <v>0.68033838672679225</v>
      </c>
      <c r="I23">
        <v>2.3589689643072027E-5</v>
      </c>
      <c r="J23">
        <v>8.6881417581337657E-9</v>
      </c>
      <c r="K23">
        <v>3.0267104778677516E-8</v>
      </c>
      <c r="L23">
        <v>4.857734052235124E-3</v>
      </c>
      <c r="M23" s="64">
        <v>0.10746013684364035</v>
      </c>
      <c r="N23">
        <v>1.1915970671549003E-4</v>
      </c>
      <c r="O23">
        <v>6.9251354889377284E-9</v>
      </c>
      <c r="P23">
        <v>3.5161215165272104E-4</v>
      </c>
      <c r="Q23">
        <v>1.3352225188094668E-3</v>
      </c>
    </row>
    <row r="24" spans="1:18">
      <c r="A24" t="s">
        <v>675</v>
      </c>
      <c r="B24" s="41" t="s">
        <v>166</v>
      </c>
      <c r="C24">
        <v>1</v>
      </c>
      <c r="D24" t="s">
        <v>171</v>
      </c>
      <c r="E24" s="64">
        <v>2.2575016147307534</v>
      </c>
      <c r="F24">
        <v>5.6693337468250312E-7</v>
      </c>
      <c r="G24">
        <v>7.5104634545708655E-4</v>
      </c>
      <c r="H24">
        <v>0.90031107386600473</v>
      </c>
      <c r="I24">
        <v>3.830328346766237E-5</v>
      </c>
      <c r="J24">
        <v>9.8148701105302115E-9</v>
      </c>
      <c r="K24">
        <v>3.1051014163559451E-8</v>
      </c>
      <c r="L24">
        <v>1.4305029496289595E-2</v>
      </c>
      <c r="M24" s="64">
        <v>0.24346136773876673</v>
      </c>
      <c r="N24">
        <v>1.9674458283712627E-4</v>
      </c>
      <c r="O24">
        <v>2.0128247892080564E-8</v>
      </c>
      <c r="P24">
        <v>6.6032092479991302E-4</v>
      </c>
      <c r="Q24">
        <v>2.1982872629311219E-3</v>
      </c>
    </row>
    <row r="25" spans="1:18">
      <c r="A25" t="s">
        <v>676</v>
      </c>
      <c r="B25" s="41" t="s">
        <v>679</v>
      </c>
      <c r="C25">
        <v>1</v>
      </c>
      <c r="D25" t="s">
        <v>171</v>
      </c>
      <c r="E25" s="64">
        <v>0.3661752571780722</v>
      </c>
      <c r="F25">
        <v>4.8584255879602031E-8</v>
      </c>
      <c r="G25">
        <v>2.9720194543936485E-4</v>
      </c>
      <c r="H25">
        <v>0.16909569641985678</v>
      </c>
      <c r="I25">
        <v>1.0212093232402382E-5</v>
      </c>
      <c r="J25">
        <v>1.5727827999314551E-9</v>
      </c>
      <c r="K25">
        <v>8.8363171356106157E-9</v>
      </c>
      <c r="L25">
        <v>1.4084583482009041E-3</v>
      </c>
      <c r="M25" s="64">
        <v>3.6749633847296084E-2</v>
      </c>
      <c r="N25">
        <v>5.1986888966610725E-5</v>
      </c>
      <c r="O25">
        <v>2.2438079168332521E-9</v>
      </c>
      <c r="P25">
        <v>1.5691710096271845E-4</v>
      </c>
      <c r="Q25">
        <v>5.6179545911061533E-4</v>
      </c>
    </row>
    <row r="26" spans="1:18">
      <c r="A26" t="s">
        <v>677</v>
      </c>
      <c r="B26" s="41" t="s">
        <v>452</v>
      </c>
      <c r="C26">
        <v>1</v>
      </c>
      <c r="D26" t="s">
        <v>171</v>
      </c>
      <c r="E26" s="64">
        <v>2.9515954513237004</v>
      </c>
      <c r="F26">
        <v>3.5654994148268035E-7</v>
      </c>
      <c r="G26">
        <v>2.1145502792412245E-3</v>
      </c>
      <c r="H26">
        <v>1.2922587542230712</v>
      </c>
      <c r="I26">
        <v>9.8345666400117808E-5</v>
      </c>
      <c r="J26">
        <v>1.1796771189462066E-8</v>
      </c>
      <c r="K26">
        <v>7.4444199736104595E-8</v>
      </c>
      <c r="L26">
        <v>3.6383279445715892E-2</v>
      </c>
      <c r="M26" s="64">
        <v>0.860694716744281</v>
      </c>
      <c r="N26">
        <v>5.474276971876047E-4</v>
      </c>
      <c r="O26">
        <v>2.628932517532899E-8</v>
      </c>
      <c r="P26">
        <v>1.5237754525968632E-3</v>
      </c>
      <c r="Q26">
        <v>6.2625144744269026E-3</v>
      </c>
    </row>
    <row r="27" spans="1:18">
      <c r="A27" t="s">
        <v>868</v>
      </c>
      <c r="B27" s="41" t="s">
        <v>165</v>
      </c>
      <c r="C27">
        <v>1</v>
      </c>
      <c r="D27" t="s">
        <v>171</v>
      </c>
      <c r="E27" s="64">
        <v>7.0832501753474372E-2</v>
      </c>
      <c r="F27">
        <v>3.2000610768009622E-8</v>
      </c>
      <c r="G27">
        <v>3.6509535293467103E-5</v>
      </c>
      <c r="H27">
        <v>3.6705197937558609E-2</v>
      </c>
      <c r="I27">
        <v>1.0365763550338936E-6</v>
      </c>
      <c r="J27">
        <v>4.4411564236138861E-10</v>
      </c>
      <c r="K27">
        <v>1.6464611482240814E-9</v>
      </c>
      <c r="L27">
        <v>1.3339067177800051E-3</v>
      </c>
      <c r="M27" s="64">
        <v>5.0513983546246035E-3</v>
      </c>
      <c r="N27">
        <v>1.2831543775817321E-5</v>
      </c>
      <c r="O27">
        <v>9.5312494712816316E-10</v>
      </c>
      <c r="P27">
        <v>3.8434253166685368E-5</v>
      </c>
      <c r="Q27">
        <v>1.467077543188832E-4</v>
      </c>
      <c r="R27">
        <v>2.0985756925900079</v>
      </c>
    </row>
    <row r="28" spans="1:18">
      <c r="A28" t="s">
        <v>837</v>
      </c>
      <c r="B28" s="41" t="s">
        <v>166</v>
      </c>
      <c r="C28">
        <v>1</v>
      </c>
      <c r="D28" t="s">
        <v>171</v>
      </c>
      <c r="E28" s="64">
        <v>1.0896857265205164</v>
      </c>
      <c r="F28">
        <v>2.5689841378060846E-7</v>
      </c>
      <c r="G28">
        <v>9.0090864059273789E-4</v>
      </c>
      <c r="H28">
        <v>1.2622332930818443</v>
      </c>
      <c r="I28">
        <v>7.6022553192390982E-5</v>
      </c>
      <c r="J28">
        <v>8.7661627245591242E-9</v>
      </c>
      <c r="K28">
        <v>1.2384023527255086E-7</v>
      </c>
      <c r="L28">
        <v>4.1478253596833402E-2</v>
      </c>
      <c r="M28" s="64">
        <v>8.9298241681094029E-2</v>
      </c>
      <c r="N28">
        <v>3.2805048435182886E-4</v>
      </c>
      <c r="O28">
        <v>1.0552926948442752E-8</v>
      </c>
      <c r="P28">
        <v>7.2192423070461999E-4</v>
      </c>
      <c r="Q28">
        <v>3.0672232951254588E-3</v>
      </c>
      <c r="R28">
        <v>46.064447133518591</v>
      </c>
    </row>
    <row r="29" spans="1:18">
      <c r="A29" t="s">
        <v>983</v>
      </c>
      <c r="B29" s="41" t="s">
        <v>166</v>
      </c>
      <c r="C29">
        <v>1</v>
      </c>
      <c r="D29" t="s">
        <v>171</v>
      </c>
      <c r="E29" s="64">
        <v>51.797364073161077</v>
      </c>
      <c r="F29">
        <v>1.7439890637995985E-5</v>
      </c>
      <c r="G29">
        <v>1.790892890769873E-2</v>
      </c>
      <c r="H29">
        <v>20.043569425526652</v>
      </c>
      <c r="I29">
        <v>6.3742336640107455E-4</v>
      </c>
      <c r="J29">
        <v>1.3417949624924003E-7</v>
      </c>
      <c r="K29">
        <v>8.2646455448213603E-7</v>
      </c>
      <c r="L29">
        <v>0.16211118233318131</v>
      </c>
      <c r="M29" s="64">
        <v>2.6231672960199099</v>
      </c>
      <c r="N29">
        <v>2.2011377081832904E-3</v>
      </c>
      <c r="O29">
        <v>4.1321944492768805E-7</v>
      </c>
      <c r="P29">
        <v>7.0393164947111283E-3</v>
      </c>
      <c r="Q29">
        <v>4.6583793451797299E-2</v>
      </c>
      <c r="R29">
        <v>214.83048567326571</v>
      </c>
    </row>
    <row r="30" spans="1:18">
      <c r="A30" t="s">
        <v>1075</v>
      </c>
      <c r="B30" s="41" t="s">
        <v>1076</v>
      </c>
      <c r="C30">
        <v>1</v>
      </c>
      <c r="D30" t="s">
        <v>171</v>
      </c>
      <c r="E30" s="64">
        <v>78.349798631771947</v>
      </c>
      <c r="F30">
        <v>2.8186352024034113E-5</v>
      </c>
      <c r="G30">
        <v>3.5661362095056479E-2</v>
      </c>
      <c r="H30">
        <v>33.082262766348684</v>
      </c>
      <c r="I30">
        <v>1.1080478941350314E-3</v>
      </c>
      <c r="J30">
        <v>2.1118045298380575E-7</v>
      </c>
      <c r="K30">
        <v>1.3541709009885486E-6</v>
      </c>
      <c r="L30">
        <v>0.28346339353599642</v>
      </c>
      <c r="M30" s="64">
        <v>4.5590450508060574</v>
      </c>
      <c r="N30">
        <v>3.9566298785206934E-3</v>
      </c>
      <c r="O30">
        <v>6.3801103037768443E-7</v>
      </c>
      <c r="P30">
        <v>1.1150539068376132E-2</v>
      </c>
      <c r="Q30">
        <v>0.10039946547394067</v>
      </c>
      <c r="R30">
        <v>413.51560734159773</v>
      </c>
    </row>
    <row r="31" spans="1:18" s="555" customFormat="1">
      <c r="A31" s="555" t="s">
        <v>984</v>
      </c>
      <c r="B31" s="556" t="s">
        <v>166</v>
      </c>
      <c r="C31" s="555">
        <v>1</v>
      </c>
      <c r="D31" s="555" t="s">
        <v>171</v>
      </c>
      <c r="E31" s="557">
        <v>80.450583864596041</v>
      </c>
      <c r="F31" s="555">
        <v>1.3723596913566038E-5</v>
      </c>
      <c r="G31" s="555">
        <v>1.5928428553076961E-2</v>
      </c>
      <c r="H31" s="555">
        <v>27.839780577959129</v>
      </c>
      <c r="I31" s="555">
        <v>1.2934519432605796E-3</v>
      </c>
      <c r="J31" s="555">
        <v>1.9356711482502641E-7</v>
      </c>
      <c r="K31" s="555">
        <v>8.7131676364349882E-7</v>
      </c>
      <c r="L31" s="555">
        <v>0.26761583414563378</v>
      </c>
      <c r="M31" s="557">
        <v>3.5220246016894117</v>
      </c>
      <c r="N31" s="555">
        <v>2.8828830858229457E-3</v>
      </c>
      <c r="O31" s="555">
        <v>1.9268649440020605E-7</v>
      </c>
      <c r="P31" s="555">
        <v>1.5615404835228254E-2</v>
      </c>
      <c r="Q31" s="555">
        <v>3.0068815841454141E-2</v>
      </c>
      <c r="R31" s="555">
        <v>422.50986775925037</v>
      </c>
    </row>
    <row r="32" spans="1:18">
      <c r="A32" t="s">
        <v>1052</v>
      </c>
      <c r="B32" s="41" t="s">
        <v>166</v>
      </c>
      <c r="C32">
        <v>1</v>
      </c>
      <c r="D32" t="s">
        <v>159</v>
      </c>
      <c r="E32" s="64">
        <v>1259.0977089770408</v>
      </c>
      <c r="F32">
        <v>4.325517613178622E-4</v>
      </c>
      <c r="G32">
        <v>0.72199588442474572</v>
      </c>
      <c r="H32">
        <v>723.96365252636247</v>
      </c>
      <c r="I32">
        <v>3.3495938635053735E-2</v>
      </c>
      <c r="J32">
        <v>8.407029387756193E-6</v>
      </c>
      <c r="K32">
        <v>3.8292578414750597E-5</v>
      </c>
      <c r="L32">
        <v>10.596233491163765</v>
      </c>
      <c r="M32" s="64">
        <v>100.6647210180427</v>
      </c>
      <c r="N32">
        <v>0.22197201124350963</v>
      </c>
      <c r="O32">
        <v>1.128544231893687E-5</v>
      </c>
      <c r="P32">
        <v>0.69627245100402391</v>
      </c>
      <c r="Q32">
        <v>2.4637271806534478</v>
      </c>
      <c r="R32">
        <v>18451.641080208203</v>
      </c>
    </row>
    <row r="33" spans="1:18">
      <c r="A33" t="s">
        <v>1057</v>
      </c>
      <c r="B33" s="41" t="s">
        <v>166</v>
      </c>
      <c r="C33">
        <v>1</v>
      </c>
      <c r="D33" t="s">
        <v>159</v>
      </c>
      <c r="E33" s="64">
        <v>907.53504416555734</v>
      </c>
      <c r="F33">
        <v>1.758457707401049E-4</v>
      </c>
      <c r="G33">
        <v>0.45187747389878175</v>
      </c>
      <c r="H33">
        <v>426.53577861455835</v>
      </c>
      <c r="I33">
        <v>1.6387946029299567E-2</v>
      </c>
      <c r="J33">
        <v>4.7211333258083211E-6</v>
      </c>
      <c r="K33">
        <v>1.686389868232647E-5</v>
      </c>
      <c r="L33">
        <v>6.3938436774365224</v>
      </c>
      <c r="M33" s="64">
        <v>67.734523905205677</v>
      </c>
      <c r="N33">
        <v>0.1441756190513809</v>
      </c>
      <c r="O33">
        <v>9.3279380489287259E-6</v>
      </c>
      <c r="P33">
        <v>0.47808673017148917</v>
      </c>
      <c r="Q33">
        <v>1.5613005225489689</v>
      </c>
      <c r="R33">
        <v>8863.3920439671492</v>
      </c>
    </row>
    <row r="34" spans="1:18">
      <c r="A34" t="s">
        <v>1053</v>
      </c>
      <c r="B34" s="41" t="s">
        <v>316</v>
      </c>
      <c r="C34">
        <v>1</v>
      </c>
      <c r="D34" t="s">
        <v>159</v>
      </c>
      <c r="E34" s="64">
        <v>6173.9770644566906</v>
      </c>
      <c r="F34">
        <v>1.543111117821835E-3</v>
      </c>
      <c r="G34">
        <v>3.0988403923565904</v>
      </c>
      <c r="H34">
        <v>2659.3020558330877</v>
      </c>
      <c r="I34">
        <v>0.11370488000986084</v>
      </c>
      <c r="J34">
        <v>2.107766660566043E-5</v>
      </c>
      <c r="K34">
        <v>1.3346343005757474E-4</v>
      </c>
      <c r="L34">
        <v>36.644418580158998</v>
      </c>
      <c r="M34" s="64">
        <v>377.13585153414709</v>
      </c>
      <c r="N34">
        <v>0.53712751201603481</v>
      </c>
      <c r="O34">
        <v>4.8831709701078782E-5</v>
      </c>
      <c r="P34">
        <v>2.3633307518817923</v>
      </c>
      <c r="Q34">
        <v>7.1541421399547716</v>
      </c>
      <c r="R34">
        <v>55519.748297592043</v>
      </c>
    </row>
    <row r="35" spans="1:18">
      <c r="A35" t="s">
        <v>1070</v>
      </c>
      <c r="B35" s="41" t="s">
        <v>166</v>
      </c>
      <c r="C35">
        <v>1</v>
      </c>
      <c r="D35" t="s">
        <v>159</v>
      </c>
      <c r="E35" s="64">
        <v>10249.661475096675</v>
      </c>
      <c r="F35">
        <v>6.1716910622606706E-3</v>
      </c>
      <c r="G35">
        <v>4.5669076479928359</v>
      </c>
      <c r="H35">
        <v>7186.1584198740484</v>
      </c>
      <c r="I35">
        <v>0.29165631890040361</v>
      </c>
      <c r="J35">
        <v>7.4659418852953004E-5</v>
      </c>
      <c r="K35">
        <v>3.5444270959431745E-4</v>
      </c>
      <c r="L35">
        <v>77.587716825805458</v>
      </c>
      <c r="M35" s="64">
        <v>648.51694982688343</v>
      </c>
      <c r="N35">
        <v>0.8241543935849629</v>
      </c>
      <c r="O35">
        <v>7.9725195532479896E-5</v>
      </c>
      <c r="P35">
        <v>3.01248831019962</v>
      </c>
      <c r="Q35">
        <v>12.701677164028652</v>
      </c>
      <c r="R35">
        <v>105060.78642399707</v>
      </c>
    </row>
    <row r="36" spans="1:18">
      <c r="A36" t="s">
        <v>1062</v>
      </c>
      <c r="B36" s="41" t="s">
        <v>678</v>
      </c>
      <c r="C36">
        <v>1</v>
      </c>
      <c r="D36" t="s">
        <v>492</v>
      </c>
      <c r="E36" s="64">
        <v>0.65952444199311544</v>
      </c>
      <c r="F36">
        <v>1.0076591039905082E-7</v>
      </c>
      <c r="G36">
        <v>3.2808922818181475E-4</v>
      </c>
      <c r="H36">
        <v>0.66521725903564</v>
      </c>
      <c r="I36">
        <v>6.501435801115555E-5</v>
      </c>
      <c r="J36">
        <v>9.1637709515292989E-9</v>
      </c>
      <c r="K36">
        <v>2.3915046488448856E-8</v>
      </c>
      <c r="L36">
        <v>1.0173768721754293E-2</v>
      </c>
      <c r="M36" s="64">
        <v>6.212580200575981E-2</v>
      </c>
      <c r="N36">
        <v>9.7083541871812942E-5</v>
      </c>
      <c r="O36">
        <v>4.5498489403442471E-9</v>
      </c>
      <c r="P36">
        <v>2.4398486636252484E-4</v>
      </c>
      <c r="Q36">
        <v>1.1171338554242874E-3</v>
      </c>
      <c r="R36">
        <v>9.4169268094991061</v>
      </c>
    </row>
    <row r="37" spans="1:18">
      <c r="A37" t="s">
        <v>1063</v>
      </c>
      <c r="B37" s="41" t="s">
        <v>316</v>
      </c>
      <c r="C37">
        <v>1</v>
      </c>
      <c r="D37" t="s">
        <v>492</v>
      </c>
      <c r="E37" s="64">
        <v>0.15488326190146359</v>
      </c>
      <c r="F37">
        <v>2.7788327338820686E-9</v>
      </c>
      <c r="G37">
        <v>2.8789004881103004E-4</v>
      </c>
      <c r="H37">
        <v>2.3989360991646936E-2</v>
      </c>
      <c r="I37">
        <v>1.5339178870033507E-6</v>
      </c>
      <c r="J37">
        <v>3.1058075988574485E-10</v>
      </c>
      <c r="K37">
        <v>9.3070095798125055E-10</v>
      </c>
      <c r="L37">
        <v>1.0149533200627244E-3</v>
      </c>
      <c r="M37" s="64">
        <v>1.1306099206436529E-2</v>
      </c>
      <c r="N37">
        <v>5.6887191540559793E-5</v>
      </c>
      <c r="O37">
        <v>1.8045020098172353E-9</v>
      </c>
      <c r="P37">
        <v>1.6643885373869016E-4</v>
      </c>
      <c r="Q37">
        <v>6.3355002655036995E-4</v>
      </c>
      <c r="R37">
        <v>0.85070882691277239</v>
      </c>
    </row>
    <row r="38" spans="1:18">
      <c r="A38" t="s">
        <v>1068</v>
      </c>
      <c r="B38" s="41" t="s">
        <v>166</v>
      </c>
      <c r="C38">
        <v>1</v>
      </c>
      <c r="D38" t="s">
        <v>171</v>
      </c>
      <c r="E38" s="64">
        <v>1.2710407047580672</v>
      </c>
      <c r="F38">
        <v>2.8862115996950753E-7</v>
      </c>
      <c r="G38">
        <v>9.6839537475432158E-4</v>
      </c>
      <c r="H38">
        <v>1.3094774997800545</v>
      </c>
      <c r="I38">
        <v>7.6972678752843828E-5</v>
      </c>
      <c r="J38">
        <v>9.1320628339774632E-9</v>
      </c>
      <c r="K38">
        <v>1.266920188412796E-7</v>
      </c>
      <c r="L38">
        <v>4.237035859237042E-2</v>
      </c>
      <c r="M38" s="64">
        <v>0.10114447130907343</v>
      </c>
      <c r="N38">
        <v>3.5216040549027164E-4</v>
      </c>
      <c r="O38">
        <v>1.2769859332465085E-8</v>
      </c>
      <c r="P38">
        <v>7.9591614419838384E-4</v>
      </c>
      <c r="Q38">
        <v>3.3308781974904474E-3</v>
      </c>
      <c r="R38">
        <v>46.444310238447059</v>
      </c>
    </row>
    <row r="39" spans="1:18">
      <c r="B39" s="41"/>
    </row>
    <row r="40" spans="1:18">
      <c r="A40" s="1" t="s">
        <v>809</v>
      </c>
      <c r="B40" s="41"/>
    </row>
    <row r="41" spans="1:18" s="265" customFormat="1">
      <c r="A41" t="s">
        <v>884</v>
      </c>
      <c r="B41" s="264" t="s">
        <v>452</v>
      </c>
      <c r="C41" s="265">
        <v>1</v>
      </c>
      <c r="D41" s="265" t="s">
        <v>127</v>
      </c>
      <c r="E41" s="64">
        <v>1.1476615669221184</v>
      </c>
      <c r="F41">
        <v>1.0461092915112289E-8</v>
      </c>
      <c r="G41">
        <v>1.2909204422916168E-3</v>
      </c>
      <c r="H41">
        <v>0.45428835608162832</v>
      </c>
      <c r="I41">
        <v>4.6171976439231481E-5</v>
      </c>
      <c r="J41">
        <v>5.4322328001577194E-9</v>
      </c>
      <c r="K41">
        <v>2.0014443880788076E-8</v>
      </c>
      <c r="L41">
        <v>2.2613143468752841E-3</v>
      </c>
      <c r="M41" s="64">
        <v>0.1378888304637727</v>
      </c>
      <c r="N41">
        <v>1.5037412129505605E-4</v>
      </c>
      <c r="O41">
        <v>1.5788958912004666E-9</v>
      </c>
      <c r="P41">
        <v>4.4903436531745734E-4</v>
      </c>
      <c r="Q41">
        <v>1.5847111795911193E-3</v>
      </c>
      <c r="R41">
        <v>2.3619944023401773</v>
      </c>
    </row>
    <row r="42" spans="1:18">
      <c r="A42" t="s">
        <v>512</v>
      </c>
      <c r="B42" s="41" t="s">
        <v>502</v>
      </c>
      <c r="C42">
        <v>1</v>
      </c>
      <c r="D42" t="s">
        <v>505</v>
      </c>
      <c r="E42" s="64">
        <v>6.004984487394001</v>
      </c>
      <c r="F42">
        <v>3.090827805355979E-8</v>
      </c>
      <c r="G42">
        <v>2.0524442237577695E-4</v>
      </c>
      <c r="H42">
        <v>7.4958793758158795E-2</v>
      </c>
      <c r="I42">
        <v>2.1876429582848498E-6</v>
      </c>
      <c r="J42">
        <v>1.2981742855203363E-9</v>
      </c>
      <c r="K42">
        <v>4.4899158834226153E-9</v>
      </c>
      <c r="L42">
        <v>1.0973123369029468E-2</v>
      </c>
      <c r="M42" s="64">
        <v>0.35149487296956827</v>
      </c>
      <c r="N42">
        <v>8.9238908677701553E-5</v>
      </c>
      <c r="O42">
        <v>2.6491715372644897E-8</v>
      </c>
      <c r="P42">
        <v>2.7305498878151977E-4</v>
      </c>
      <c r="Q42">
        <v>9.7544029939560634E-4</v>
      </c>
    </row>
    <row r="43" spans="1:18" ht="60" customHeight="1">
      <c r="A43" s="41" t="s">
        <v>501</v>
      </c>
      <c r="B43" s="41" t="s">
        <v>165</v>
      </c>
      <c r="C43">
        <v>1</v>
      </c>
      <c r="D43" t="s">
        <v>127</v>
      </c>
      <c r="E43" s="64">
        <v>1.1293953493885045E-2</v>
      </c>
      <c r="F43">
        <v>1.0803102333985348E-8</v>
      </c>
      <c r="G43">
        <v>1.3875686577579464E-4</v>
      </c>
      <c r="H43">
        <v>0.11873882026800195</v>
      </c>
      <c r="I43">
        <v>4.319076657329928E-6</v>
      </c>
      <c r="J43">
        <v>7.0856084496783169E-10</v>
      </c>
      <c r="K43">
        <v>3.2904163043968094E-8</v>
      </c>
      <c r="L43">
        <v>1.9874551888686733E-3</v>
      </c>
      <c r="M43" s="64">
        <v>2.0502297646166671E-3</v>
      </c>
      <c r="N43">
        <v>6.3820886905189517E-5</v>
      </c>
      <c r="O43">
        <v>3.1544237111683172E-10</v>
      </c>
      <c r="P43">
        <v>1.7456800815591488E-4</v>
      </c>
      <c r="Q43">
        <v>7.3132576051838526E-4</v>
      </c>
    </row>
    <row r="44" spans="1:18" s="45" customFormat="1">
      <c r="A44" s="45" t="s">
        <v>427</v>
      </c>
      <c r="B44" s="281" t="s">
        <v>428</v>
      </c>
      <c r="C44" s="45">
        <v>1</v>
      </c>
      <c r="D44" s="45" t="s">
        <v>393</v>
      </c>
      <c r="E44" s="282">
        <v>18.343497536524332</v>
      </c>
      <c r="F44" s="45">
        <v>1.3711786252894725E-7</v>
      </c>
      <c r="G44" s="45">
        <v>2.0691900709300898E-2</v>
      </c>
      <c r="H44" s="45">
        <v>1.7268640276839711</v>
      </c>
      <c r="I44" s="45">
        <v>2.7229564356176815E-5</v>
      </c>
      <c r="J44" s="45">
        <v>8.8295288967979184E-9</v>
      </c>
      <c r="K44" s="45">
        <v>5.2726809452437138E-8</v>
      </c>
      <c r="L44" s="45">
        <v>8.7600785677912227E-2</v>
      </c>
      <c r="M44" s="282">
        <v>1.315740881981367</v>
      </c>
      <c r="N44" s="45">
        <v>1.8907738084824501E-3</v>
      </c>
      <c r="O44" s="45">
        <v>2.3601563316624457E-7</v>
      </c>
      <c r="P44" s="45">
        <v>6.0209626946811159E-3</v>
      </c>
      <c r="Q44" s="45">
        <v>1.9410865516727237E-2</v>
      </c>
    </row>
    <row r="45" spans="1:18" s="45" customFormat="1">
      <c r="A45" s="45" t="s">
        <v>732</v>
      </c>
      <c r="B45" s="281" t="s">
        <v>452</v>
      </c>
      <c r="C45" s="45">
        <v>1</v>
      </c>
      <c r="D45" s="45" t="s">
        <v>127</v>
      </c>
      <c r="E45" s="282">
        <v>1.1247710557052475</v>
      </c>
      <c r="F45" s="45">
        <v>4.0435634242192258E-9</v>
      </c>
      <c r="G45" s="45">
        <v>5.8516144080845277E-5</v>
      </c>
      <c r="H45" s="45">
        <v>2.7124517417586411E-2</v>
      </c>
      <c r="I45" s="45">
        <v>1.0236080018322134E-6</v>
      </c>
      <c r="J45" s="45">
        <v>3.5042992745067128E-10</v>
      </c>
      <c r="K45" s="45">
        <v>8.6257458749767083E-10</v>
      </c>
      <c r="L45" s="45">
        <v>7.518223533672521E-4</v>
      </c>
      <c r="M45" s="282">
        <v>6.9703854397725223E-2</v>
      </c>
      <c r="N45" s="45">
        <v>1.6223419535180522E-5</v>
      </c>
      <c r="O45" s="45">
        <v>8.7860586468453165E-9</v>
      </c>
      <c r="P45" s="45">
        <v>5.9861669909440693E-5</v>
      </c>
      <c r="Q45" s="45">
        <v>1.7693649329868929E-4</v>
      </c>
      <c r="R45" s="45">
        <v>0.45614325362043529</v>
      </c>
    </row>
    <row r="46" spans="1:18" s="45" customFormat="1">
      <c r="A46" s="45" t="s">
        <v>513</v>
      </c>
      <c r="C46" s="45">
        <v>1</v>
      </c>
      <c r="D46" s="45" t="s">
        <v>505</v>
      </c>
      <c r="E46" s="282">
        <v>11.971521759587345</v>
      </c>
      <c r="F46" s="45">
        <v>1.3686620577349914E-7</v>
      </c>
      <c r="G46" s="45">
        <v>8.6370122296922109E-3</v>
      </c>
      <c r="H46" s="45">
        <v>6.2804011149668559</v>
      </c>
      <c r="I46" s="45">
        <v>5.9009733097257187E-4</v>
      </c>
      <c r="J46" s="45">
        <v>7.5794529149181875E-8</v>
      </c>
      <c r="K46" s="45">
        <v>3.2177870645341444E-7</v>
      </c>
      <c r="L46" s="45">
        <v>1.2707751049653694E-2</v>
      </c>
      <c r="M46" s="282">
        <v>1.0735191793780321</v>
      </c>
      <c r="N46" s="45">
        <v>1.1802069014482215E-3</v>
      </c>
      <c r="O46" s="45">
        <v>1.2828482545623516E-8</v>
      </c>
      <c r="P46" s="45">
        <v>3.2491585135221231E-3</v>
      </c>
      <c r="Q46" s="45">
        <v>1.2093525243610554E-2</v>
      </c>
    </row>
    <row r="47" spans="1:18" s="45" customFormat="1" ht="60" customHeight="1">
      <c r="A47" s="281" t="s">
        <v>503</v>
      </c>
      <c r="B47" s="281" t="s">
        <v>502</v>
      </c>
      <c r="C47" s="45">
        <v>1</v>
      </c>
      <c r="D47" s="45" t="s">
        <v>393</v>
      </c>
      <c r="E47" s="282">
        <v>11.928329772064988</v>
      </c>
      <c r="F47" s="45">
        <v>1.4809314630863056E-6</v>
      </c>
      <c r="G47" s="45">
        <v>1.7434139546078076E-3</v>
      </c>
      <c r="H47" s="45">
        <v>1.6823960923411792</v>
      </c>
      <c r="I47" s="45">
        <v>5.378876140405258E-5</v>
      </c>
      <c r="J47" s="45">
        <v>1.1368023548257853E-8</v>
      </c>
      <c r="K47" s="45">
        <v>1.6177978448705072E-7</v>
      </c>
      <c r="L47" s="45">
        <v>0.1023859217197727</v>
      </c>
      <c r="M47" s="282">
        <v>0.16214516888293287</v>
      </c>
      <c r="N47" s="45">
        <v>3.5154101129996685E-4</v>
      </c>
      <c r="O47" s="45">
        <v>6.2236942903698138E-7</v>
      </c>
      <c r="P47" s="45">
        <v>1.0695077700427721E-3</v>
      </c>
      <c r="Q47" s="45">
        <v>4.7213542111638768E-3</v>
      </c>
    </row>
    <row r="48" spans="1:18" ht="29">
      <c r="A48" s="255" t="s">
        <v>291</v>
      </c>
      <c r="B48" s="255" t="s">
        <v>290</v>
      </c>
      <c r="C48" s="256">
        <v>1</v>
      </c>
      <c r="D48" s="256" t="s">
        <v>393</v>
      </c>
      <c r="E48" s="257">
        <v>0.5174314179285</v>
      </c>
      <c r="F48" s="256">
        <v>1.0393794646734527E-7</v>
      </c>
      <c r="G48" s="256">
        <v>2.0105913437801046E-3</v>
      </c>
      <c r="H48" s="256">
        <v>0.86592637438603948</v>
      </c>
      <c r="I48" s="256">
        <v>3.8233775990080283E-5</v>
      </c>
      <c r="J48" s="256">
        <v>5.8397117564323645E-9</v>
      </c>
      <c r="K48" s="256">
        <v>3.5039975480442975E-7</v>
      </c>
      <c r="L48" s="256">
        <v>2.7366691855303903E-3</v>
      </c>
      <c r="M48" s="257">
        <v>4.7007723077085888E-2</v>
      </c>
      <c r="N48" s="256">
        <v>5.8093741993602835E-4</v>
      </c>
      <c r="O48" s="256">
        <v>1.5679678587850602E-8</v>
      </c>
      <c r="P48" s="256">
        <v>1.6422898721867806E-3</v>
      </c>
      <c r="Q48" s="256">
        <v>9.7587580643890039E-3</v>
      </c>
    </row>
    <row r="49" spans="1:18" s="45" customFormat="1" ht="45" customHeight="1">
      <c r="A49" s="281" t="s">
        <v>291</v>
      </c>
      <c r="B49" s="281" t="s">
        <v>165</v>
      </c>
      <c r="C49" s="45">
        <v>1</v>
      </c>
      <c r="D49" s="45" t="s">
        <v>393</v>
      </c>
      <c r="E49" s="282">
        <v>4.1470169537705083E-2</v>
      </c>
      <c r="F49" s="45">
        <v>4.5020816587471616E-8</v>
      </c>
      <c r="G49" s="45">
        <v>1.9240991319279665E-3</v>
      </c>
      <c r="H49" s="45">
        <v>0.8747056288296684</v>
      </c>
      <c r="I49" s="45">
        <v>4.4240212092338202E-5</v>
      </c>
      <c r="J49" s="45">
        <v>5.3139679895693825E-9</v>
      </c>
      <c r="K49" s="45">
        <v>4.162204891776564E-7</v>
      </c>
      <c r="L49" s="45">
        <v>2.4933653034043727E-4</v>
      </c>
      <c r="M49" s="282">
        <v>1.4126438783590156E-2</v>
      </c>
      <c r="N49" s="45">
        <v>9.3479431697137641E-4</v>
      </c>
      <c r="O49" s="45">
        <v>9.9499153081677477E-9</v>
      </c>
      <c r="P49" s="45">
        <v>2.4771698116722871E-3</v>
      </c>
      <c r="Q49" s="45">
        <v>1.0577376384962827E-2</v>
      </c>
    </row>
    <row r="50" spans="1:18" s="45" customFormat="1">
      <c r="A50" s="45" t="s">
        <v>511</v>
      </c>
      <c r="B50" s="281" t="s">
        <v>502</v>
      </c>
      <c r="C50" s="45">
        <v>1</v>
      </c>
      <c r="D50" s="45" t="s">
        <v>505</v>
      </c>
      <c r="E50" s="282">
        <v>12.226682145136602</v>
      </c>
      <c r="F50" s="45">
        <v>4.5096471119265531E-8</v>
      </c>
      <c r="G50" s="45">
        <v>1.5382749217358778E-3</v>
      </c>
      <c r="H50" s="45">
        <v>0.15813028458345441</v>
      </c>
      <c r="I50" s="45">
        <v>5.562231509711216E-6</v>
      </c>
      <c r="J50" s="45">
        <v>2.9971705475837985E-9</v>
      </c>
      <c r="K50" s="45">
        <v>7.4482570104466252E-9</v>
      </c>
      <c r="L50" s="45">
        <v>1.6019815240488711E-3</v>
      </c>
      <c r="M50" s="282">
        <v>0.72536493341831809</v>
      </c>
      <c r="N50" s="45">
        <v>6.4381029376813816E-4</v>
      </c>
      <c r="O50" s="45">
        <v>1.089307415039515E-7</v>
      </c>
      <c r="P50" s="45">
        <v>1.8634890389281724E-3</v>
      </c>
      <c r="Q50" s="45">
        <v>7.0460200498032354E-3</v>
      </c>
    </row>
    <row r="51" spans="1:18" s="45" customFormat="1">
      <c r="A51" s="45" t="s">
        <v>451</v>
      </c>
      <c r="B51" s="281" t="s">
        <v>452</v>
      </c>
      <c r="C51" s="45">
        <v>1</v>
      </c>
      <c r="D51" s="45" t="s">
        <v>127</v>
      </c>
      <c r="E51" s="282">
        <v>1.3611600705093312</v>
      </c>
      <c r="F51" s="45">
        <v>1.0025602972225671E-8</v>
      </c>
      <c r="G51" s="45">
        <v>7.7986125031079495E-4</v>
      </c>
      <c r="H51" s="45">
        <v>0.10848159983367868</v>
      </c>
      <c r="I51" s="45">
        <v>2.3620573985520394E-6</v>
      </c>
      <c r="J51" s="45">
        <v>6.4002429077088798E-10</v>
      </c>
      <c r="K51" s="45">
        <v>4.8598879117691646E-9</v>
      </c>
      <c r="L51" s="45">
        <v>6.7027687236767258E-3</v>
      </c>
      <c r="M51" s="282">
        <v>9.5901061705290433E-2</v>
      </c>
      <c r="N51" s="45">
        <v>5.8536920882810054E-5</v>
      </c>
      <c r="O51" s="45">
        <v>1.7514801387366581E-8</v>
      </c>
      <c r="P51" s="45">
        <v>2.1973790236824928E-4</v>
      </c>
      <c r="Q51" s="45">
        <v>6.3904128294116987E-4</v>
      </c>
    </row>
    <row r="52" spans="1:18" s="45" customFormat="1">
      <c r="A52" s="45" t="s">
        <v>863</v>
      </c>
      <c r="B52" s="281" t="s">
        <v>862</v>
      </c>
      <c r="C52" s="45">
        <v>1</v>
      </c>
      <c r="D52" s="45" t="s">
        <v>393</v>
      </c>
      <c r="E52" s="282">
        <v>0.59212337163359108</v>
      </c>
      <c r="F52" s="45">
        <v>2.4015688618037115E-7</v>
      </c>
      <c r="G52" s="45">
        <v>2.4266139016057157E-4</v>
      </c>
      <c r="H52" s="45">
        <v>0.89892673704032322</v>
      </c>
      <c r="I52" s="45">
        <v>9.9988768799555334E-6</v>
      </c>
      <c r="J52" s="45">
        <v>7.1795122397984399E-9</v>
      </c>
      <c r="K52" s="45">
        <v>1.5010368889113519E-8</v>
      </c>
      <c r="L52" s="45">
        <v>1.0684336352919418E-3</v>
      </c>
      <c r="M52" s="282">
        <v>4.7672528022506579E-2</v>
      </c>
      <c r="N52" s="45">
        <v>3.5822231563182485E-5</v>
      </c>
      <c r="O52" s="45">
        <v>3.6004348088342331E-9</v>
      </c>
      <c r="P52" s="45">
        <v>1.0183903867601539E-4</v>
      </c>
      <c r="Q52" s="45">
        <v>3.322917175439222E-4</v>
      </c>
      <c r="R52" s="45">
        <v>3.3486936608103615</v>
      </c>
    </row>
  </sheetData>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AC296"/>
  <sheetViews>
    <sheetView topLeftCell="S107" workbookViewId="0">
      <selection activeCell="AA120" sqref="AA120"/>
    </sheetView>
  </sheetViews>
  <sheetFormatPr defaultRowHeight="14.5"/>
  <cols>
    <col min="1" max="1" width="10.453125" customWidth="1"/>
    <col min="5" max="5" width="10.81640625" customWidth="1"/>
    <col min="6" max="6" width="15.1796875" customWidth="1"/>
    <col min="7" max="7" width="10.26953125" customWidth="1"/>
    <col min="10" max="10" width="10.1796875" customWidth="1"/>
    <col min="11" max="11" width="11" customWidth="1"/>
    <col min="12" max="12" width="14" customWidth="1"/>
    <col min="13" max="13" width="10.453125" customWidth="1"/>
    <col min="14" max="14" width="12.81640625" customWidth="1"/>
    <col min="15" max="15" width="14.453125" customWidth="1"/>
    <col min="17" max="17" width="21" customWidth="1"/>
    <col min="21" max="21" width="12.453125" customWidth="1"/>
    <col min="22" max="22" width="9.1796875" bestFit="1" customWidth="1"/>
    <col min="23" max="23" width="16.1796875" customWidth="1"/>
    <col min="24" max="24" width="12" bestFit="1" customWidth="1"/>
    <col min="25" max="25" width="11" bestFit="1" customWidth="1"/>
    <col min="27" max="27" width="14.453125" customWidth="1"/>
  </cols>
  <sheetData>
    <row r="1" spans="1:27">
      <c r="A1" s="9" t="s">
        <v>125</v>
      </c>
      <c r="N1" s="431"/>
      <c r="O1" s="431"/>
    </row>
    <row r="2" spans="1:27">
      <c r="A2" s="9"/>
      <c r="N2" s="431"/>
      <c r="O2" s="431"/>
    </row>
    <row r="3" spans="1:27" ht="29.5" customHeight="1">
      <c r="A3" s="564" t="s">
        <v>113</v>
      </c>
      <c r="B3" s="564"/>
      <c r="C3" s="564"/>
      <c r="D3" s="564"/>
      <c r="E3" s="564"/>
      <c r="G3" s="564" t="s">
        <v>112</v>
      </c>
      <c r="H3" s="564"/>
      <c r="I3" s="564"/>
      <c r="J3" s="564"/>
      <c r="K3" s="564"/>
      <c r="M3" s="563" t="s">
        <v>789</v>
      </c>
      <c r="N3" s="563"/>
      <c r="O3" s="468"/>
      <c r="Q3" s="578" t="s">
        <v>776</v>
      </c>
      <c r="R3" s="578"/>
      <c r="S3" s="578"/>
      <c r="T3" s="578"/>
      <c r="U3" s="578"/>
      <c r="W3" s="578" t="s">
        <v>777</v>
      </c>
      <c r="X3" s="578"/>
      <c r="Y3" s="578"/>
      <c r="Z3" s="578"/>
      <c r="AA3" s="578"/>
    </row>
    <row r="4" spans="1:27" ht="130.5">
      <c r="A4" s="61" t="s">
        <v>95</v>
      </c>
      <c r="B4" s="472" t="s">
        <v>96</v>
      </c>
      <c r="C4" s="472" t="s">
        <v>97</v>
      </c>
      <c r="D4" s="472" t="s">
        <v>98</v>
      </c>
      <c r="E4" s="61" t="s">
        <v>913</v>
      </c>
      <c r="F4" s="41"/>
      <c r="G4" s="61" t="s">
        <v>788</v>
      </c>
      <c r="H4" s="472" t="s">
        <v>103</v>
      </c>
      <c r="I4" s="472" t="s">
        <v>104</v>
      </c>
      <c r="J4" s="472" t="s">
        <v>105</v>
      </c>
      <c r="K4" s="61" t="s">
        <v>914</v>
      </c>
      <c r="L4" s="41"/>
      <c r="M4" s="61" t="s">
        <v>788</v>
      </c>
      <c r="N4" s="61" t="s">
        <v>915</v>
      </c>
      <c r="O4" s="61"/>
      <c r="Q4" s="61" t="s">
        <v>95</v>
      </c>
      <c r="R4" s="61" t="s">
        <v>916</v>
      </c>
      <c r="S4" s="61"/>
      <c r="T4" s="61"/>
      <c r="U4" s="61"/>
      <c r="W4" s="61" t="s">
        <v>917</v>
      </c>
      <c r="X4" s="61" t="s">
        <v>918</v>
      </c>
      <c r="Y4" s="61"/>
      <c r="Z4" s="61"/>
      <c r="AA4" s="61"/>
    </row>
    <row r="5" spans="1:27">
      <c r="A5" s="62">
        <v>0</v>
      </c>
      <c r="B5" s="473">
        <v>74</v>
      </c>
      <c r="C5" s="473">
        <v>40</v>
      </c>
      <c r="D5" s="473">
        <v>106</v>
      </c>
      <c r="E5" s="62">
        <v>81</v>
      </c>
      <c r="G5" s="62">
        <v>0</v>
      </c>
      <c r="H5" s="473">
        <v>74</v>
      </c>
      <c r="I5" s="473">
        <v>40</v>
      </c>
      <c r="J5" s="473">
        <v>106</v>
      </c>
      <c r="K5" s="62">
        <v>81</v>
      </c>
      <c r="M5" s="62">
        <v>0</v>
      </c>
      <c r="N5" s="62">
        <v>81</v>
      </c>
      <c r="O5" s="433"/>
      <c r="Q5" s="62">
        <v>0</v>
      </c>
      <c r="R5" s="62">
        <v>0</v>
      </c>
      <c r="S5" s="62"/>
      <c r="T5" s="62"/>
      <c r="U5" s="62"/>
      <c r="W5" s="62">
        <v>0</v>
      </c>
      <c r="X5" s="62">
        <v>0</v>
      </c>
      <c r="Y5" s="62"/>
      <c r="Z5" s="62"/>
      <c r="AA5" s="62"/>
    </row>
    <row r="6" spans="1:27">
      <c r="A6" s="62">
        <v>1</v>
      </c>
      <c r="B6" s="473">
        <v>73.854216447363001</v>
      </c>
      <c r="C6" s="473">
        <v>39.966421952734102</v>
      </c>
      <c r="D6" s="473">
        <v>105.748617997656</v>
      </c>
      <c r="E6" s="62">
        <v>80.876647148701593</v>
      </c>
      <c r="G6" s="62">
        <v>1</v>
      </c>
      <c r="H6" s="473">
        <v>73.825809169879506</v>
      </c>
      <c r="I6" s="473">
        <v>39.938007045856097</v>
      </c>
      <c r="J6" s="473">
        <v>105.720210720173</v>
      </c>
      <c r="K6" s="62">
        <v>80.836466403245694</v>
      </c>
      <c r="M6" s="62">
        <v>1</v>
      </c>
      <c r="N6" s="62">
        <v>80.842937946087503</v>
      </c>
      <c r="O6" s="433"/>
      <c r="Q6" s="62">
        <v>1</v>
      </c>
      <c r="R6" s="62">
        <v>0</v>
      </c>
      <c r="S6" s="62"/>
      <c r="T6" s="62"/>
      <c r="U6" s="62"/>
      <c r="W6" s="62">
        <v>1</v>
      </c>
      <c r="X6" s="62">
        <v>0</v>
      </c>
      <c r="Y6" s="62"/>
      <c r="Z6" s="62"/>
      <c r="AA6" s="62"/>
    </row>
    <row r="7" spans="1:27">
      <c r="A7" s="62">
        <v>2</v>
      </c>
      <c r="B7" s="473">
        <v>74.002478362479195</v>
      </c>
      <c r="C7" s="473">
        <v>40.226515532889302</v>
      </c>
      <c r="D7" s="473">
        <v>105.791624785819</v>
      </c>
      <c r="E7" s="62">
        <v>81.124261292786301</v>
      </c>
      <c r="G7" s="62">
        <v>2</v>
      </c>
      <c r="H7" s="473">
        <v>73.887061285525505</v>
      </c>
      <c r="I7" s="473">
        <v>40.111083197146598</v>
      </c>
      <c r="J7" s="473">
        <v>105.67620770886499</v>
      </c>
      <c r="K7" s="62">
        <v>80.974990723966101</v>
      </c>
      <c r="M7" s="62">
        <v>2</v>
      </c>
      <c r="N7" s="62">
        <v>80.9424098880732</v>
      </c>
      <c r="O7" s="433"/>
      <c r="Q7" s="62">
        <v>2</v>
      </c>
      <c r="R7" s="62">
        <v>0</v>
      </c>
      <c r="S7" s="62"/>
      <c r="T7" s="62"/>
      <c r="U7" s="62"/>
      <c r="W7" s="62">
        <v>2</v>
      </c>
      <c r="X7" s="62">
        <v>0</v>
      </c>
      <c r="Y7" s="62"/>
      <c r="Z7" s="62"/>
      <c r="AA7" s="62"/>
    </row>
    <row r="8" spans="1:27">
      <c r="A8" s="62">
        <v>3</v>
      </c>
      <c r="B8" s="473">
        <v>74.532931025371596</v>
      </c>
      <c r="C8" s="473">
        <v>40.868426020488798</v>
      </c>
      <c r="D8" s="473">
        <v>106.21717327390699</v>
      </c>
      <c r="E8" s="62">
        <v>81.813288805536601</v>
      </c>
      <c r="G8" s="62">
        <v>3</v>
      </c>
      <c r="H8" s="473">
        <v>74.277328888979298</v>
      </c>
      <c r="I8" s="473">
        <v>40.6128238840965</v>
      </c>
      <c r="J8" s="473">
        <v>105.961571137514</v>
      </c>
      <c r="K8" s="62">
        <v>81.499971964366793</v>
      </c>
      <c r="M8" s="62">
        <v>3</v>
      </c>
      <c r="N8" s="62">
        <v>81.339349100181394</v>
      </c>
      <c r="O8" s="433"/>
      <c r="Q8" s="62">
        <v>3</v>
      </c>
      <c r="R8" s="62">
        <v>0</v>
      </c>
      <c r="S8" s="62"/>
      <c r="T8" s="62"/>
      <c r="U8" s="62"/>
      <c r="W8" s="62">
        <v>3</v>
      </c>
      <c r="X8" s="62">
        <v>0</v>
      </c>
      <c r="Y8" s="62"/>
      <c r="Z8" s="62"/>
      <c r="AA8" s="62"/>
    </row>
    <row r="9" spans="1:27">
      <c r="A9" s="62">
        <v>4</v>
      </c>
      <c r="B9" s="473">
        <v>75.507157618894098</v>
      </c>
      <c r="C9" s="473">
        <v>41.953748042477997</v>
      </c>
      <c r="D9" s="473">
        <v>107.086839015378</v>
      </c>
      <c r="E9" s="62">
        <v>82.989470977511601</v>
      </c>
      <c r="G9" s="62">
        <v>4</v>
      </c>
      <c r="H9" s="473">
        <v>75.066444062618402</v>
      </c>
      <c r="I9" s="473">
        <v>41.513030671505199</v>
      </c>
      <c r="J9" s="473">
        <v>106.646125459103</v>
      </c>
      <c r="K9" s="62">
        <v>82.469885712694193</v>
      </c>
      <c r="M9" s="62">
        <v>4</v>
      </c>
      <c r="N9" s="62">
        <v>82.061726442516104</v>
      </c>
      <c r="O9" s="433"/>
      <c r="Q9" s="62">
        <v>4</v>
      </c>
      <c r="R9" s="62">
        <v>0</v>
      </c>
      <c r="S9" s="62"/>
      <c r="T9" s="62"/>
      <c r="U9" s="62"/>
      <c r="W9" s="62">
        <v>4</v>
      </c>
      <c r="X9" s="62">
        <v>0</v>
      </c>
      <c r="Y9" s="62"/>
      <c r="Z9" s="62"/>
      <c r="AA9" s="62"/>
    </row>
    <row r="10" spans="1:27">
      <c r="A10" s="62">
        <v>5</v>
      </c>
      <c r="B10" s="473">
        <v>76.972480529175797</v>
      </c>
      <c r="C10" s="473">
        <v>43.529800170289001</v>
      </c>
      <c r="D10" s="473">
        <v>108.447952025758</v>
      </c>
      <c r="E10" s="62">
        <v>84.685264910009593</v>
      </c>
      <c r="G10" s="62">
        <v>5</v>
      </c>
      <c r="H10" s="473">
        <v>76.311242855342698</v>
      </c>
      <c r="I10" s="473">
        <v>42.868551052364197</v>
      </c>
      <c r="J10" s="473">
        <v>107.786714351925</v>
      </c>
      <c r="K10" s="62">
        <v>83.929503744047693</v>
      </c>
      <c r="M10" s="62">
        <v>5</v>
      </c>
      <c r="N10" s="62">
        <v>83.129700686771599</v>
      </c>
      <c r="O10" s="433"/>
      <c r="Q10" s="62">
        <v>5</v>
      </c>
      <c r="R10" s="62">
        <v>0</v>
      </c>
      <c r="S10" s="62"/>
      <c r="T10" s="62"/>
      <c r="U10" s="62"/>
      <c r="W10" s="62">
        <v>5</v>
      </c>
      <c r="X10" s="62">
        <v>0</v>
      </c>
      <c r="Y10" s="62"/>
      <c r="Z10" s="62"/>
      <c r="AA10" s="62"/>
    </row>
    <row r="11" spans="1:27">
      <c r="A11" s="62">
        <v>6</v>
      </c>
      <c r="B11" s="473">
        <v>78.965258993299997</v>
      </c>
      <c r="C11" s="473">
        <v>45.632937826307803</v>
      </c>
      <c r="D11" s="473">
        <v>110.336856283339</v>
      </c>
      <c r="E11" s="62">
        <v>86.922904682470801</v>
      </c>
      <c r="G11" s="62">
        <v>6</v>
      </c>
      <c r="H11" s="473">
        <v>78.058470318335395</v>
      </c>
      <c r="I11" s="473">
        <v>44.726141521948698</v>
      </c>
      <c r="J11" s="473">
        <v>109.430075237769</v>
      </c>
      <c r="K11" s="62">
        <v>85.913211094937097</v>
      </c>
      <c r="M11" s="62">
        <v>6</v>
      </c>
      <c r="N11" s="62">
        <v>84.557310851913897</v>
      </c>
      <c r="O11" s="433"/>
      <c r="Q11" s="62">
        <v>6</v>
      </c>
      <c r="R11" s="62">
        <v>0</v>
      </c>
      <c r="S11" s="62"/>
      <c r="T11" s="62"/>
      <c r="U11" s="62"/>
      <c r="W11" s="62">
        <v>6</v>
      </c>
      <c r="X11" s="62">
        <v>0</v>
      </c>
      <c r="Y11" s="62"/>
      <c r="Z11" s="62"/>
      <c r="AA11" s="62"/>
    </row>
    <row r="12" spans="1:27">
      <c r="A12" s="62">
        <v>7</v>
      </c>
      <c r="B12" s="473">
        <v>81.512255629196403</v>
      </c>
      <c r="C12" s="473">
        <v>48.289927443161197</v>
      </c>
      <c r="D12" s="473">
        <v>112.78032966484101</v>
      </c>
      <c r="E12" s="62">
        <v>89.715984550131495</v>
      </c>
      <c r="G12" s="62">
        <v>7</v>
      </c>
      <c r="H12" s="473">
        <v>80.345886223923003</v>
      </c>
      <c r="I12" s="473">
        <v>47.123554223190602</v>
      </c>
      <c r="J12" s="473">
        <v>111.61396788896199</v>
      </c>
      <c r="K12" s="62">
        <v>88.4464618944195</v>
      </c>
      <c r="M12" s="62">
        <v>7</v>
      </c>
      <c r="N12" s="62">
        <v>86.353374864973105</v>
      </c>
      <c r="O12" s="433"/>
      <c r="Q12" s="62">
        <v>7</v>
      </c>
      <c r="R12" s="62">
        <v>0</v>
      </c>
      <c r="S12" s="62"/>
      <c r="T12" s="62"/>
      <c r="U12" s="62"/>
      <c r="W12" s="62">
        <v>7</v>
      </c>
      <c r="X12" s="62">
        <v>0</v>
      </c>
      <c r="Y12" s="62"/>
      <c r="Z12" s="62"/>
      <c r="AA12" s="62"/>
    </row>
    <row r="13" spans="1:27">
      <c r="A13" s="62">
        <v>8</v>
      </c>
      <c r="B13" s="473">
        <v>84.631455585237504</v>
      </c>
      <c r="C13" s="473">
        <v>51.518757983919102</v>
      </c>
      <c r="D13" s="473">
        <v>115.79634205984701</v>
      </c>
      <c r="E13" s="62">
        <v>93.070390510639598</v>
      </c>
      <c r="G13" s="62">
        <v>8</v>
      </c>
      <c r="H13" s="473">
        <v>83.202729930114799</v>
      </c>
      <c r="I13" s="473">
        <v>50.090028514099203</v>
      </c>
      <c r="J13" s="473">
        <v>114.367624034119</v>
      </c>
      <c r="K13" s="62">
        <v>91.546611340215094</v>
      </c>
      <c r="M13" s="62">
        <v>8</v>
      </c>
      <c r="N13" s="62">
        <v>88.522115821126405</v>
      </c>
      <c r="O13" s="433"/>
      <c r="Q13" s="62">
        <v>8</v>
      </c>
      <c r="R13" s="62">
        <v>0</v>
      </c>
      <c r="S13" s="62"/>
      <c r="T13" s="62"/>
      <c r="U13" s="62"/>
      <c r="W13" s="62">
        <v>8</v>
      </c>
      <c r="X13" s="62">
        <v>0</v>
      </c>
      <c r="Y13" s="62"/>
      <c r="Z13" s="62"/>
      <c r="AA13" s="62"/>
    </row>
    <row r="14" spans="1:27">
      <c r="A14" s="62">
        <v>9</v>
      </c>
      <c r="B14" s="473">
        <v>88.332720750901302</v>
      </c>
      <c r="C14" s="473">
        <v>55.329291338059498</v>
      </c>
      <c r="D14" s="473">
        <v>119.394762987229</v>
      </c>
      <c r="E14" s="62">
        <v>96.985241774807307</v>
      </c>
      <c r="G14" s="62">
        <v>9</v>
      </c>
      <c r="H14" s="473">
        <v>86.650092747915295</v>
      </c>
      <c r="I14" s="473">
        <v>53.646663335073498</v>
      </c>
      <c r="J14" s="473">
        <v>117.71214261363799</v>
      </c>
      <c r="K14" s="62">
        <v>95.2236349375099</v>
      </c>
      <c r="M14" s="62">
        <v>9</v>
      </c>
      <c r="N14" s="62">
        <v>91.063650791268699</v>
      </c>
      <c r="O14" s="433"/>
      <c r="Q14" s="62">
        <v>9</v>
      </c>
      <c r="R14" s="62">
        <v>0</v>
      </c>
      <c r="S14" s="62"/>
      <c r="T14" s="62"/>
      <c r="U14" s="62"/>
      <c r="W14" s="62">
        <v>9</v>
      </c>
      <c r="X14" s="62">
        <v>0</v>
      </c>
      <c r="Y14" s="62"/>
      <c r="Z14" s="62"/>
      <c r="AA14" s="62"/>
    </row>
    <row r="15" spans="1:27">
      <c r="A15" s="62">
        <v>10</v>
      </c>
      <c r="B15" s="473">
        <v>92.618441093953606</v>
      </c>
      <c r="C15" s="473">
        <v>59.723921288045403</v>
      </c>
      <c r="D15" s="473">
        <v>123.57797478536</v>
      </c>
      <c r="E15" s="62">
        <v>101.453721651791</v>
      </c>
      <c r="G15" s="62">
        <v>10</v>
      </c>
      <c r="H15" s="473">
        <v>90.701298919156599</v>
      </c>
      <c r="I15" s="473">
        <v>57.806779113248403</v>
      </c>
      <c r="J15" s="473">
        <v>121.660847869352</v>
      </c>
      <c r="K15" s="62">
        <v>99.480783485905803</v>
      </c>
      <c r="M15" s="62">
        <v>10</v>
      </c>
      <c r="N15" s="62">
        <v>93.974464524078101</v>
      </c>
      <c r="O15" s="433"/>
      <c r="Q15" s="62">
        <v>10</v>
      </c>
      <c r="R15" s="62">
        <v>0</v>
      </c>
      <c r="S15" s="62"/>
      <c r="T15" s="62"/>
      <c r="U15" s="62"/>
      <c r="W15" s="62">
        <v>10</v>
      </c>
      <c r="X15" s="62">
        <v>0</v>
      </c>
      <c r="Y15" s="62"/>
      <c r="Z15" s="62"/>
      <c r="AA15" s="62"/>
    </row>
    <row r="16" spans="1:27">
      <c r="A16" s="62">
        <v>11</v>
      </c>
      <c r="B16" s="473">
        <v>97.484285243889104</v>
      </c>
      <c r="C16" s="473">
        <v>64.698308833976995</v>
      </c>
      <c r="D16" s="473">
        <v>128.341646083733</v>
      </c>
      <c r="E16" s="62">
        <v>106.46396363103599</v>
      </c>
      <c r="G16" s="62">
        <v>11</v>
      </c>
      <c r="H16" s="473">
        <v>95.362361135980805</v>
      </c>
      <c r="I16" s="473">
        <v>62.576392355463298</v>
      </c>
      <c r="J16" s="473">
        <v>126.21974486400801</v>
      </c>
      <c r="K16" s="62">
        <v>104.315341329836</v>
      </c>
      <c r="M16" s="62">
        <v>11</v>
      </c>
      <c r="N16" s="62">
        <v>97.247829059997699</v>
      </c>
      <c r="O16" s="433"/>
      <c r="Q16" s="62">
        <v>11</v>
      </c>
      <c r="R16" s="62">
        <v>0</v>
      </c>
      <c r="S16" s="62"/>
      <c r="T16" s="62"/>
      <c r="U16" s="62"/>
      <c r="W16" s="62">
        <v>11</v>
      </c>
      <c r="X16" s="62">
        <v>0</v>
      </c>
      <c r="Y16" s="62"/>
      <c r="Z16" s="62"/>
      <c r="AA16" s="62"/>
    </row>
    <row r="17" spans="1:27">
      <c r="A17" s="62">
        <v>12</v>
      </c>
      <c r="B17" s="473">
        <v>102.91997609166</v>
      </c>
      <c r="C17" s="473">
        <v>70.242192125595594</v>
      </c>
      <c r="D17" s="473">
        <v>133.67550740269499</v>
      </c>
      <c r="E17" s="62">
        <v>111.99989755924101</v>
      </c>
      <c r="G17" s="62">
        <v>12</v>
      </c>
      <c r="H17" s="473">
        <v>100.63259357168501</v>
      </c>
      <c r="I17" s="473">
        <v>67.954817235015099</v>
      </c>
      <c r="J17" s="473">
        <v>131.388147770904</v>
      </c>
      <c r="K17" s="62">
        <v>109.719365752868</v>
      </c>
      <c r="M17" s="62">
        <v>12</v>
      </c>
      <c r="N17" s="62">
        <v>100.874258151611</v>
      </c>
      <c r="O17" s="433"/>
      <c r="Q17" s="62">
        <v>12</v>
      </c>
      <c r="R17" s="62">
        <v>0</v>
      </c>
      <c r="S17" s="62"/>
      <c r="T17" s="62"/>
      <c r="U17" s="62"/>
      <c r="W17" s="62">
        <v>12</v>
      </c>
      <c r="X17" s="62">
        <v>0</v>
      </c>
      <c r="Y17" s="62"/>
      <c r="Z17" s="62"/>
      <c r="AA17" s="62"/>
    </row>
    <row r="18" spans="1:27">
      <c r="A18" s="62">
        <v>13</v>
      </c>
      <c r="B18" s="473">
        <v>108.91013820929599</v>
      </c>
      <c r="C18" s="473">
        <v>76.340188105536299</v>
      </c>
      <c r="D18" s="473">
        <v>139.564175684882</v>
      </c>
      <c r="E18" s="62">
        <v>118.04204934968899</v>
      </c>
      <c r="G18" s="62">
        <v>13</v>
      </c>
      <c r="H18" s="473">
        <v>106.505290365096</v>
      </c>
      <c r="I18" s="473">
        <v>73.935351705428204</v>
      </c>
      <c r="J18" s="473">
        <v>137.159350728866</v>
      </c>
      <c r="K18" s="62">
        <v>115.680475671639</v>
      </c>
      <c r="M18" s="62">
        <v>13</v>
      </c>
      <c r="N18" s="62">
        <v>104.84189314530801</v>
      </c>
      <c r="O18" s="433"/>
      <c r="Q18" s="62">
        <v>13</v>
      </c>
      <c r="R18" s="62">
        <v>0</v>
      </c>
      <c r="S18" s="62"/>
      <c r="T18" s="62"/>
      <c r="U18" s="62"/>
      <c r="W18" s="62">
        <v>13</v>
      </c>
      <c r="X18" s="62">
        <v>0</v>
      </c>
      <c r="Y18" s="62"/>
      <c r="Z18" s="62"/>
      <c r="AA18" s="62"/>
    </row>
    <row r="19" spans="1:27">
      <c r="A19" s="62">
        <v>14</v>
      </c>
      <c r="B19" s="473">
        <v>115.435067892672</v>
      </c>
      <c r="C19" s="473">
        <v>82.972604513765305</v>
      </c>
      <c r="D19" s="473">
        <v>145.98794722616799</v>
      </c>
      <c r="E19" s="62">
        <v>124.568275973019</v>
      </c>
      <c r="G19" s="62">
        <v>14</v>
      </c>
      <c r="H19" s="473">
        <v>112.96844590320801</v>
      </c>
      <c r="I19" s="473">
        <v>80.505993968393696</v>
      </c>
      <c r="J19" s="473">
        <v>143.52134812488799</v>
      </c>
      <c r="K19" s="62">
        <v>122.18260970144</v>
      </c>
      <c r="M19" s="62">
        <v>14</v>
      </c>
      <c r="N19" s="62">
        <v>109.136881851566</v>
      </c>
      <c r="O19" s="433"/>
      <c r="Q19" s="62">
        <v>14</v>
      </c>
      <c r="R19" s="62">
        <v>0</v>
      </c>
      <c r="S19" s="62"/>
      <c r="T19" s="62"/>
      <c r="U19" s="62"/>
      <c r="W19" s="62">
        <v>14</v>
      </c>
      <c r="X19" s="62">
        <v>0</v>
      </c>
      <c r="Y19" s="62"/>
      <c r="Z19" s="62"/>
      <c r="AA19" s="62"/>
    </row>
    <row r="20" spans="1:27">
      <c r="A20" s="62">
        <v>15</v>
      </c>
      <c r="B20" s="473">
        <v>122.471502053932</v>
      </c>
      <c r="C20" s="473">
        <v>90.116159188942106</v>
      </c>
      <c r="D20" s="473">
        <v>152.92355130930301</v>
      </c>
      <c r="E20" s="62">
        <v>131.55436794770699</v>
      </c>
      <c r="G20" s="62">
        <v>15</v>
      </c>
      <c r="H20" s="473">
        <v>120.005508548995</v>
      </c>
      <c r="I20" s="473">
        <v>87.650180942794194</v>
      </c>
      <c r="J20" s="473">
        <v>150.45758069255001</v>
      </c>
      <c r="K20" s="62">
        <v>129.20667613506899</v>
      </c>
      <c r="M20" s="62">
        <v>15</v>
      </c>
      <c r="N20" s="62">
        <v>113.74372468593</v>
      </c>
      <c r="O20" s="433"/>
      <c r="Q20" s="62">
        <v>15</v>
      </c>
      <c r="R20" s="62">
        <v>0</v>
      </c>
      <c r="S20" s="62"/>
      <c r="T20" s="62"/>
      <c r="U20" s="62"/>
      <c r="W20" s="62">
        <v>15</v>
      </c>
      <c r="X20" s="62">
        <v>0</v>
      </c>
      <c r="Y20" s="62"/>
      <c r="Z20" s="62"/>
      <c r="AA20" s="62"/>
    </row>
    <row r="21" spans="1:27">
      <c r="A21" s="62">
        <v>16</v>
      </c>
      <c r="B21" s="473">
        <v>129.99319654911301</v>
      </c>
      <c r="C21" s="473">
        <v>97.744627060587504</v>
      </c>
      <c r="D21" s="473">
        <v>160.34475904911301</v>
      </c>
      <c r="E21" s="62">
        <v>138.974537935141</v>
      </c>
      <c r="G21" s="62">
        <v>16</v>
      </c>
      <c r="H21" s="473">
        <v>127.595971541097</v>
      </c>
      <c r="I21" s="473">
        <v>95.347413496663805</v>
      </c>
      <c r="J21" s="473">
        <v>157.94754929988599</v>
      </c>
      <c r="K21" s="62">
        <v>136.73112496401399</v>
      </c>
      <c r="M21" s="62">
        <v>16</v>
      </c>
      <c r="N21" s="62">
        <v>118.645525994848</v>
      </c>
      <c r="O21" s="433"/>
      <c r="Q21" s="62">
        <v>16</v>
      </c>
      <c r="R21" s="62">
        <v>0</v>
      </c>
      <c r="S21" s="62"/>
      <c r="T21" s="62"/>
      <c r="U21" s="62"/>
      <c r="W21" s="62">
        <v>16</v>
      </c>
      <c r="X21" s="62">
        <v>0</v>
      </c>
      <c r="Y21" s="62"/>
      <c r="Z21" s="62"/>
      <c r="AA21" s="62"/>
    </row>
    <row r="22" spans="1:27">
      <c r="A22" s="62">
        <v>17</v>
      </c>
      <c r="B22" s="473">
        <v>137.97147269131801</v>
      </c>
      <c r="C22" s="473">
        <v>105.829325627109</v>
      </c>
      <c r="D22" s="473">
        <v>168.22287649991199</v>
      </c>
      <c r="E22" s="62">
        <v>146.80179500080601</v>
      </c>
      <c r="G22" s="62">
        <v>17</v>
      </c>
      <c r="H22" s="473">
        <v>135.71595286497401</v>
      </c>
      <c r="I22" s="473">
        <v>103.573817244857</v>
      </c>
      <c r="J22" s="473">
        <v>165.967371932357</v>
      </c>
      <c r="K22" s="62">
        <v>144.732386682743</v>
      </c>
      <c r="M22" s="62">
        <v>17</v>
      </c>
      <c r="N22" s="62">
        <v>123.824263147525</v>
      </c>
      <c r="O22" s="433"/>
      <c r="Q22" s="62">
        <v>17</v>
      </c>
      <c r="R22" s="62">
        <v>0</v>
      </c>
      <c r="S22" s="62"/>
      <c r="T22" s="62"/>
      <c r="U22" s="62"/>
      <c r="W22" s="62">
        <v>17</v>
      </c>
      <c r="X22" s="62">
        <v>0</v>
      </c>
      <c r="Y22" s="62"/>
      <c r="Z22" s="62"/>
      <c r="AA22" s="62"/>
    </row>
    <row r="23" spans="1:27">
      <c r="A23" s="62">
        <v>18</v>
      </c>
      <c r="B23" s="473">
        <v>146.375589994042</v>
      </c>
      <c r="C23" s="473">
        <v>114.339502957909</v>
      </c>
      <c r="D23" s="473">
        <v>176.527163175194</v>
      </c>
      <c r="E23" s="62">
        <v>155.00816886151199</v>
      </c>
      <c r="G23" s="62">
        <v>18</v>
      </c>
      <c r="H23" s="473">
        <v>144.338606063371</v>
      </c>
      <c r="I23" s="473">
        <v>112.302541915422</v>
      </c>
      <c r="J23" s="473">
        <v>174.49019450331301</v>
      </c>
      <c r="K23" s="62">
        <v>153.18515684548001</v>
      </c>
      <c r="M23" s="62">
        <v>18</v>
      </c>
      <c r="N23" s="62">
        <v>129.260986280618</v>
      </c>
      <c r="O23" s="433"/>
      <c r="Q23" s="62">
        <v>18</v>
      </c>
      <c r="R23" s="62">
        <v>0</v>
      </c>
      <c r="S23" s="62"/>
      <c r="T23" s="62"/>
      <c r="U23" s="62"/>
      <c r="W23" s="62">
        <v>18</v>
      </c>
      <c r="X23" s="62">
        <v>0</v>
      </c>
      <c r="Y23" s="62"/>
      <c r="Z23" s="62"/>
      <c r="AA23" s="62"/>
    </row>
    <row r="24" spans="1:27">
      <c r="A24" s="62">
        <v>19</v>
      </c>
      <c r="B24" s="473">
        <v>155.17297146096999</v>
      </c>
      <c r="C24" s="473">
        <v>123.242612574251</v>
      </c>
      <c r="D24" s="473">
        <v>185.225042078646</v>
      </c>
      <c r="E24" s="62">
        <v>163.56486708764001</v>
      </c>
      <c r="G24" s="62">
        <v>19</v>
      </c>
      <c r="H24" s="473">
        <v>153.43442065885699</v>
      </c>
      <c r="I24" s="473">
        <v>121.504069401533</v>
      </c>
      <c r="J24" s="473">
        <v>183.48650653532201</v>
      </c>
      <c r="K24" s="62">
        <v>162.06261891116699</v>
      </c>
      <c r="M24" s="62">
        <v>19</v>
      </c>
      <c r="N24" s="62">
        <v>134.935955123441</v>
      </c>
      <c r="O24" s="433"/>
      <c r="Q24" s="62">
        <v>19</v>
      </c>
      <c r="R24" s="62">
        <v>0</v>
      </c>
      <c r="S24" s="62"/>
      <c r="T24" s="62"/>
      <c r="U24" s="62"/>
      <c r="W24" s="62">
        <v>19</v>
      </c>
      <c r="X24" s="62">
        <v>0</v>
      </c>
      <c r="Y24" s="62"/>
      <c r="Z24" s="62"/>
      <c r="AA24" s="62"/>
    </row>
    <row r="25" spans="1:27">
      <c r="A25" s="62">
        <v>20</v>
      </c>
      <c r="B25" s="473">
        <v>164.32948345401999</v>
      </c>
      <c r="C25" s="473">
        <v>132.504494135172</v>
      </c>
      <c r="D25" s="473">
        <v>194.28238720157799</v>
      </c>
      <c r="E25" s="62">
        <v>172.44237410548899</v>
      </c>
      <c r="G25" s="62">
        <v>20</v>
      </c>
      <c r="H25" s="473">
        <v>162.971405666631</v>
      </c>
      <c r="I25" s="473">
        <v>131.14642016248001</v>
      </c>
      <c r="J25" s="473">
        <v>192.92431704358401</v>
      </c>
      <c r="K25" s="62">
        <v>171.336546682094</v>
      </c>
      <c r="M25" s="62">
        <v>20</v>
      </c>
      <c r="N25" s="62">
        <v>138.961365465949</v>
      </c>
      <c r="O25" s="433"/>
      <c r="Q25" s="62">
        <v>20</v>
      </c>
      <c r="R25" s="62">
        <v>0</v>
      </c>
      <c r="S25" s="62"/>
      <c r="T25" s="62"/>
      <c r="U25" s="62"/>
      <c r="W25" s="62">
        <v>20</v>
      </c>
      <c r="X25" s="62">
        <v>0</v>
      </c>
      <c r="Y25" s="62"/>
      <c r="Z25" s="62"/>
      <c r="AA25" s="62"/>
    </row>
    <row r="26" spans="1:27">
      <c r="A26" s="62">
        <v>21</v>
      </c>
      <c r="B26" s="473">
        <v>173.80950561402</v>
      </c>
      <c r="C26" s="473">
        <v>142.08953109619699</v>
      </c>
      <c r="D26" s="473">
        <v>203.66356292603101</v>
      </c>
      <c r="E26" s="62">
        <v>181.610493400244</v>
      </c>
      <c r="G26" s="62">
        <v>21</v>
      </c>
      <c r="H26" s="473">
        <v>158.91531796478401</v>
      </c>
      <c r="I26" s="473">
        <v>127.195358705751</v>
      </c>
      <c r="J26" s="473">
        <v>188.76939053558499</v>
      </c>
      <c r="K26" s="62">
        <v>166.53455578981399</v>
      </c>
      <c r="M26" s="62">
        <v>21</v>
      </c>
      <c r="N26" s="62">
        <v>143.70190791889601</v>
      </c>
      <c r="O26" s="433"/>
      <c r="Q26" s="62">
        <v>21</v>
      </c>
      <c r="R26" s="62">
        <v>0</v>
      </c>
      <c r="S26" s="62"/>
      <c r="T26" s="62"/>
      <c r="U26" s="62"/>
      <c r="W26" s="62">
        <v>21</v>
      </c>
      <c r="X26" s="62">
        <v>11.64624882</v>
      </c>
      <c r="Y26" s="62"/>
      <c r="Z26" s="62"/>
      <c r="AA26" s="62"/>
    </row>
    <row r="27" spans="1:27">
      <c r="A27" s="62">
        <v>22</v>
      </c>
      <c r="B27" s="473">
        <v>183.57608544689501</v>
      </c>
      <c r="C27" s="473">
        <v>151.96078622204101</v>
      </c>
      <c r="D27" s="473">
        <v>213.33162438732501</v>
      </c>
      <c r="E27" s="62">
        <v>191.038377337676</v>
      </c>
      <c r="G27" s="62">
        <v>22</v>
      </c>
      <c r="H27" s="473">
        <v>166.98039135476299</v>
      </c>
      <c r="I27" s="473">
        <v>135.36510738869899</v>
      </c>
      <c r="J27" s="473">
        <v>196.73594555398199</v>
      </c>
      <c r="K27" s="62">
        <v>174.25289119716899</v>
      </c>
      <c r="M27" s="62">
        <v>22</v>
      </c>
      <c r="N27" s="62">
        <v>148.50570180153201</v>
      </c>
      <c r="O27" s="433"/>
      <c r="Q27" s="62">
        <v>22</v>
      </c>
      <c r="R27" s="62">
        <v>0</v>
      </c>
      <c r="S27" s="62"/>
      <c r="T27" s="62"/>
      <c r="U27" s="62"/>
      <c r="W27" s="62">
        <v>22</v>
      </c>
      <c r="X27" s="62">
        <v>0</v>
      </c>
      <c r="Y27" s="62"/>
      <c r="Z27" s="62"/>
      <c r="AA27" s="62"/>
    </row>
    <row r="28" spans="1:27">
      <c r="A28" s="62">
        <v>23</v>
      </c>
      <c r="B28" s="473">
        <v>193.59111778138401</v>
      </c>
      <c r="C28" s="473">
        <v>162.080150526746</v>
      </c>
      <c r="D28" s="473">
        <v>223.248466414197</v>
      </c>
      <c r="E28" s="62">
        <v>200.69462861956299</v>
      </c>
      <c r="G28" s="62">
        <v>23</v>
      </c>
      <c r="H28" s="473">
        <v>175.68225510937199</v>
      </c>
      <c r="I28" s="473">
        <v>144.17130311352199</v>
      </c>
      <c r="J28" s="473">
        <v>205.33961900097299</v>
      </c>
      <c r="K28" s="62">
        <v>182.58074539306199</v>
      </c>
      <c r="M28" s="62">
        <v>23</v>
      </c>
      <c r="N28" s="62">
        <v>153.351867485936</v>
      </c>
      <c r="O28" s="433"/>
      <c r="Q28" s="62">
        <v>23</v>
      </c>
      <c r="R28" s="62">
        <v>0</v>
      </c>
      <c r="S28" s="62"/>
      <c r="T28" s="62"/>
      <c r="U28" s="62"/>
      <c r="W28" s="62">
        <v>23</v>
      </c>
      <c r="X28" s="62">
        <v>0</v>
      </c>
      <c r="Y28" s="62"/>
      <c r="Z28" s="62"/>
      <c r="AA28" s="62"/>
    </row>
    <row r="29" spans="1:27">
      <c r="A29" s="62">
        <v>24</v>
      </c>
      <c r="B29" s="473">
        <v>203.815512855148</v>
      </c>
      <c r="C29" s="473">
        <v>172.40853424797001</v>
      </c>
      <c r="D29" s="473">
        <v>233.37499161491399</v>
      </c>
      <c r="E29" s="62">
        <v>210.54733248769799</v>
      </c>
      <c r="G29" s="62">
        <v>24</v>
      </c>
      <c r="H29" s="473">
        <v>184.91991025670001</v>
      </c>
      <c r="I29" s="473">
        <v>153.51294690831199</v>
      </c>
      <c r="J29" s="473">
        <v>214.47940427525501</v>
      </c>
      <c r="K29" s="62">
        <v>191.424600427386</v>
      </c>
      <c r="M29" s="62">
        <v>24</v>
      </c>
      <c r="N29" s="62">
        <v>159.69199848313701</v>
      </c>
      <c r="O29" s="433"/>
      <c r="Q29" s="62">
        <v>24</v>
      </c>
      <c r="R29" s="62">
        <v>0</v>
      </c>
      <c r="S29" s="62"/>
      <c r="T29" s="62"/>
      <c r="U29" s="62"/>
      <c r="W29" s="62">
        <v>24</v>
      </c>
      <c r="X29" s="62">
        <v>0</v>
      </c>
      <c r="Y29" s="62"/>
      <c r="Z29" s="62"/>
      <c r="AA29" s="62"/>
    </row>
    <row r="30" spans="1:27">
      <c r="A30" s="62">
        <v>25</v>
      </c>
      <c r="B30" s="473">
        <v>214.20941480585699</v>
      </c>
      <c r="C30" s="473">
        <v>182.90607389399199</v>
      </c>
      <c r="D30" s="473">
        <v>243.671344127146</v>
      </c>
      <c r="E30" s="62">
        <v>220.56421792197699</v>
      </c>
      <c r="G30" s="62">
        <v>25</v>
      </c>
      <c r="H30" s="473">
        <v>194.605197964242</v>
      </c>
      <c r="I30" s="473">
        <v>163.301876125863</v>
      </c>
      <c r="J30" s="473">
        <v>224.06714254432001</v>
      </c>
      <c r="K30" s="62">
        <v>200.70418289048899</v>
      </c>
      <c r="M30" s="62">
        <v>25</v>
      </c>
      <c r="N30" s="62">
        <v>165.83216608057899</v>
      </c>
      <c r="O30" s="433"/>
      <c r="Q30" s="62">
        <v>25</v>
      </c>
      <c r="R30" s="62">
        <v>0</v>
      </c>
      <c r="S30" s="62"/>
      <c r="T30" s="62"/>
      <c r="U30" s="62"/>
      <c r="W30" s="62">
        <v>25</v>
      </c>
      <c r="X30" s="62">
        <v>0</v>
      </c>
      <c r="Y30" s="62"/>
      <c r="Z30" s="62"/>
      <c r="AA30" s="62"/>
    </row>
    <row r="31" spans="1:27">
      <c r="A31" s="62">
        <v>26</v>
      </c>
      <c r="B31" s="473">
        <v>224.668350902642</v>
      </c>
      <c r="C31" s="473">
        <v>193.46830436333499</v>
      </c>
      <c r="D31" s="473">
        <v>254.03305122002499</v>
      </c>
      <c r="E31" s="62">
        <v>231.34472554668301</v>
      </c>
      <c r="G31" s="62">
        <v>26</v>
      </c>
      <c r="H31" s="473">
        <v>204.54996287975899</v>
      </c>
      <c r="I31" s="473">
        <v>173.349950672728</v>
      </c>
      <c r="J31" s="473">
        <v>233.914686085326</v>
      </c>
      <c r="K31" s="62">
        <v>210.76376706776301</v>
      </c>
      <c r="M31" s="62">
        <v>26</v>
      </c>
      <c r="N31" s="62">
        <v>175.45460977085</v>
      </c>
      <c r="O31" s="433"/>
      <c r="Q31" s="62">
        <v>26</v>
      </c>
      <c r="R31" s="62">
        <v>0</v>
      </c>
      <c r="S31" s="62"/>
      <c r="T31" s="62"/>
      <c r="U31" s="62"/>
      <c r="W31" s="62">
        <v>26</v>
      </c>
      <c r="X31" s="62">
        <v>0</v>
      </c>
      <c r="Y31" s="62"/>
      <c r="Z31" s="62"/>
      <c r="AA31" s="62"/>
    </row>
    <row r="32" spans="1:27">
      <c r="A32" s="62">
        <v>27</v>
      </c>
      <c r="B32" s="473">
        <v>234.72768522111201</v>
      </c>
      <c r="C32" s="473">
        <v>203.630601175702</v>
      </c>
      <c r="D32" s="473">
        <v>263.99548459855401</v>
      </c>
      <c r="E32" s="62">
        <v>241.379085578597</v>
      </c>
      <c r="G32" s="62">
        <v>27</v>
      </c>
      <c r="H32" s="473">
        <v>214.20100429689001</v>
      </c>
      <c r="I32" s="473">
        <v>183.10395458375601</v>
      </c>
      <c r="J32" s="473">
        <v>243.46882656251501</v>
      </c>
      <c r="K32" s="62">
        <v>220.38260525426401</v>
      </c>
      <c r="M32" s="62">
        <v>27</v>
      </c>
      <c r="N32" s="62">
        <v>184.96710145179199</v>
      </c>
      <c r="O32" s="433"/>
      <c r="Q32" s="62">
        <v>27</v>
      </c>
      <c r="R32" s="62">
        <v>0</v>
      </c>
      <c r="S32" s="62"/>
      <c r="T32" s="62"/>
      <c r="U32" s="62"/>
      <c r="W32" s="62">
        <v>27</v>
      </c>
      <c r="X32" s="62">
        <v>0</v>
      </c>
      <c r="Y32" s="62"/>
      <c r="Z32" s="62"/>
      <c r="AA32" s="62"/>
    </row>
    <row r="33" spans="1:27">
      <c r="A33" s="62">
        <v>28</v>
      </c>
      <c r="B33" s="473">
        <v>244.741009351542</v>
      </c>
      <c r="C33" s="473">
        <v>213.74654066257699</v>
      </c>
      <c r="D33" s="473">
        <v>273.91222059421801</v>
      </c>
      <c r="E33" s="62">
        <v>251.36777445369</v>
      </c>
      <c r="G33" s="62">
        <v>28</v>
      </c>
      <c r="H33" s="473">
        <v>223.916373556114</v>
      </c>
      <c r="I33" s="473">
        <v>192.921939199425</v>
      </c>
      <c r="J33" s="473">
        <v>253.087607686973</v>
      </c>
      <c r="K33" s="62">
        <v>230.06676027211199</v>
      </c>
      <c r="M33" s="62">
        <v>28</v>
      </c>
      <c r="N33" s="62">
        <v>194.39023962253299</v>
      </c>
      <c r="O33" s="433"/>
      <c r="Q33" s="62">
        <v>28</v>
      </c>
      <c r="R33" s="62">
        <v>0</v>
      </c>
      <c r="S33" s="62"/>
      <c r="T33" s="62"/>
      <c r="U33" s="62"/>
      <c r="W33" s="62">
        <v>28</v>
      </c>
      <c r="X33" s="62">
        <v>0</v>
      </c>
      <c r="Y33" s="62"/>
      <c r="Z33" s="62"/>
      <c r="AA33" s="62"/>
    </row>
    <row r="34" spans="1:27">
      <c r="A34" s="62">
        <v>29</v>
      </c>
      <c r="B34" s="473">
        <v>254.713835296155</v>
      </c>
      <c r="C34" s="473">
        <v>223.82164627027601</v>
      </c>
      <c r="D34" s="473">
        <v>283.78878646803003</v>
      </c>
      <c r="E34" s="62">
        <v>261.316269871712</v>
      </c>
      <c r="G34" s="62">
        <v>29</v>
      </c>
      <c r="H34" s="473">
        <v>233.685695236388</v>
      </c>
      <c r="I34" s="473">
        <v>202.79354817217899</v>
      </c>
      <c r="J34" s="473">
        <v>262.760661667053</v>
      </c>
      <c r="K34" s="62">
        <v>239.805681999656</v>
      </c>
      <c r="M34" s="62">
        <v>29</v>
      </c>
      <c r="N34" s="62">
        <v>203.73944482001701</v>
      </c>
      <c r="O34" s="433"/>
      <c r="Q34" s="62">
        <v>29</v>
      </c>
      <c r="R34" s="62">
        <v>0</v>
      </c>
      <c r="S34" s="62"/>
      <c r="T34" s="62"/>
      <c r="U34" s="62"/>
      <c r="W34" s="62">
        <v>29</v>
      </c>
      <c r="X34" s="62">
        <v>0</v>
      </c>
      <c r="Y34" s="62"/>
      <c r="Z34" s="62"/>
      <c r="AA34" s="62"/>
    </row>
    <row r="35" spans="1:27">
      <c r="A35" s="62">
        <v>30</v>
      </c>
      <c r="B35" s="473">
        <v>264.65084659683203</v>
      </c>
      <c r="C35" s="473">
        <v>233.86060917007401</v>
      </c>
      <c r="D35" s="473">
        <v>293.62985050308203</v>
      </c>
      <c r="E35" s="62">
        <v>271.22920953857403</v>
      </c>
      <c r="G35" s="62">
        <v>30</v>
      </c>
      <c r="H35" s="473">
        <v>243.50056976807801</v>
      </c>
      <c r="I35" s="473">
        <v>212.71036285889801</v>
      </c>
      <c r="J35" s="473">
        <v>272.47958893311699</v>
      </c>
      <c r="K35" s="62">
        <v>249.590797127907</v>
      </c>
      <c r="M35" s="62">
        <v>30</v>
      </c>
      <c r="N35" s="62">
        <v>213.02668470951701</v>
      </c>
      <c r="O35" s="433"/>
      <c r="Q35" s="62">
        <v>30</v>
      </c>
      <c r="R35" s="62">
        <v>0</v>
      </c>
      <c r="S35" s="62"/>
      <c r="T35" s="62"/>
      <c r="U35" s="62"/>
      <c r="W35" s="62">
        <v>30</v>
      </c>
      <c r="X35" s="62">
        <v>0</v>
      </c>
      <c r="Y35" s="62"/>
      <c r="Z35" s="62"/>
      <c r="AA35" s="62"/>
    </row>
    <row r="36" spans="1:27">
      <c r="A36" s="62">
        <v>31</v>
      </c>
      <c r="B36" s="473">
        <v>274.42318314407402</v>
      </c>
      <c r="C36" s="473">
        <v>243.73455017898601</v>
      </c>
      <c r="D36" s="473">
        <v>303.30656021926899</v>
      </c>
      <c r="E36" s="62">
        <v>280.977679313164</v>
      </c>
      <c r="G36" s="62">
        <v>31</v>
      </c>
      <c r="H36" s="473">
        <v>253.61750995544301</v>
      </c>
      <c r="I36" s="473">
        <v>222.92890750793299</v>
      </c>
      <c r="J36" s="473">
        <v>282.500894660033</v>
      </c>
      <c r="K36" s="62">
        <v>259.67853164126302</v>
      </c>
      <c r="M36" s="62">
        <v>31</v>
      </c>
      <c r="N36" s="62">
        <v>219.105445851219</v>
      </c>
      <c r="O36" s="433"/>
      <c r="Q36" s="62">
        <v>31</v>
      </c>
      <c r="R36" s="62">
        <v>0</v>
      </c>
      <c r="S36" s="62"/>
      <c r="T36" s="62"/>
      <c r="U36" s="62"/>
      <c r="W36" s="62">
        <v>31</v>
      </c>
      <c r="X36" s="62">
        <v>0</v>
      </c>
      <c r="Y36" s="62"/>
      <c r="Z36" s="62"/>
      <c r="AA36" s="62"/>
    </row>
    <row r="37" spans="1:27">
      <c r="A37" s="62">
        <v>32</v>
      </c>
      <c r="B37" s="473">
        <v>284.16644191218899</v>
      </c>
      <c r="C37" s="473">
        <v>253.579085344806</v>
      </c>
      <c r="D37" s="473">
        <v>312.95450496150499</v>
      </c>
      <c r="E37" s="62">
        <v>290.69726460649002</v>
      </c>
      <c r="G37" s="62">
        <v>32</v>
      </c>
      <c r="H37" s="473">
        <v>263.76817274303397</v>
      </c>
      <c r="I37" s="473">
        <v>233.180835249138</v>
      </c>
      <c r="J37" s="473">
        <v>292.55624342174502</v>
      </c>
      <c r="K37" s="62">
        <v>269.80043434995798</v>
      </c>
      <c r="M37" s="62">
        <v>32</v>
      </c>
      <c r="N37" s="62">
        <v>225.13310420931899</v>
      </c>
      <c r="O37" s="433"/>
      <c r="Q37" s="62">
        <v>32</v>
      </c>
      <c r="R37" s="62">
        <v>0</v>
      </c>
      <c r="S37" s="62"/>
      <c r="T37" s="62"/>
      <c r="U37" s="62"/>
      <c r="W37" s="62">
        <v>32</v>
      </c>
      <c r="X37" s="62">
        <v>0</v>
      </c>
      <c r="Y37" s="62"/>
      <c r="Z37" s="62"/>
      <c r="AA37" s="62"/>
    </row>
    <row r="38" spans="1:27">
      <c r="A38" s="62">
        <v>33</v>
      </c>
      <c r="B38" s="473">
        <v>293.88363397834598</v>
      </c>
      <c r="C38" s="473">
        <v>263.39721811530899</v>
      </c>
      <c r="D38" s="473">
        <v>322.57669580696</v>
      </c>
      <c r="E38" s="62">
        <v>300.39095640895698</v>
      </c>
      <c r="G38" s="62">
        <v>33</v>
      </c>
      <c r="H38" s="473">
        <v>273.94756376789599</v>
      </c>
      <c r="I38" s="473">
        <v>243.461166978346</v>
      </c>
      <c r="J38" s="473">
        <v>302.64064085529901</v>
      </c>
      <c r="K38" s="62">
        <v>279.95150059492602</v>
      </c>
      <c r="M38" s="62">
        <v>33</v>
      </c>
      <c r="N38" s="62">
        <v>231.117962199229</v>
      </c>
      <c r="O38" s="433"/>
      <c r="Q38" s="62">
        <v>33</v>
      </c>
      <c r="R38" s="62">
        <v>0</v>
      </c>
      <c r="S38" s="62"/>
      <c r="T38" s="62"/>
      <c r="U38" s="62"/>
      <c r="W38" s="62">
        <v>33</v>
      </c>
      <c r="X38" s="62">
        <v>0</v>
      </c>
      <c r="Y38" s="62"/>
      <c r="Z38" s="62"/>
      <c r="AA38" s="62"/>
    </row>
    <row r="39" spans="1:27">
      <c r="A39" s="62">
        <v>34</v>
      </c>
      <c r="B39" s="473">
        <v>303.57738923100601</v>
      </c>
      <c r="C39" s="473">
        <v>273.19158219365301</v>
      </c>
      <c r="D39" s="473">
        <v>332.175762644092</v>
      </c>
      <c r="E39" s="62">
        <v>310.06137382058301</v>
      </c>
      <c r="G39" s="62">
        <v>34</v>
      </c>
      <c r="H39" s="473">
        <v>284.151539157603</v>
      </c>
      <c r="I39" s="473">
        <v>253.76573974964401</v>
      </c>
      <c r="J39" s="473">
        <v>312.749927829478</v>
      </c>
      <c r="K39" s="62">
        <v>290.127496717165</v>
      </c>
      <c r="M39" s="62">
        <v>34</v>
      </c>
      <c r="N39" s="62">
        <v>237.06661589565201</v>
      </c>
      <c r="O39" s="433"/>
      <c r="Q39" s="62">
        <v>34</v>
      </c>
      <c r="R39" s="62">
        <v>0</v>
      </c>
      <c r="S39" s="62"/>
      <c r="T39" s="62"/>
      <c r="U39" s="62"/>
      <c r="W39" s="62">
        <v>34</v>
      </c>
      <c r="X39" s="62">
        <v>0</v>
      </c>
      <c r="Y39" s="62"/>
      <c r="Z39" s="62"/>
      <c r="AA39" s="62"/>
    </row>
    <row r="40" spans="1:27">
      <c r="A40" s="62">
        <v>35</v>
      </c>
      <c r="B40" s="473">
        <v>313.24999496624702</v>
      </c>
      <c r="C40" s="473">
        <v>282.964461061218</v>
      </c>
      <c r="D40" s="473">
        <v>341.75399276898099</v>
      </c>
      <c r="E40" s="62">
        <v>319.71078452751902</v>
      </c>
      <c r="G40" s="62">
        <v>35</v>
      </c>
      <c r="H40" s="473">
        <v>294.37660061215303</v>
      </c>
      <c r="I40" s="473">
        <v>264.09108196591302</v>
      </c>
      <c r="J40" s="473">
        <v>322.88061367367601</v>
      </c>
      <c r="K40" s="62">
        <v>300.32491447898002</v>
      </c>
      <c r="M40" s="62">
        <v>35</v>
      </c>
      <c r="N40" s="62">
        <v>242.984529039124</v>
      </c>
      <c r="O40" s="433"/>
      <c r="Q40" s="62">
        <v>35</v>
      </c>
      <c r="R40" s="62">
        <v>0</v>
      </c>
      <c r="S40" s="62"/>
      <c r="T40" s="62"/>
      <c r="U40" s="62"/>
      <c r="W40" s="62">
        <v>35</v>
      </c>
      <c r="X40" s="62">
        <v>0</v>
      </c>
      <c r="Y40" s="62"/>
      <c r="Z40" s="62"/>
      <c r="AA40" s="62"/>
    </row>
    <row r="41" spans="1:27">
      <c r="A41" s="62">
        <v>36</v>
      </c>
      <c r="B41" s="473">
        <v>322.329624216029</v>
      </c>
      <c r="C41" s="473">
        <v>292.144023935267</v>
      </c>
      <c r="D41" s="473">
        <v>350.739559213588</v>
      </c>
      <c r="E41" s="62">
        <v>328.767340819308</v>
      </c>
      <c r="G41" s="62">
        <v>36</v>
      </c>
      <c r="H41" s="473">
        <v>304.24152719095099</v>
      </c>
      <c r="I41" s="473">
        <v>274.055957427767</v>
      </c>
      <c r="J41" s="473">
        <v>332.65147744729802</v>
      </c>
      <c r="K41" s="62">
        <v>310.16250905482298</v>
      </c>
      <c r="M41" s="62">
        <v>36</v>
      </c>
      <c r="N41" s="62">
        <v>248.46365711370899</v>
      </c>
      <c r="O41" s="433"/>
      <c r="Q41" s="62">
        <v>36</v>
      </c>
      <c r="R41" s="62">
        <v>0</v>
      </c>
      <c r="S41" s="62"/>
      <c r="T41" s="62"/>
      <c r="U41" s="62"/>
      <c r="W41" s="62">
        <v>36</v>
      </c>
      <c r="X41" s="62">
        <v>0</v>
      </c>
      <c r="Y41" s="62"/>
      <c r="Z41" s="62"/>
      <c r="AA41" s="62"/>
    </row>
    <row r="42" spans="1:27">
      <c r="A42" s="62">
        <v>37</v>
      </c>
      <c r="B42" s="473">
        <v>331.38687811211099</v>
      </c>
      <c r="C42" s="473">
        <v>301.30089102104699</v>
      </c>
      <c r="D42" s="473">
        <v>359.70306310966998</v>
      </c>
      <c r="E42" s="62">
        <v>337.80165181473302</v>
      </c>
      <c r="G42" s="62">
        <v>37</v>
      </c>
      <c r="H42" s="473">
        <v>314.11932004731199</v>
      </c>
      <c r="I42" s="473">
        <v>284.03337110322002</v>
      </c>
      <c r="J42" s="473">
        <v>342.43552030365998</v>
      </c>
      <c r="K42" s="62">
        <v>320.01325187933901</v>
      </c>
      <c r="M42" s="62">
        <v>37</v>
      </c>
      <c r="N42" s="62">
        <v>253.91519991494999</v>
      </c>
      <c r="O42" s="433"/>
      <c r="Q42" s="62">
        <v>37</v>
      </c>
      <c r="R42" s="62">
        <v>0</v>
      </c>
      <c r="S42" s="62"/>
      <c r="T42" s="62"/>
      <c r="U42" s="62"/>
      <c r="W42" s="62">
        <v>37</v>
      </c>
      <c r="X42" s="62">
        <v>0</v>
      </c>
      <c r="Y42" s="62"/>
      <c r="Z42" s="62"/>
      <c r="AA42" s="62"/>
    </row>
    <row r="43" spans="1:27">
      <c r="A43" s="62">
        <v>38</v>
      </c>
      <c r="B43" s="473">
        <v>340.42456152340702</v>
      </c>
      <c r="C43" s="473">
        <v>310.43785192868103</v>
      </c>
      <c r="D43" s="473">
        <v>368.64730169674698</v>
      </c>
      <c r="E43" s="62">
        <v>346.81650521656798</v>
      </c>
      <c r="G43" s="62">
        <v>38</v>
      </c>
      <c r="H43" s="473">
        <v>324.00853943241498</v>
      </c>
      <c r="I43" s="473">
        <v>294.021875614056</v>
      </c>
      <c r="J43" s="473">
        <v>352.231294864544</v>
      </c>
      <c r="K43" s="62">
        <v>329.87566324857102</v>
      </c>
      <c r="M43" s="62">
        <v>38</v>
      </c>
      <c r="N43" s="62">
        <v>259.34333739403098</v>
      </c>
      <c r="O43" s="433"/>
      <c r="Q43" s="62">
        <v>38</v>
      </c>
      <c r="R43" s="62">
        <v>0</v>
      </c>
      <c r="S43" s="62"/>
      <c r="T43" s="62"/>
      <c r="U43" s="62"/>
      <c r="W43" s="62">
        <v>38</v>
      </c>
      <c r="X43" s="62">
        <v>0</v>
      </c>
      <c r="Y43" s="62"/>
      <c r="Z43" s="62"/>
      <c r="AA43" s="62"/>
    </row>
    <row r="44" spans="1:27">
      <c r="A44" s="62">
        <v>39</v>
      </c>
      <c r="B44" s="473">
        <v>349.44494066395498</v>
      </c>
      <c r="C44" s="473">
        <v>319.55718050160198</v>
      </c>
      <c r="D44" s="473">
        <v>377.57454118885801</v>
      </c>
      <c r="E44" s="62">
        <v>355.81417117275998</v>
      </c>
      <c r="G44" s="62">
        <v>39</v>
      </c>
      <c r="H44" s="473">
        <v>333.90773577744199</v>
      </c>
      <c r="I44" s="473">
        <v>304.020021391456</v>
      </c>
      <c r="J44" s="473">
        <v>362.03735156113402</v>
      </c>
      <c r="K44" s="62">
        <v>339.74829522507298</v>
      </c>
      <c r="M44" s="62">
        <v>39</v>
      </c>
      <c r="N44" s="62">
        <v>264.75140536137201</v>
      </c>
      <c r="O44" s="433"/>
      <c r="Q44" s="62">
        <v>39</v>
      </c>
      <c r="R44" s="62">
        <v>0</v>
      </c>
      <c r="S44" s="62"/>
      <c r="T44" s="62"/>
      <c r="U44" s="62"/>
      <c r="W44" s="62">
        <v>39</v>
      </c>
      <c r="X44" s="62">
        <v>0</v>
      </c>
      <c r="Y44" s="62"/>
      <c r="Z44" s="62"/>
      <c r="AA44" s="62"/>
    </row>
    <row r="45" spans="1:27">
      <c r="A45" s="62">
        <v>40</v>
      </c>
      <c r="B45" s="473">
        <v>358.450055628212</v>
      </c>
      <c r="C45" s="473">
        <v>328.66092446366099</v>
      </c>
      <c r="D45" s="473">
        <v>386.486829309852</v>
      </c>
      <c r="E45" s="62">
        <v>364.79670181790101</v>
      </c>
      <c r="G45" s="62">
        <v>40</v>
      </c>
      <c r="H45" s="473">
        <v>343.81575535456199</v>
      </c>
      <c r="I45" s="473">
        <v>314.02667759577201</v>
      </c>
      <c r="J45" s="473">
        <v>371.85254429499099</v>
      </c>
      <c r="K45" s="62">
        <v>349.62998708219902</v>
      </c>
      <c r="M45" s="62">
        <v>40</v>
      </c>
      <c r="N45" s="62">
        <v>270.14226350031697</v>
      </c>
      <c r="O45" s="433"/>
      <c r="Q45" s="62">
        <v>40</v>
      </c>
      <c r="R45" s="62">
        <v>0</v>
      </c>
      <c r="S45" s="62"/>
      <c r="T45" s="62"/>
      <c r="U45" s="62"/>
      <c r="W45" s="62">
        <v>40</v>
      </c>
      <c r="X45" s="62">
        <v>0</v>
      </c>
      <c r="Y45" s="62"/>
      <c r="Z45" s="62"/>
      <c r="AA45" s="62"/>
    </row>
    <row r="46" spans="1:27">
      <c r="A46" s="62">
        <v>41</v>
      </c>
      <c r="B46" s="473">
        <v>366.76096944276901</v>
      </c>
      <c r="C46" s="473">
        <v>337.07013921205697</v>
      </c>
      <c r="D46" s="473">
        <v>394.70522145693002</v>
      </c>
      <c r="E46" s="62">
        <v>373.08513442937999</v>
      </c>
      <c r="G46" s="62">
        <v>41</v>
      </c>
      <c r="H46" s="473">
        <v>352.99999129996002</v>
      </c>
      <c r="I46" s="473">
        <v>323.30922591910098</v>
      </c>
      <c r="J46" s="473">
        <v>380.94425857290901</v>
      </c>
      <c r="K46" s="62">
        <v>358.78812281353498</v>
      </c>
      <c r="M46" s="62">
        <v>41</v>
      </c>
      <c r="N46" s="62">
        <v>275.11199647019998</v>
      </c>
      <c r="O46" s="433"/>
      <c r="Q46" s="62">
        <v>41</v>
      </c>
      <c r="R46" s="62">
        <v>0</v>
      </c>
      <c r="S46" s="62"/>
      <c r="T46" s="62"/>
      <c r="U46" s="62"/>
      <c r="W46" s="62">
        <v>41</v>
      </c>
      <c r="X46" s="62">
        <v>0</v>
      </c>
      <c r="Y46" s="62"/>
      <c r="Z46" s="62"/>
      <c r="AA46" s="62"/>
    </row>
    <row r="47" spans="1:27">
      <c r="A47" s="62">
        <v>42</v>
      </c>
      <c r="B47" s="473">
        <v>375.05178271629802</v>
      </c>
      <c r="C47" s="473">
        <v>345.45893679954997</v>
      </c>
      <c r="D47" s="473">
        <v>402.90381823875902</v>
      </c>
      <c r="E47" s="62">
        <v>381.35356985428302</v>
      </c>
      <c r="G47" s="62">
        <v>42</v>
      </c>
      <c r="H47" s="473">
        <v>362.18343151347699</v>
      </c>
      <c r="I47" s="473">
        <v>332.59064663188502</v>
      </c>
      <c r="J47" s="473">
        <v>390.03548229472699</v>
      </c>
      <c r="K47" s="62">
        <v>367.945660539176</v>
      </c>
      <c r="M47" s="62">
        <v>42</v>
      </c>
      <c r="N47" s="62">
        <v>280.06343560411602</v>
      </c>
      <c r="O47" s="433"/>
      <c r="Q47" s="62">
        <v>42</v>
      </c>
      <c r="R47" s="62">
        <v>0</v>
      </c>
      <c r="S47" s="62"/>
      <c r="T47" s="62"/>
      <c r="U47" s="62"/>
      <c r="W47" s="62">
        <v>42</v>
      </c>
      <c r="X47" s="62">
        <v>0</v>
      </c>
      <c r="Y47" s="62"/>
      <c r="Z47" s="62"/>
      <c r="AA47" s="62"/>
    </row>
    <row r="48" spans="1:27">
      <c r="A48" s="62">
        <v>43</v>
      </c>
      <c r="B48" s="473">
        <v>383.32544733025497</v>
      </c>
      <c r="C48" s="473">
        <v>353.83026147820402</v>
      </c>
      <c r="D48" s="473">
        <v>411.085571536798</v>
      </c>
      <c r="E48" s="62">
        <v>389.60496068932503</v>
      </c>
      <c r="G48" s="62">
        <v>43</v>
      </c>
      <c r="H48" s="473">
        <v>371.36711238450698</v>
      </c>
      <c r="I48" s="473">
        <v>341.87198375291501</v>
      </c>
      <c r="J48" s="473">
        <v>399.12725184983901</v>
      </c>
      <c r="K48" s="62">
        <v>377.10363749568199</v>
      </c>
      <c r="M48" s="62">
        <v>43</v>
      </c>
      <c r="N48" s="62">
        <v>284.99931978911798</v>
      </c>
      <c r="O48" s="433"/>
      <c r="Q48" s="62">
        <v>43</v>
      </c>
      <c r="R48" s="62">
        <v>0</v>
      </c>
      <c r="S48" s="62"/>
      <c r="T48" s="62"/>
      <c r="U48" s="62"/>
      <c r="W48" s="62">
        <v>43</v>
      </c>
      <c r="X48" s="62">
        <v>0</v>
      </c>
      <c r="Y48" s="62"/>
      <c r="Z48" s="62"/>
      <c r="AA48" s="62"/>
    </row>
    <row r="49" spans="1:27">
      <c r="A49" s="62">
        <v>44</v>
      </c>
      <c r="B49" s="473">
        <v>391.58434248540698</v>
      </c>
      <c r="C49" s="473">
        <v>362.186492448786</v>
      </c>
      <c r="D49" s="473">
        <v>419.25285292241898</v>
      </c>
      <c r="E49" s="62">
        <v>397.84167945955102</v>
      </c>
      <c r="G49" s="62">
        <v>44</v>
      </c>
      <c r="H49" s="473">
        <v>380.55159175686202</v>
      </c>
      <c r="I49" s="473">
        <v>351.15379512600299</v>
      </c>
      <c r="J49" s="473">
        <v>408.220125082057</v>
      </c>
      <c r="K49" s="62">
        <v>386.26258857535402</v>
      </c>
      <c r="M49" s="62">
        <v>44</v>
      </c>
      <c r="N49" s="62">
        <v>289.92392924334303</v>
      </c>
      <c r="O49" s="433"/>
      <c r="Q49" s="62">
        <v>44</v>
      </c>
      <c r="R49" s="62">
        <v>0</v>
      </c>
      <c r="S49" s="62"/>
      <c r="T49" s="62"/>
      <c r="U49" s="62"/>
      <c r="W49" s="62">
        <v>44</v>
      </c>
      <c r="X49" s="62">
        <v>0</v>
      </c>
      <c r="Y49" s="62"/>
      <c r="Z49" s="62"/>
      <c r="AA49" s="62"/>
    </row>
    <row r="50" spans="1:27">
      <c r="A50" s="62">
        <v>45</v>
      </c>
      <c r="B50" s="473">
        <v>399.83042343760701</v>
      </c>
      <c r="C50" s="473">
        <v>370.52958496714803</v>
      </c>
      <c r="D50" s="473">
        <v>427.40762528086901</v>
      </c>
      <c r="E50" s="62">
        <v>406.06567903662898</v>
      </c>
      <c r="G50" s="62">
        <v>45</v>
      </c>
      <c r="H50" s="473">
        <v>389.73718485008999</v>
      </c>
      <c r="I50" s="473">
        <v>360.43639215599802</v>
      </c>
      <c r="J50" s="473">
        <v>417.31440958153502</v>
      </c>
      <c r="K50" s="62">
        <v>395.42282045376498</v>
      </c>
      <c r="M50" s="62">
        <v>45</v>
      </c>
      <c r="N50" s="62">
        <v>294.837680586521</v>
      </c>
      <c r="O50" s="433"/>
      <c r="Q50" s="62">
        <v>45</v>
      </c>
      <c r="R50" s="62">
        <v>0</v>
      </c>
      <c r="S50" s="62"/>
      <c r="T50" s="62"/>
      <c r="U50" s="62"/>
      <c r="W50" s="62">
        <v>45</v>
      </c>
      <c r="X50" s="62">
        <v>0</v>
      </c>
      <c r="Y50" s="62"/>
      <c r="Z50" s="62"/>
      <c r="AA50" s="62"/>
    </row>
    <row r="51" spans="1:27">
      <c r="A51" s="62">
        <v>46</v>
      </c>
      <c r="B51" s="473">
        <v>407.52153317250003</v>
      </c>
      <c r="C51" s="473">
        <v>378.31738964832999</v>
      </c>
      <c r="D51" s="473">
        <v>435.007731597793</v>
      </c>
      <c r="E51" s="62">
        <v>413.734810989273</v>
      </c>
      <c r="G51" s="62">
        <v>46</v>
      </c>
      <c r="H51" s="473">
        <v>398.15184148536702</v>
      </c>
      <c r="I51" s="473">
        <v>368.94774373756502</v>
      </c>
      <c r="J51" s="473">
        <v>425.63806279884398</v>
      </c>
      <c r="K51" s="62">
        <v>403.81230056311199</v>
      </c>
      <c r="M51" s="62">
        <v>46</v>
      </c>
      <c r="N51" s="62">
        <v>299.39573965586402</v>
      </c>
      <c r="O51" s="433"/>
      <c r="Q51" s="62">
        <v>46</v>
      </c>
      <c r="R51" s="62">
        <v>0</v>
      </c>
      <c r="S51" s="62"/>
      <c r="T51" s="62"/>
      <c r="U51" s="62"/>
      <c r="W51" s="62">
        <v>46</v>
      </c>
      <c r="X51" s="62">
        <v>0</v>
      </c>
      <c r="Y51" s="62"/>
      <c r="Z51" s="62"/>
      <c r="AA51" s="62"/>
    </row>
    <row r="52" spans="1:27">
      <c r="A52" s="62">
        <v>47</v>
      </c>
      <c r="B52" s="473">
        <v>415.19555282000101</v>
      </c>
      <c r="C52" s="473">
        <v>386.08777999285297</v>
      </c>
      <c r="D52" s="473">
        <v>442.59104537371201</v>
      </c>
      <c r="E52" s="62">
        <v>421.38694619539802</v>
      </c>
      <c r="G52" s="62">
        <v>47</v>
      </c>
      <c r="H52" s="473">
        <v>406.55829252612801</v>
      </c>
      <c r="I52" s="473">
        <v>377.45056547534602</v>
      </c>
      <c r="J52" s="473">
        <v>433.95380796802198</v>
      </c>
      <c r="K52" s="62">
        <v>412.19374296950701</v>
      </c>
      <c r="M52" s="62">
        <v>47</v>
      </c>
      <c r="N52" s="62">
        <v>303.93978651465</v>
      </c>
      <c r="O52" s="433"/>
      <c r="Q52" s="62">
        <v>47</v>
      </c>
      <c r="R52" s="62">
        <v>0</v>
      </c>
      <c r="S52" s="62"/>
      <c r="T52" s="62"/>
      <c r="U52" s="62"/>
      <c r="W52" s="62">
        <v>47</v>
      </c>
      <c r="X52" s="62">
        <v>0</v>
      </c>
      <c r="Y52" s="62"/>
      <c r="Z52" s="62"/>
      <c r="AA52" s="62"/>
    </row>
    <row r="53" spans="1:27">
      <c r="A53" s="62">
        <v>48</v>
      </c>
      <c r="B53" s="473">
        <v>422.85509199704501</v>
      </c>
      <c r="C53" s="473">
        <v>393.84337324704501</v>
      </c>
      <c r="D53" s="473">
        <v>450.16017622556097</v>
      </c>
      <c r="E53" s="62">
        <v>429.02469176854498</v>
      </c>
      <c r="G53" s="62">
        <v>48</v>
      </c>
      <c r="H53" s="473">
        <v>414.95865521910099</v>
      </c>
      <c r="I53" s="473">
        <v>385.94698224546801</v>
      </c>
      <c r="J53" s="473">
        <v>442.26376996519502</v>
      </c>
      <c r="K53" s="62">
        <v>420.56926049739798</v>
      </c>
      <c r="M53" s="62">
        <v>48</v>
      </c>
      <c r="N53" s="62">
        <v>308.47188026347698</v>
      </c>
      <c r="O53" s="433"/>
      <c r="Q53" s="62">
        <v>48</v>
      </c>
      <c r="R53" s="62">
        <v>0</v>
      </c>
      <c r="S53" s="62"/>
      <c r="T53" s="62"/>
      <c r="U53" s="62"/>
      <c r="W53" s="62">
        <v>48</v>
      </c>
      <c r="X53" s="62">
        <v>0</v>
      </c>
      <c r="Y53" s="62"/>
      <c r="Z53" s="62"/>
      <c r="AA53" s="62"/>
    </row>
    <row r="54" spans="1:27">
      <c r="A54" s="62">
        <v>49</v>
      </c>
      <c r="B54" s="473">
        <v>430.50228261278198</v>
      </c>
      <c r="C54" s="473">
        <v>401.58630132005698</v>
      </c>
      <c r="D54" s="473">
        <v>457.71725606248901</v>
      </c>
      <c r="E54" s="62">
        <v>436.65018605516502</v>
      </c>
      <c r="G54" s="62">
        <v>49</v>
      </c>
      <c r="H54" s="473">
        <v>423.35452626581298</v>
      </c>
      <c r="I54" s="473">
        <v>394.43859837884997</v>
      </c>
      <c r="J54" s="473">
        <v>450.56953786249198</v>
      </c>
      <c r="K54" s="62">
        <v>428.94045069563799</v>
      </c>
      <c r="M54" s="62">
        <v>49</v>
      </c>
      <c r="N54" s="62">
        <v>312.99379721729298</v>
      </c>
      <c r="O54" s="433"/>
      <c r="Q54" s="62">
        <v>49</v>
      </c>
      <c r="R54" s="62">
        <v>0</v>
      </c>
      <c r="S54" s="62"/>
      <c r="T54" s="62"/>
      <c r="U54" s="62"/>
      <c r="W54" s="62">
        <v>49</v>
      </c>
      <c r="X54" s="62">
        <v>0</v>
      </c>
      <c r="Y54" s="62"/>
      <c r="Z54" s="62"/>
      <c r="AA54" s="62"/>
    </row>
    <row r="55" spans="1:27">
      <c r="A55" s="62">
        <v>50</v>
      </c>
      <c r="B55" s="473">
        <v>255.826968999326</v>
      </c>
      <c r="C55" s="473">
        <v>227.006412358701</v>
      </c>
      <c r="D55" s="473">
        <v>282.95212921661101</v>
      </c>
      <c r="E55" s="62">
        <v>261.99855096258199</v>
      </c>
      <c r="G55" s="62">
        <v>50</v>
      </c>
      <c r="H55" s="473">
        <v>244.3774921918</v>
      </c>
      <c r="I55" s="473">
        <v>215.556988956937</v>
      </c>
      <c r="J55" s="473">
        <v>271.50269055605798</v>
      </c>
      <c r="K55" s="62">
        <v>250.40573907749101</v>
      </c>
      <c r="M55" s="62">
        <v>50</v>
      </c>
      <c r="N55" s="62">
        <v>317.506982569049</v>
      </c>
      <c r="O55" s="433"/>
      <c r="Q55" s="62">
        <v>50</v>
      </c>
      <c r="R55" s="62">
        <v>155.39570620000001</v>
      </c>
      <c r="S55" s="62"/>
      <c r="T55" s="62"/>
      <c r="U55" s="62"/>
      <c r="W55" s="62">
        <v>50</v>
      </c>
      <c r="X55" s="62">
        <v>160.46084590000001</v>
      </c>
      <c r="Y55" s="62"/>
      <c r="Z55" s="62"/>
      <c r="AA55" s="62"/>
    </row>
    <row r="56" spans="1:27">
      <c r="A56" s="62">
        <v>51</v>
      </c>
      <c r="B56" s="473">
        <v>239.850645694798</v>
      </c>
      <c r="C56" s="473">
        <v>211.12519708639999</v>
      </c>
      <c r="D56" s="473">
        <v>266.88629785544202</v>
      </c>
      <c r="E56" s="62">
        <v>246.12285488753801</v>
      </c>
      <c r="G56" s="62">
        <v>51</v>
      </c>
      <c r="H56" s="473">
        <v>229.35501537880501</v>
      </c>
      <c r="I56" s="473">
        <v>200.629620176169</v>
      </c>
      <c r="J56" s="473">
        <v>256.39069805702798</v>
      </c>
      <c r="K56" s="62">
        <v>235.471157323048</v>
      </c>
      <c r="M56" s="62">
        <v>51</v>
      </c>
      <c r="N56" s="62">
        <v>321.75157499260001</v>
      </c>
      <c r="O56" s="433"/>
      <c r="Q56" s="62">
        <v>51</v>
      </c>
      <c r="R56" s="62">
        <v>0</v>
      </c>
      <c r="S56" s="62"/>
      <c r="T56" s="62"/>
      <c r="U56" s="62"/>
      <c r="W56" s="62">
        <v>51</v>
      </c>
      <c r="X56" s="62">
        <v>0</v>
      </c>
      <c r="Y56" s="62"/>
      <c r="Z56" s="62"/>
      <c r="AA56" s="62"/>
    </row>
    <row r="57" spans="1:27">
      <c r="A57" s="62">
        <v>52</v>
      </c>
      <c r="B57" s="473">
        <v>226.66863740241499</v>
      </c>
      <c r="C57" s="473">
        <v>198.03798020637001</v>
      </c>
      <c r="D57" s="473">
        <v>253.615071423411</v>
      </c>
      <c r="E57" s="62">
        <v>233.10071552153201</v>
      </c>
      <c r="G57" s="62">
        <v>52</v>
      </c>
      <c r="H57" s="473">
        <v>216.93250974191301</v>
      </c>
      <c r="I57" s="473">
        <v>188.30190213693299</v>
      </c>
      <c r="J57" s="473">
        <v>243.878974280487</v>
      </c>
      <c r="K57" s="62">
        <v>223.19235804053599</v>
      </c>
      <c r="M57" s="62">
        <v>52</v>
      </c>
      <c r="N57" s="62">
        <v>325.98585922464099</v>
      </c>
      <c r="O57" s="433"/>
      <c r="Q57" s="62">
        <v>52</v>
      </c>
      <c r="R57" s="62">
        <v>0</v>
      </c>
      <c r="S57" s="62"/>
      <c r="T57" s="62"/>
      <c r="U57" s="62"/>
      <c r="W57" s="62">
        <v>52</v>
      </c>
      <c r="X57" s="62">
        <v>0</v>
      </c>
      <c r="Y57" s="62"/>
      <c r="Z57" s="62"/>
      <c r="AA57" s="62"/>
    </row>
    <row r="58" spans="1:27">
      <c r="A58" s="62">
        <v>53</v>
      </c>
      <c r="B58" s="473">
        <v>215.88572653520299</v>
      </c>
      <c r="C58" s="473">
        <v>187.34955176103301</v>
      </c>
      <c r="D58" s="473">
        <v>242.743239962937</v>
      </c>
      <c r="E58" s="62">
        <v>222.52111802253901</v>
      </c>
      <c r="G58" s="62">
        <v>53</v>
      </c>
      <c r="H58" s="473">
        <v>206.74606014353901</v>
      </c>
      <c r="I58" s="473">
        <v>178.209923516342</v>
      </c>
      <c r="J58" s="473">
        <v>233.60359645945701</v>
      </c>
      <c r="K58" s="62">
        <v>213.194475011425</v>
      </c>
      <c r="M58" s="62">
        <v>53</v>
      </c>
      <c r="N58" s="62">
        <v>330.21128621691901</v>
      </c>
      <c r="O58" s="433"/>
      <c r="Q58" s="62">
        <v>53</v>
      </c>
      <c r="R58" s="62">
        <v>0</v>
      </c>
      <c r="S58" s="62"/>
      <c r="T58" s="62"/>
      <c r="U58" s="62"/>
      <c r="W58" s="62">
        <v>53</v>
      </c>
      <c r="X58" s="62">
        <v>0</v>
      </c>
      <c r="Y58" s="62"/>
      <c r="Z58" s="62"/>
      <c r="AA58" s="62"/>
    </row>
    <row r="59" spans="1:27">
      <c r="A59" s="62">
        <v>54</v>
      </c>
      <c r="B59" s="473">
        <v>207.195557736528</v>
      </c>
      <c r="C59" s="473">
        <v>178.75354876436</v>
      </c>
      <c r="D59" s="473">
        <v>233.96444048799299</v>
      </c>
      <c r="E59" s="62">
        <v>214.06278571446299</v>
      </c>
      <c r="G59" s="62">
        <v>54</v>
      </c>
      <c r="H59" s="473">
        <v>198.517444617173</v>
      </c>
      <c r="I59" s="473">
        <v>170.07548905076601</v>
      </c>
      <c r="J59" s="473">
        <v>225.286357886216</v>
      </c>
      <c r="K59" s="62">
        <v>205.18751960921699</v>
      </c>
      <c r="M59" s="62">
        <v>54</v>
      </c>
      <c r="N59" s="62">
        <v>334.42907223329098</v>
      </c>
      <c r="O59" s="433"/>
      <c r="Q59" s="62">
        <v>54</v>
      </c>
      <c r="R59" s="62">
        <v>0</v>
      </c>
      <c r="S59" s="62"/>
      <c r="T59" s="62"/>
      <c r="U59" s="62"/>
      <c r="W59" s="62">
        <v>54</v>
      </c>
      <c r="X59" s="62">
        <v>0</v>
      </c>
      <c r="Y59" s="62"/>
      <c r="Z59" s="62"/>
      <c r="AA59" s="62"/>
    </row>
    <row r="60" spans="1:27">
      <c r="A60" s="62">
        <v>55</v>
      </c>
      <c r="B60" s="473">
        <v>200.357406785774</v>
      </c>
      <c r="C60" s="473">
        <v>172.009246995735</v>
      </c>
      <c r="D60" s="473">
        <v>227.03794877796199</v>
      </c>
      <c r="E60" s="62">
        <v>207.47088930046601</v>
      </c>
      <c r="G60" s="62">
        <v>55</v>
      </c>
      <c r="H60" s="473">
        <v>192.031568645974</v>
      </c>
      <c r="I60" s="473">
        <v>163.68346989109099</v>
      </c>
      <c r="J60" s="473">
        <v>218.71214115574</v>
      </c>
      <c r="K60" s="62">
        <v>198.944219299179</v>
      </c>
      <c r="M60" s="62">
        <v>55</v>
      </c>
      <c r="N60" s="62">
        <v>338.64024279434102</v>
      </c>
      <c r="O60" s="433"/>
      <c r="Q60" s="62">
        <v>55</v>
      </c>
      <c r="R60" s="62">
        <v>0</v>
      </c>
      <c r="S60" s="62"/>
      <c r="T60" s="62"/>
      <c r="U60" s="62"/>
      <c r="W60" s="62">
        <v>55</v>
      </c>
      <c r="X60" s="62">
        <v>0</v>
      </c>
      <c r="Y60" s="62"/>
      <c r="Z60" s="62"/>
      <c r="AA60" s="62"/>
    </row>
    <row r="61" spans="1:27">
      <c r="A61" s="62">
        <v>56</v>
      </c>
      <c r="B61" s="473">
        <v>195.17855363824401</v>
      </c>
      <c r="C61" s="473">
        <v>166.923937854553</v>
      </c>
      <c r="D61" s="473">
        <v>221.77104478814601</v>
      </c>
      <c r="E61" s="62">
        <v>202.539531443095</v>
      </c>
      <c r="G61" s="62">
        <v>56</v>
      </c>
      <c r="H61" s="473">
        <v>187.11918543829501</v>
      </c>
      <c r="I61" s="473">
        <v>158.86463068975999</v>
      </c>
      <c r="J61" s="473">
        <v>213.71171473517001</v>
      </c>
      <c r="K61" s="62">
        <v>194.28318886259601</v>
      </c>
      <c r="M61" s="62">
        <v>56</v>
      </c>
      <c r="N61" s="62">
        <v>342.52922340591999</v>
      </c>
      <c r="O61" s="433"/>
      <c r="Q61" s="62">
        <v>56</v>
      </c>
      <c r="R61" s="62">
        <v>0</v>
      </c>
      <c r="S61" s="62"/>
      <c r="T61" s="62"/>
      <c r="U61" s="62"/>
      <c r="W61" s="62">
        <v>56</v>
      </c>
      <c r="X61" s="62">
        <v>0</v>
      </c>
      <c r="Y61" s="62"/>
      <c r="Z61" s="62"/>
      <c r="AA61" s="62"/>
    </row>
    <row r="62" spans="1:27">
      <c r="A62" s="62">
        <v>57</v>
      </c>
      <c r="B62" s="473">
        <v>191.50133789353299</v>
      </c>
      <c r="C62" s="473">
        <v>163.33996094040799</v>
      </c>
      <c r="D62" s="473">
        <v>218.00606811814299</v>
      </c>
      <c r="E62" s="62">
        <v>199.09895476353</v>
      </c>
      <c r="G62" s="62">
        <v>57</v>
      </c>
      <c r="H62" s="473">
        <v>183.64418874035201</v>
      </c>
      <c r="I62" s="473">
        <v>155.482884266475</v>
      </c>
      <c r="J62" s="473">
        <v>210.148964741329</v>
      </c>
      <c r="K62" s="62">
        <v>191.05656840264501</v>
      </c>
      <c r="M62" s="62">
        <v>57</v>
      </c>
      <c r="N62" s="62">
        <v>346.40721372794201</v>
      </c>
      <c r="O62" s="433"/>
      <c r="Q62" s="62">
        <v>57</v>
      </c>
      <c r="R62" s="62">
        <v>0</v>
      </c>
      <c r="S62" s="62"/>
      <c r="T62" s="62"/>
      <c r="U62" s="62"/>
      <c r="W62" s="62">
        <v>57</v>
      </c>
      <c r="X62" s="62">
        <v>0</v>
      </c>
      <c r="Y62" s="62"/>
      <c r="Z62" s="62"/>
      <c r="AA62" s="62"/>
    </row>
    <row r="63" spans="1:27">
      <c r="A63" s="62">
        <v>58</v>
      </c>
      <c r="B63" s="473">
        <v>189.193657554179</v>
      </c>
      <c r="C63" s="473">
        <v>161.12521807053599</v>
      </c>
      <c r="D63" s="473">
        <v>215.61092439988201</v>
      </c>
      <c r="E63" s="62">
        <v>197.00633747094599</v>
      </c>
      <c r="G63" s="62">
        <v>58</v>
      </c>
      <c r="H63" s="473">
        <v>181.494296453582</v>
      </c>
      <c r="I63" s="473">
        <v>153.42592563449</v>
      </c>
      <c r="J63" s="473">
        <v>207.911609075652</v>
      </c>
      <c r="K63" s="62">
        <v>189.141032930195</v>
      </c>
      <c r="M63" s="62">
        <v>58</v>
      </c>
      <c r="N63" s="62">
        <v>350.27575677452103</v>
      </c>
      <c r="O63" s="433"/>
      <c r="Q63" s="62">
        <v>58</v>
      </c>
      <c r="R63" s="62">
        <v>0</v>
      </c>
      <c r="S63" s="62"/>
      <c r="T63" s="62"/>
      <c r="U63" s="62"/>
      <c r="W63" s="62">
        <v>58</v>
      </c>
      <c r="X63" s="62">
        <v>0</v>
      </c>
      <c r="Y63" s="62"/>
      <c r="Z63" s="62"/>
      <c r="AA63" s="62"/>
    </row>
    <row r="64" spans="1:27">
      <c r="A64" s="62">
        <v>59</v>
      </c>
      <c r="B64" s="473">
        <v>188.14212548011801</v>
      </c>
      <c r="C64" s="473">
        <v>160.166314475479</v>
      </c>
      <c r="D64" s="473">
        <v>214.472211234512</v>
      </c>
      <c r="E64" s="62">
        <v>196.13906858859801</v>
      </c>
      <c r="G64" s="62">
        <v>59</v>
      </c>
      <c r="H64" s="473">
        <v>180.57420822314401</v>
      </c>
      <c r="I64" s="473">
        <v>152.59846588305601</v>
      </c>
      <c r="J64" s="473">
        <v>206.90434738330001</v>
      </c>
      <c r="K64" s="62">
        <v>188.43129185550401</v>
      </c>
      <c r="M64" s="62">
        <v>59</v>
      </c>
      <c r="N64" s="62">
        <v>354.13613633540399</v>
      </c>
      <c r="O64" s="433"/>
      <c r="Q64" s="62">
        <v>59</v>
      </c>
      <c r="R64" s="62">
        <v>0</v>
      </c>
      <c r="S64" s="62"/>
      <c r="T64" s="62"/>
      <c r="U64" s="62"/>
      <c r="W64" s="62">
        <v>59</v>
      </c>
      <c r="X64" s="62">
        <v>0</v>
      </c>
      <c r="Y64" s="62"/>
      <c r="Z64" s="62"/>
      <c r="AA64" s="62"/>
    </row>
    <row r="65" spans="1:27">
      <c r="A65" s="62">
        <v>60</v>
      </c>
      <c r="B65" s="473">
        <v>188.247157857856</v>
      </c>
      <c r="C65" s="473">
        <v>160.36367015644001</v>
      </c>
      <c r="D65" s="473">
        <v>214.490360067328</v>
      </c>
      <c r="E65" s="62">
        <v>196.390030802654</v>
      </c>
      <c r="G65" s="62">
        <v>60</v>
      </c>
      <c r="H65" s="473">
        <v>180.80071718208001</v>
      </c>
      <c r="I65" s="473">
        <v>152.917298145215</v>
      </c>
      <c r="J65" s="473">
        <v>207.04396516791999</v>
      </c>
      <c r="K65" s="62">
        <v>188.83544935908199</v>
      </c>
      <c r="M65" s="62">
        <v>60</v>
      </c>
      <c r="N65" s="62">
        <v>358.007313155563</v>
      </c>
      <c r="O65" s="433"/>
      <c r="Q65" s="62">
        <v>60</v>
      </c>
      <c r="R65" s="62">
        <v>0</v>
      </c>
      <c r="S65" s="62"/>
      <c r="T65" s="62"/>
      <c r="U65" s="62"/>
      <c r="W65" s="62">
        <v>60</v>
      </c>
      <c r="X65" s="62">
        <v>0</v>
      </c>
      <c r="Y65" s="62"/>
      <c r="Z65" s="62"/>
      <c r="AA65" s="62"/>
    </row>
    <row r="66" spans="1:27">
      <c r="A66" s="62">
        <v>61</v>
      </c>
      <c r="B66" s="473">
        <v>189.419501571632</v>
      </c>
      <c r="C66" s="473">
        <v>161.62803199765801</v>
      </c>
      <c r="D66" s="473">
        <v>215.576102523781</v>
      </c>
      <c r="E66" s="62">
        <v>197.66416919424401</v>
      </c>
      <c r="G66" s="62">
        <v>61</v>
      </c>
      <c r="H66" s="473">
        <v>182.09925781144901</v>
      </c>
      <c r="I66" s="473">
        <v>154.30785690202501</v>
      </c>
      <c r="J66" s="473">
        <v>208.255904539965</v>
      </c>
      <c r="K66" s="62">
        <v>190.27173663639201</v>
      </c>
      <c r="M66" s="62">
        <v>61</v>
      </c>
      <c r="N66" s="62">
        <v>361.577738074173</v>
      </c>
      <c r="O66" s="433"/>
      <c r="Q66" s="62">
        <v>61</v>
      </c>
      <c r="R66" s="62">
        <v>0</v>
      </c>
      <c r="S66" s="62"/>
      <c r="T66" s="62"/>
      <c r="U66" s="62"/>
      <c r="W66" s="62">
        <v>61</v>
      </c>
      <c r="X66" s="62">
        <v>0</v>
      </c>
      <c r="Y66" s="62"/>
      <c r="Z66" s="62"/>
      <c r="AA66" s="62"/>
    </row>
    <row r="67" spans="1:27">
      <c r="A67" s="62">
        <v>62</v>
      </c>
      <c r="B67" s="473">
        <v>191.57779310265701</v>
      </c>
      <c r="C67" s="473">
        <v>163.87803266564501</v>
      </c>
      <c r="D67" s="473">
        <v>217.648075085079</v>
      </c>
      <c r="E67" s="62">
        <v>199.87600936128999</v>
      </c>
      <c r="G67" s="62">
        <v>62</v>
      </c>
      <c r="H67" s="473">
        <v>184.401477969501</v>
      </c>
      <c r="I67" s="473">
        <v>156.70178619704001</v>
      </c>
      <c r="J67" s="473">
        <v>210.47180572829001</v>
      </c>
      <c r="K67" s="62">
        <v>192.66614197460399</v>
      </c>
      <c r="M67" s="62">
        <v>62</v>
      </c>
      <c r="N67" s="62">
        <v>365.13894978824197</v>
      </c>
      <c r="O67" s="433"/>
      <c r="Q67" s="62">
        <v>62</v>
      </c>
      <c r="R67" s="62">
        <v>0</v>
      </c>
      <c r="S67" s="62"/>
      <c r="T67" s="62"/>
      <c r="U67" s="62"/>
      <c r="W67" s="62">
        <v>62</v>
      </c>
      <c r="X67" s="62">
        <v>0</v>
      </c>
      <c r="Y67" s="62"/>
      <c r="Z67" s="62"/>
      <c r="AA67" s="62"/>
    </row>
    <row r="68" spans="1:27">
      <c r="A68" s="62">
        <v>63</v>
      </c>
      <c r="B68" s="473">
        <v>194.64681180626201</v>
      </c>
      <c r="C68" s="473">
        <v>167.03845914512999</v>
      </c>
      <c r="D68" s="473">
        <v>220.63105710655501</v>
      </c>
      <c r="E68" s="62">
        <v>202.94790130462999</v>
      </c>
      <c r="G68" s="62">
        <v>63</v>
      </c>
      <c r="H68" s="473">
        <v>187.64357366464699</v>
      </c>
      <c r="I68" s="473">
        <v>160.03528966806499</v>
      </c>
      <c r="J68" s="473">
        <v>213.627872370701</v>
      </c>
      <c r="K68" s="62">
        <v>195.95084758838999</v>
      </c>
      <c r="M68" s="62">
        <v>63</v>
      </c>
      <c r="N68" s="62">
        <v>368.69221515343997</v>
      </c>
      <c r="O68" s="433"/>
      <c r="Q68" s="62">
        <v>63</v>
      </c>
      <c r="R68" s="62">
        <v>0</v>
      </c>
      <c r="S68" s="62"/>
      <c r="T68" s="62"/>
      <c r="U68" s="62"/>
      <c r="W68" s="62">
        <v>63</v>
      </c>
      <c r="X68" s="62">
        <v>0</v>
      </c>
      <c r="Y68" s="62"/>
      <c r="Z68" s="62"/>
      <c r="AA68" s="62"/>
    </row>
    <row r="69" spans="1:27">
      <c r="A69" s="62">
        <v>64</v>
      </c>
      <c r="B69" s="473">
        <v>198.556278051258</v>
      </c>
      <c r="C69" s="473">
        <v>171.03903561961701</v>
      </c>
      <c r="D69" s="473">
        <v>224.454776586414</v>
      </c>
      <c r="E69" s="62">
        <v>206.80863663492499</v>
      </c>
      <c r="G69" s="62">
        <v>64</v>
      </c>
      <c r="H69" s="473">
        <v>191.765170836305</v>
      </c>
      <c r="I69" s="473">
        <v>164.247989439821</v>
      </c>
      <c r="J69" s="473">
        <v>217.66371514782901</v>
      </c>
      <c r="K69" s="62">
        <v>200.06295180902401</v>
      </c>
      <c r="M69" s="62">
        <v>64</v>
      </c>
      <c r="N69" s="62">
        <v>372.23856112393003</v>
      </c>
      <c r="O69" s="433"/>
      <c r="Q69" s="62">
        <v>64</v>
      </c>
      <c r="R69" s="62">
        <v>0</v>
      </c>
      <c r="S69" s="62"/>
      <c r="T69" s="62"/>
      <c r="U69" s="62"/>
      <c r="W69" s="62">
        <v>64</v>
      </c>
      <c r="X69" s="62">
        <v>0</v>
      </c>
      <c r="Y69" s="62"/>
      <c r="Z69" s="62"/>
      <c r="AA69" s="62"/>
    </row>
    <row r="70" spans="1:27">
      <c r="A70" s="62">
        <v>65</v>
      </c>
      <c r="B70" s="473">
        <v>203.23994324191901</v>
      </c>
      <c r="C70" s="473">
        <v>175.81350586399</v>
      </c>
      <c r="D70" s="473">
        <v>229.05297729953699</v>
      </c>
      <c r="E70" s="62">
        <v>211.39239984754099</v>
      </c>
      <c r="G70" s="62">
        <v>65</v>
      </c>
      <c r="H70" s="473">
        <v>196.70847996844901</v>
      </c>
      <c r="I70" s="473">
        <v>169.282099810978</v>
      </c>
      <c r="J70" s="473">
        <v>222.52155980243401</v>
      </c>
      <c r="K70" s="62">
        <v>204.943653136894</v>
      </c>
      <c r="M70" s="62">
        <v>65</v>
      </c>
      <c r="N70" s="62">
        <v>375.778813255035</v>
      </c>
      <c r="O70" s="433"/>
      <c r="Q70" s="62">
        <v>65</v>
      </c>
      <c r="R70" s="62">
        <v>0</v>
      </c>
      <c r="S70" s="62"/>
      <c r="T70" s="62"/>
      <c r="U70" s="62"/>
      <c r="W70" s="62">
        <v>65</v>
      </c>
      <c r="X70" s="62">
        <v>0</v>
      </c>
      <c r="Y70" s="62"/>
      <c r="Z70" s="62"/>
      <c r="AA70" s="62"/>
    </row>
    <row r="71" spans="1:27">
      <c r="A71" s="62">
        <v>66</v>
      </c>
      <c r="B71" s="473">
        <v>208.63481730180001</v>
      </c>
      <c r="C71" s="473">
        <v>181.29889506059001</v>
      </c>
      <c r="D71" s="473">
        <v>234.36266916947599</v>
      </c>
      <c r="E71" s="62">
        <v>216.63791251055801</v>
      </c>
      <c r="G71" s="62">
        <v>66</v>
      </c>
      <c r="H71" s="473">
        <v>202.41771491909</v>
      </c>
      <c r="I71" s="473">
        <v>175.081838454246</v>
      </c>
      <c r="J71" s="473">
        <v>228.145612563133</v>
      </c>
      <c r="K71" s="62">
        <v>210.53748213555801</v>
      </c>
      <c r="M71" s="62">
        <v>66</v>
      </c>
      <c r="N71" s="62">
        <v>378.97872367971303</v>
      </c>
      <c r="O71" s="433"/>
      <c r="Q71" s="62">
        <v>66</v>
      </c>
      <c r="R71" s="62">
        <v>0</v>
      </c>
      <c r="S71" s="62"/>
      <c r="T71" s="62"/>
      <c r="U71" s="62"/>
      <c r="W71" s="62">
        <v>66</v>
      </c>
      <c r="X71" s="62">
        <v>0</v>
      </c>
      <c r="Y71" s="62"/>
      <c r="Z71" s="62"/>
      <c r="AA71" s="62"/>
    </row>
    <row r="72" spans="1:27">
      <c r="A72" s="62">
        <v>67</v>
      </c>
      <c r="B72" s="473">
        <v>214.68066185459301</v>
      </c>
      <c r="C72" s="473">
        <v>187.43494957432</v>
      </c>
      <c r="D72" s="473">
        <v>240.32361381992499</v>
      </c>
      <c r="E72" s="62">
        <v>222.48769038939901</v>
      </c>
      <c r="G72" s="62">
        <v>67</v>
      </c>
      <c r="H72" s="473">
        <v>208.83858430022499</v>
      </c>
      <c r="I72" s="473">
        <v>181.592917796319</v>
      </c>
      <c r="J72" s="473">
        <v>234.48158204192401</v>
      </c>
      <c r="K72" s="62">
        <v>216.79170609357999</v>
      </c>
      <c r="M72" s="62">
        <v>67</v>
      </c>
      <c r="N72" s="62">
        <v>382.16665994653999</v>
      </c>
      <c r="O72" s="433"/>
      <c r="Q72" s="62">
        <v>67</v>
      </c>
      <c r="R72" s="62">
        <v>0</v>
      </c>
      <c r="S72" s="62"/>
      <c r="T72" s="62"/>
      <c r="U72" s="62"/>
      <c r="W72" s="62">
        <v>67</v>
      </c>
      <c r="X72" s="62">
        <v>0</v>
      </c>
      <c r="Y72" s="62"/>
      <c r="Z72" s="62"/>
      <c r="AA72" s="62"/>
    </row>
    <row r="73" spans="1:27">
      <c r="A73" s="62">
        <v>68</v>
      </c>
      <c r="B73" s="473">
        <v>221.31939679011899</v>
      </c>
      <c r="C73" s="473">
        <v>194.16359310969901</v>
      </c>
      <c r="D73" s="473">
        <v>246.87772351130999</v>
      </c>
      <c r="E73" s="62">
        <v>228.88741779420599</v>
      </c>
      <c r="G73" s="62">
        <v>68</v>
      </c>
      <c r="H73" s="473">
        <v>215.917870997102</v>
      </c>
      <c r="I73" s="473">
        <v>188.762105463654</v>
      </c>
      <c r="J73" s="473">
        <v>241.47624349466</v>
      </c>
      <c r="K73" s="62">
        <v>223.65581399192399</v>
      </c>
      <c r="M73" s="62">
        <v>68</v>
      </c>
      <c r="N73" s="62">
        <v>385.34416951913602</v>
      </c>
      <c r="O73" s="433"/>
      <c r="Q73" s="62">
        <v>68</v>
      </c>
      <c r="R73" s="62">
        <v>0</v>
      </c>
      <c r="S73" s="62"/>
      <c r="T73" s="62"/>
      <c r="U73" s="62"/>
      <c r="W73" s="62">
        <v>68</v>
      </c>
      <c r="X73" s="62">
        <v>0</v>
      </c>
      <c r="Y73" s="62"/>
      <c r="Z73" s="62"/>
      <c r="AA73" s="62"/>
    </row>
    <row r="74" spans="1:27">
      <c r="A74" s="62">
        <v>69</v>
      </c>
      <c r="B74" s="473">
        <v>228.494686675162</v>
      </c>
      <c r="C74" s="473">
        <v>201.428497862906</v>
      </c>
      <c r="D74" s="473">
        <v>253.96867043981001</v>
      </c>
      <c r="E74" s="62">
        <v>235.785412604844</v>
      </c>
      <c r="G74" s="62">
        <v>69</v>
      </c>
      <c r="H74" s="473">
        <v>223.602975543898</v>
      </c>
      <c r="I74" s="473">
        <v>196.536828693312</v>
      </c>
      <c r="J74" s="473">
        <v>249.077005084913</v>
      </c>
      <c r="K74" s="62">
        <v>231.08097850558599</v>
      </c>
      <c r="M74" s="62">
        <v>69</v>
      </c>
      <c r="N74" s="62">
        <v>388.51254164913502</v>
      </c>
      <c r="O74" s="433"/>
      <c r="Q74" s="62">
        <v>69</v>
      </c>
      <c r="R74" s="62">
        <v>0</v>
      </c>
      <c r="S74" s="62"/>
      <c r="T74" s="62"/>
      <c r="U74" s="62"/>
      <c r="W74" s="62">
        <v>69</v>
      </c>
      <c r="X74" s="62">
        <v>0</v>
      </c>
      <c r="Y74" s="62"/>
      <c r="Z74" s="62"/>
      <c r="AA74" s="62"/>
    </row>
    <row r="75" spans="1:27">
      <c r="A75" s="62">
        <v>70</v>
      </c>
      <c r="B75" s="473">
        <v>236.151599290348</v>
      </c>
      <c r="C75" s="473">
        <v>209.17472779987</v>
      </c>
      <c r="D75" s="473">
        <v>261.54151475665702</v>
      </c>
      <c r="E75" s="62">
        <v>243.13214338674999</v>
      </c>
      <c r="G75" s="62">
        <v>70</v>
      </c>
      <c r="H75" s="473">
        <v>231.84164130448499</v>
      </c>
      <c r="I75" s="473">
        <v>204.86481940507099</v>
      </c>
      <c r="J75" s="473">
        <v>257.23161017655502</v>
      </c>
      <c r="K75" s="62">
        <v>239.019681335549</v>
      </c>
      <c r="M75" s="62">
        <v>70</v>
      </c>
      <c r="N75" s="62">
        <v>391.672830104448</v>
      </c>
      <c r="O75" s="433"/>
      <c r="Q75" s="62">
        <v>70</v>
      </c>
      <c r="R75" s="62">
        <v>0</v>
      </c>
      <c r="S75" s="62"/>
      <c r="T75" s="62"/>
      <c r="U75" s="62"/>
      <c r="W75" s="62">
        <v>70</v>
      </c>
      <c r="X75" s="62">
        <v>0</v>
      </c>
      <c r="Y75" s="62"/>
      <c r="Z75" s="62"/>
      <c r="AA75" s="62"/>
    </row>
    <row r="76" spans="1:27">
      <c r="A76" s="62">
        <v>71</v>
      </c>
      <c r="B76" s="473">
        <v>244.23628556591399</v>
      </c>
      <c r="C76" s="473">
        <v>217.34843385082601</v>
      </c>
      <c r="D76" s="473">
        <v>269.54241502148</v>
      </c>
      <c r="E76" s="62">
        <v>250.87985264561701</v>
      </c>
      <c r="G76" s="62">
        <v>71</v>
      </c>
      <c r="H76" s="473">
        <v>224.868390685729</v>
      </c>
      <c r="I76" s="473">
        <v>197.98060000579801</v>
      </c>
      <c r="J76" s="473">
        <v>250.17457354705701</v>
      </c>
      <c r="K76" s="62">
        <v>231.31310535140301</v>
      </c>
      <c r="M76" s="62">
        <v>71</v>
      </c>
      <c r="N76" s="62">
        <v>394.64680506237198</v>
      </c>
      <c r="O76" s="433"/>
      <c r="Q76" s="62">
        <v>71</v>
      </c>
      <c r="R76" s="62">
        <v>0</v>
      </c>
      <c r="S76" s="62"/>
      <c r="T76" s="62"/>
      <c r="U76" s="62"/>
      <c r="W76" s="62">
        <v>71</v>
      </c>
      <c r="X76" s="62">
        <v>13.099040990000001</v>
      </c>
      <c r="Y76" s="62"/>
      <c r="Z76" s="62"/>
      <c r="AA76" s="62"/>
    </row>
    <row r="77" spans="1:27">
      <c r="A77" s="62">
        <v>72</v>
      </c>
      <c r="B77" s="473">
        <v>252.69578385053401</v>
      </c>
      <c r="C77" s="473">
        <v>225.896665808542</v>
      </c>
      <c r="D77" s="473">
        <v>277.91840195356201</v>
      </c>
      <c r="E77" s="62">
        <v>258.98231769443697</v>
      </c>
      <c r="G77" s="62">
        <v>72</v>
      </c>
      <c r="H77" s="473">
        <v>231.613943577302</v>
      </c>
      <c r="I77" s="473">
        <v>204.81487894107201</v>
      </c>
      <c r="J77" s="473">
        <v>256.836615086091</v>
      </c>
      <c r="K77" s="62">
        <v>237.69404029492199</v>
      </c>
      <c r="M77" s="62">
        <v>72</v>
      </c>
      <c r="N77" s="62">
        <v>397.610560212812</v>
      </c>
      <c r="O77" s="433"/>
      <c r="Q77" s="62">
        <v>72</v>
      </c>
      <c r="R77" s="62">
        <v>0</v>
      </c>
      <c r="S77" s="62"/>
      <c r="T77" s="62"/>
      <c r="U77" s="62"/>
      <c r="W77" s="62">
        <v>72</v>
      </c>
      <c r="X77" s="62">
        <v>0</v>
      </c>
      <c r="Y77" s="62"/>
      <c r="Z77" s="62"/>
      <c r="AA77" s="62"/>
    </row>
    <row r="78" spans="1:27">
      <c r="A78" s="62">
        <v>73</v>
      </c>
      <c r="B78" s="473">
        <v>261.47795284221201</v>
      </c>
      <c r="C78" s="473">
        <v>234.76727092692801</v>
      </c>
      <c r="D78" s="473">
        <v>286.617341880298</v>
      </c>
      <c r="E78" s="62">
        <v>267.39456187903397</v>
      </c>
      <c r="G78" s="62">
        <v>73</v>
      </c>
      <c r="H78" s="473">
        <v>239.08036828020201</v>
      </c>
      <c r="I78" s="473">
        <v>212.36973977068101</v>
      </c>
      <c r="J78" s="473">
        <v>264.21980309465499</v>
      </c>
      <c r="K78" s="62">
        <v>244.77523409170101</v>
      </c>
      <c r="M78" s="62">
        <v>73</v>
      </c>
      <c r="N78" s="62">
        <v>400.565118742572</v>
      </c>
      <c r="O78" s="433"/>
      <c r="Q78" s="62">
        <v>73</v>
      </c>
      <c r="R78" s="62">
        <v>0</v>
      </c>
      <c r="S78" s="62"/>
      <c r="T78" s="62"/>
      <c r="U78" s="62"/>
      <c r="W78" s="62">
        <v>73</v>
      </c>
      <c r="X78" s="62">
        <v>0</v>
      </c>
      <c r="Y78" s="62"/>
      <c r="Z78" s="62"/>
      <c r="AA78" s="62"/>
    </row>
    <row r="79" spans="1:27">
      <c r="A79" s="62">
        <v>74</v>
      </c>
      <c r="B79" s="473">
        <v>270.531393523899</v>
      </c>
      <c r="C79" s="473">
        <v>243.90885781833299</v>
      </c>
      <c r="D79" s="473">
        <v>295.58782052585298</v>
      </c>
      <c r="E79" s="62">
        <v>276.07277714896702</v>
      </c>
      <c r="G79" s="62">
        <v>74</v>
      </c>
      <c r="H79" s="473">
        <v>247.15207970531</v>
      </c>
      <c r="I79" s="473">
        <v>220.529597405506</v>
      </c>
      <c r="J79" s="473">
        <v>272.20855248363102</v>
      </c>
      <c r="K79" s="62">
        <v>252.44915974051</v>
      </c>
      <c r="M79" s="62">
        <v>74</v>
      </c>
      <c r="N79" s="62">
        <v>403.51147010627301</v>
      </c>
      <c r="O79" s="433"/>
      <c r="Q79" s="62">
        <v>74</v>
      </c>
      <c r="R79" s="62">
        <v>0</v>
      </c>
      <c r="S79" s="62"/>
      <c r="T79" s="62"/>
      <c r="U79" s="62"/>
      <c r="W79" s="62">
        <v>74</v>
      </c>
      <c r="X79" s="62">
        <v>0</v>
      </c>
      <c r="Y79" s="62"/>
      <c r="Z79" s="62"/>
      <c r="AA79" s="62"/>
    </row>
    <row r="80" spans="1:27">
      <c r="A80" s="62">
        <v>75</v>
      </c>
      <c r="B80" s="473">
        <v>279.74144673093701</v>
      </c>
      <c r="C80" s="473">
        <v>253.20676731809499</v>
      </c>
      <c r="D80" s="473">
        <v>304.71518635496</v>
      </c>
      <c r="E80" s="62">
        <v>285.606188771571</v>
      </c>
      <c r="G80" s="62">
        <v>75</v>
      </c>
      <c r="H80" s="473">
        <v>255.61885929418901</v>
      </c>
      <c r="I80" s="473">
        <v>229.08423328710899</v>
      </c>
      <c r="J80" s="473">
        <v>280.59264469457997</v>
      </c>
      <c r="K80" s="62">
        <v>261.038155550086</v>
      </c>
      <c r="M80" s="62">
        <v>75</v>
      </c>
      <c r="N80" s="62">
        <v>406.45037005344699</v>
      </c>
      <c r="O80" s="433"/>
      <c r="Q80" s="62">
        <v>75</v>
      </c>
      <c r="R80" s="62">
        <v>0</v>
      </c>
      <c r="S80" s="62"/>
      <c r="T80" s="62"/>
      <c r="U80" s="62"/>
      <c r="W80" s="62">
        <v>75</v>
      </c>
      <c r="X80" s="62">
        <v>0</v>
      </c>
      <c r="Y80" s="62"/>
      <c r="Z80" s="62"/>
      <c r="AA80" s="62"/>
    </row>
    <row r="81" spans="1:27">
      <c r="A81" s="62">
        <v>76</v>
      </c>
      <c r="B81" s="473">
        <v>288.63443768826801</v>
      </c>
      <c r="C81" s="473">
        <v>262.18732083646103</v>
      </c>
      <c r="D81" s="473">
        <v>313.52576459256397</v>
      </c>
      <c r="E81" s="62">
        <v>294.47600925771002</v>
      </c>
      <c r="G81" s="62">
        <v>76</v>
      </c>
      <c r="H81" s="473">
        <v>263.909516109138</v>
      </c>
      <c r="I81" s="473">
        <v>237.46244884839601</v>
      </c>
      <c r="J81" s="473">
        <v>288.800888789802</v>
      </c>
      <c r="K81" s="62">
        <v>269.30359077666799</v>
      </c>
      <c r="M81" s="62">
        <v>76</v>
      </c>
      <c r="N81" s="62">
        <v>408.19238289676599</v>
      </c>
      <c r="O81" s="433"/>
      <c r="Q81" s="62">
        <v>76</v>
      </c>
      <c r="R81" s="62">
        <v>0</v>
      </c>
      <c r="S81" s="62"/>
      <c r="T81" s="62"/>
      <c r="U81" s="62"/>
      <c r="W81" s="62">
        <v>76</v>
      </c>
      <c r="X81" s="62">
        <v>0</v>
      </c>
      <c r="Y81" s="62"/>
      <c r="Z81" s="62"/>
      <c r="AA81" s="62"/>
    </row>
    <row r="82" spans="1:27">
      <c r="A82" s="62">
        <v>77</v>
      </c>
      <c r="B82" s="473">
        <v>297.55591141872702</v>
      </c>
      <c r="C82" s="473">
        <v>271.19607102565999</v>
      </c>
      <c r="D82" s="473">
        <v>322.3651002615</v>
      </c>
      <c r="E82" s="62">
        <v>303.37467288665999</v>
      </c>
      <c r="G82" s="62">
        <v>77</v>
      </c>
      <c r="H82" s="473">
        <v>272.36728096748999</v>
      </c>
      <c r="I82" s="473">
        <v>246.00749016548801</v>
      </c>
      <c r="J82" s="473">
        <v>297.17651558663101</v>
      </c>
      <c r="K82" s="62">
        <v>277.73672342252098</v>
      </c>
      <c r="M82" s="62">
        <v>77</v>
      </c>
      <c r="N82" s="62">
        <v>409.89831876359</v>
      </c>
      <c r="O82" s="433"/>
      <c r="Q82" s="62">
        <v>77</v>
      </c>
      <c r="R82" s="62">
        <v>0</v>
      </c>
      <c r="S82" s="62"/>
      <c r="T82" s="62"/>
      <c r="U82" s="62"/>
      <c r="W82" s="62">
        <v>77</v>
      </c>
      <c r="X82" s="62">
        <v>0</v>
      </c>
      <c r="Y82" s="62"/>
      <c r="Z82" s="62"/>
      <c r="AA82" s="62"/>
    </row>
    <row r="83" spans="1:27">
      <c r="A83" s="62">
        <v>78</v>
      </c>
      <c r="B83" s="473">
        <v>306.504250285149</v>
      </c>
      <c r="C83" s="473">
        <v>280.231392619134</v>
      </c>
      <c r="D83" s="473">
        <v>331.23156809520799</v>
      </c>
      <c r="E83" s="62">
        <v>312.30050551605302</v>
      </c>
      <c r="G83" s="62">
        <v>78</v>
      </c>
      <c r="H83" s="473">
        <v>280.969426991494</v>
      </c>
      <c r="I83" s="473">
        <v>254.69662273124001</v>
      </c>
      <c r="J83" s="473">
        <v>305.69679057792001</v>
      </c>
      <c r="K83" s="62">
        <v>286.31468558258098</v>
      </c>
      <c r="M83" s="62">
        <v>78</v>
      </c>
      <c r="N83" s="62">
        <v>411.57255646150799</v>
      </c>
      <c r="O83" s="433"/>
      <c r="Q83" s="62">
        <v>78</v>
      </c>
      <c r="R83" s="62">
        <v>0</v>
      </c>
      <c r="S83" s="62"/>
      <c r="T83" s="62"/>
      <c r="U83" s="62"/>
      <c r="W83" s="62">
        <v>78</v>
      </c>
      <c r="X83" s="62">
        <v>0</v>
      </c>
      <c r="Y83" s="62"/>
      <c r="Z83" s="62"/>
      <c r="AA83" s="62"/>
    </row>
    <row r="84" spans="1:27">
      <c r="A84" s="62">
        <v>79</v>
      </c>
      <c r="B84" s="473">
        <v>315.47777223217003</v>
      </c>
      <c r="C84" s="473">
        <v>289.29161119090998</v>
      </c>
      <c r="D84" s="473">
        <v>340.12348603832203</v>
      </c>
      <c r="E84" s="62">
        <v>321.25178289043401</v>
      </c>
      <c r="G84" s="62">
        <v>79</v>
      </c>
      <c r="H84" s="473">
        <v>289.69708860050599</v>
      </c>
      <c r="I84" s="473">
        <v>263.510980965008</v>
      </c>
      <c r="J84" s="473">
        <v>314.34284818302501</v>
      </c>
      <c r="K84" s="62">
        <v>295.01852036056499</v>
      </c>
      <c r="M84" s="62">
        <v>79</v>
      </c>
      <c r="N84" s="62">
        <v>413.21859675705798</v>
      </c>
      <c r="O84" s="433"/>
      <c r="Q84" s="62">
        <v>79</v>
      </c>
      <c r="R84" s="62">
        <v>0</v>
      </c>
      <c r="S84" s="62"/>
      <c r="T84" s="62"/>
      <c r="U84" s="62"/>
      <c r="W84" s="62">
        <v>79</v>
      </c>
      <c r="X84" s="62">
        <v>0</v>
      </c>
      <c r="Y84" s="62"/>
      <c r="Z84" s="62"/>
      <c r="AA84" s="62"/>
    </row>
    <row r="85" spans="1:27">
      <c r="A85" s="62">
        <v>80</v>
      </c>
      <c r="B85" s="473">
        <v>324.34191167448103</v>
      </c>
      <c r="C85" s="473">
        <v>298.24216497037901</v>
      </c>
      <c r="D85" s="473">
        <v>348.90629613493002</v>
      </c>
      <c r="E85" s="62">
        <v>330.09390556905799</v>
      </c>
      <c r="G85" s="62">
        <v>80</v>
      </c>
      <c r="H85" s="473">
        <v>298.797880290416</v>
      </c>
      <c r="I85" s="473">
        <v>272.69819462147098</v>
      </c>
      <c r="J85" s="473">
        <v>323.36231052723201</v>
      </c>
      <c r="K85" s="62">
        <v>304.095770228672</v>
      </c>
      <c r="M85" s="62">
        <v>80</v>
      </c>
      <c r="N85" s="62">
        <v>414.83925428241298</v>
      </c>
      <c r="O85" s="433"/>
      <c r="Q85" s="62">
        <v>80</v>
      </c>
      <c r="R85" s="62">
        <v>0</v>
      </c>
      <c r="S85" s="62"/>
      <c r="T85" s="62"/>
      <c r="U85" s="62"/>
      <c r="W85" s="62">
        <v>80</v>
      </c>
      <c r="X85" s="62">
        <v>0</v>
      </c>
      <c r="Y85" s="62"/>
      <c r="Z85" s="62"/>
      <c r="AA85" s="62"/>
    </row>
    <row r="86" spans="1:27">
      <c r="A86" s="62">
        <v>81</v>
      </c>
      <c r="B86" s="473">
        <v>333.22720574809603</v>
      </c>
      <c r="C86" s="473">
        <v>307.21358727885797</v>
      </c>
      <c r="D86" s="473">
        <v>357.71052789164997</v>
      </c>
      <c r="E86" s="62">
        <v>338.95739244891701</v>
      </c>
      <c r="G86" s="62">
        <v>81</v>
      </c>
      <c r="H86" s="473">
        <v>307.99582171203298</v>
      </c>
      <c r="I86" s="473">
        <v>281.98226046325402</v>
      </c>
      <c r="J86" s="473">
        <v>332.47918963195502</v>
      </c>
      <c r="K86" s="62">
        <v>313.27037893858</v>
      </c>
      <c r="M86" s="62">
        <v>81</v>
      </c>
      <c r="N86" s="62">
        <v>416.17035078257101</v>
      </c>
      <c r="O86" s="433"/>
      <c r="Q86" s="62">
        <v>81</v>
      </c>
      <c r="R86" s="62">
        <v>0</v>
      </c>
      <c r="S86" s="62"/>
      <c r="T86" s="62"/>
      <c r="U86" s="62"/>
      <c r="W86" s="62">
        <v>81</v>
      </c>
      <c r="X86" s="62">
        <v>0</v>
      </c>
      <c r="Y86" s="62"/>
      <c r="Z86" s="62"/>
      <c r="AA86" s="62"/>
    </row>
    <row r="87" spans="1:27">
      <c r="A87" s="62">
        <v>82</v>
      </c>
      <c r="B87" s="473">
        <v>342.132111914137</v>
      </c>
      <c r="C87" s="473">
        <v>316.20434320686201</v>
      </c>
      <c r="D87" s="473">
        <v>366.53463876960598</v>
      </c>
      <c r="E87" s="62">
        <v>347.84067357299699</v>
      </c>
      <c r="G87" s="62">
        <v>82</v>
      </c>
      <c r="H87" s="473">
        <v>317.27934204608499</v>
      </c>
      <c r="I87" s="473">
        <v>291.351622929874</v>
      </c>
      <c r="J87" s="473">
        <v>341.68191467792099</v>
      </c>
      <c r="K87" s="62">
        <v>322.53076434029799</v>
      </c>
      <c r="M87" s="62">
        <v>82</v>
      </c>
      <c r="N87" s="62">
        <v>417.47537075728002</v>
      </c>
      <c r="O87" s="433"/>
      <c r="Q87" s="62">
        <v>82</v>
      </c>
      <c r="R87" s="62">
        <v>0</v>
      </c>
      <c r="S87" s="62"/>
      <c r="T87" s="62"/>
      <c r="U87" s="62"/>
      <c r="W87" s="62">
        <v>82</v>
      </c>
      <c r="X87" s="62">
        <v>0</v>
      </c>
      <c r="Y87" s="62"/>
      <c r="Z87" s="62"/>
      <c r="AA87" s="62"/>
    </row>
    <row r="88" spans="1:27">
      <c r="A88" s="62">
        <v>83</v>
      </c>
      <c r="B88" s="473">
        <v>351.05519401101299</v>
      </c>
      <c r="C88" s="473">
        <v>325.212992778103</v>
      </c>
      <c r="D88" s="473">
        <v>375.37719260720399</v>
      </c>
      <c r="E88" s="62">
        <v>356.742300381939</v>
      </c>
      <c r="G88" s="62">
        <v>83</v>
      </c>
      <c r="H88" s="473">
        <v>326.638528825344</v>
      </c>
      <c r="I88" s="473">
        <v>300.79637718349898</v>
      </c>
      <c r="J88" s="473">
        <v>350.96057319790299</v>
      </c>
      <c r="K88" s="62">
        <v>331.86698341229697</v>
      </c>
      <c r="M88" s="62">
        <v>83</v>
      </c>
      <c r="N88" s="62">
        <v>418.75668617337698</v>
      </c>
      <c r="O88" s="433"/>
      <c r="Q88" s="62">
        <v>83</v>
      </c>
      <c r="R88" s="62">
        <v>0</v>
      </c>
      <c r="S88" s="62"/>
      <c r="T88" s="62"/>
      <c r="U88" s="62"/>
      <c r="W88" s="62">
        <v>83</v>
      </c>
      <c r="X88" s="62">
        <v>0</v>
      </c>
      <c r="Y88" s="62"/>
      <c r="Z88" s="62"/>
      <c r="AA88" s="62"/>
    </row>
    <row r="89" spans="1:27">
      <c r="A89" s="62">
        <v>84</v>
      </c>
      <c r="B89" s="473">
        <v>359.99509713337602</v>
      </c>
      <c r="C89" s="473">
        <v>334.23817727253697</v>
      </c>
      <c r="D89" s="473">
        <v>384.23683449909902</v>
      </c>
      <c r="E89" s="62">
        <v>365.66090962574702</v>
      </c>
      <c r="G89" s="62">
        <v>84</v>
      </c>
      <c r="H89" s="473">
        <v>336.06489561722901</v>
      </c>
      <c r="I89" s="473">
        <v>310.308029162151</v>
      </c>
      <c r="J89" s="473">
        <v>360.30667875931903</v>
      </c>
      <c r="K89" s="62">
        <v>341.27053761669703</v>
      </c>
      <c r="M89" s="62">
        <v>84</v>
      </c>
      <c r="N89" s="62">
        <v>420.01622407883201</v>
      </c>
      <c r="O89" s="433"/>
      <c r="Q89" s="62">
        <v>84</v>
      </c>
      <c r="R89" s="62">
        <v>0</v>
      </c>
      <c r="S89" s="62"/>
      <c r="T89" s="62"/>
      <c r="U89" s="62"/>
      <c r="W89" s="62">
        <v>84</v>
      </c>
      <c r="X89" s="62">
        <v>0</v>
      </c>
      <c r="Y89" s="62"/>
      <c r="Z89" s="62"/>
      <c r="AA89" s="62"/>
    </row>
    <row r="90" spans="1:27">
      <c r="A90" s="62">
        <v>85</v>
      </c>
      <c r="B90" s="473">
        <v>368.37671450800599</v>
      </c>
      <c r="C90" s="473">
        <v>342.70479373163897</v>
      </c>
      <c r="D90" s="473">
        <v>392.53845004267401</v>
      </c>
      <c r="E90" s="62">
        <v>374.02136782831798</v>
      </c>
      <c r="G90" s="62">
        <v>85</v>
      </c>
      <c r="H90" s="473">
        <v>345.17282878477602</v>
      </c>
      <c r="I90" s="473">
        <v>319.50096904356599</v>
      </c>
      <c r="J90" s="473">
        <v>369.33461009581202</v>
      </c>
      <c r="K90" s="62">
        <v>350.35580742648602</v>
      </c>
      <c r="M90" s="62">
        <v>85</v>
      </c>
      <c r="N90" s="62">
        <v>421.25555797666101</v>
      </c>
      <c r="O90" s="433"/>
      <c r="Q90" s="62">
        <v>85</v>
      </c>
      <c r="R90" s="62">
        <v>0</v>
      </c>
      <c r="S90" s="62"/>
      <c r="T90" s="62"/>
      <c r="U90" s="62"/>
      <c r="W90" s="62">
        <v>85</v>
      </c>
      <c r="X90" s="62">
        <v>0</v>
      </c>
      <c r="Y90" s="62"/>
      <c r="Z90" s="62"/>
      <c r="AA90" s="62"/>
    </row>
    <row r="91" spans="1:27">
      <c r="A91" s="62">
        <v>86</v>
      </c>
      <c r="B91" s="473">
        <v>376.76770303562603</v>
      </c>
      <c r="C91" s="473">
        <v>351.18051050022598</v>
      </c>
      <c r="D91" s="473">
        <v>400.849711397443</v>
      </c>
      <c r="E91" s="62">
        <v>382.39135048702701</v>
      </c>
      <c r="G91" s="62">
        <v>86</v>
      </c>
      <c r="H91" s="473">
        <v>354.33146345994902</v>
      </c>
      <c r="I91" s="473">
        <v>328.74432433031001</v>
      </c>
      <c r="J91" s="473">
        <v>378.41350996873803</v>
      </c>
      <c r="K91" s="62">
        <v>359.49191477660798</v>
      </c>
      <c r="M91" s="62">
        <v>86</v>
      </c>
      <c r="N91" s="62">
        <v>422.47600670903699</v>
      </c>
      <c r="O91" s="433"/>
      <c r="Q91" s="62">
        <v>86</v>
      </c>
      <c r="R91" s="62">
        <v>0</v>
      </c>
      <c r="S91" s="62"/>
      <c r="T91" s="62"/>
      <c r="U91" s="62"/>
      <c r="W91" s="62">
        <v>86</v>
      </c>
      <c r="X91" s="62">
        <v>0</v>
      </c>
      <c r="Y91" s="62"/>
      <c r="Z91" s="62"/>
      <c r="AA91" s="62"/>
    </row>
    <row r="92" spans="1:27">
      <c r="A92" s="62">
        <v>87</v>
      </c>
      <c r="B92" s="473">
        <v>385.16824319264202</v>
      </c>
      <c r="C92" s="473">
        <v>359.66548898121698</v>
      </c>
      <c r="D92" s="473">
        <v>409.17078378102099</v>
      </c>
      <c r="E92" s="62">
        <v>390.77099599739898</v>
      </c>
      <c r="G92" s="62">
        <v>87</v>
      </c>
      <c r="H92" s="473">
        <v>363.53590963968998</v>
      </c>
      <c r="I92" s="473">
        <v>338.03320501932802</v>
      </c>
      <c r="J92" s="473">
        <v>387.53848837504103</v>
      </c>
      <c r="K92" s="62">
        <v>368.67393863770502</v>
      </c>
      <c r="M92" s="62">
        <v>87</v>
      </c>
      <c r="N92" s="62">
        <v>423.67866870015598</v>
      </c>
      <c r="O92" s="433"/>
      <c r="Q92" s="62">
        <v>87</v>
      </c>
      <c r="R92" s="62">
        <v>0</v>
      </c>
      <c r="S92" s="62"/>
      <c r="T92" s="62"/>
      <c r="U92" s="62"/>
      <c r="W92" s="62">
        <v>87</v>
      </c>
      <c r="X92" s="62">
        <v>0</v>
      </c>
      <c r="Y92" s="62"/>
      <c r="Z92" s="62"/>
      <c r="AA92" s="62"/>
    </row>
    <row r="93" spans="1:27">
      <c r="A93" s="62">
        <v>88</v>
      </c>
      <c r="B93" s="473">
        <v>393.57821152367399</v>
      </c>
      <c r="C93" s="473">
        <v>368.15961334862499</v>
      </c>
      <c r="D93" s="473">
        <v>417.501543738029</v>
      </c>
      <c r="E93" s="62">
        <v>399.160190679214</v>
      </c>
      <c r="G93" s="62">
        <v>88</v>
      </c>
      <c r="H93" s="473">
        <v>372.78165763062702</v>
      </c>
      <c r="I93" s="473">
        <v>347.36311667603701</v>
      </c>
      <c r="J93" s="473">
        <v>396.70502799195498</v>
      </c>
      <c r="K93" s="62">
        <v>377.89740213954099</v>
      </c>
      <c r="M93" s="62">
        <v>88</v>
      </c>
      <c r="N93" s="62">
        <v>424.86449863761499</v>
      </c>
      <c r="O93" s="433"/>
      <c r="Q93" s="62">
        <v>88</v>
      </c>
      <c r="R93" s="62">
        <v>0</v>
      </c>
      <c r="S93" s="62"/>
      <c r="T93" s="62"/>
      <c r="U93" s="62"/>
      <c r="W93" s="62">
        <v>88</v>
      </c>
      <c r="X93" s="62">
        <v>0</v>
      </c>
      <c r="Y93" s="62"/>
      <c r="Z93" s="62"/>
      <c r="AA93" s="62"/>
    </row>
    <row r="94" spans="1:27">
      <c r="A94" s="62">
        <v>89</v>
      </c>
      <c r="B94" s="473">
        <v>401.997511177452</v>
      </c>
      <c r="C94" s="473">
        <v>376.662794380577</v>
      </c>
      <c r="D94" s="473">
        <v>425.84189441719798</v>
      </c>
      <c r="E94" s="62">
        <v>407.55883863487998</v>
      </c>
      <c r="G94" s="62">
        <v>89</v>
      </c>
      <c r="H94" s="473">
        <v>382.06485103077301</v>
      </c>
      <c r="I94" s="473">
        <v>356.73019908375198</v>
      </c>
      <c r="J94" s="473">
        <v>405.90928004688698</v>
      </c>
      <c r="K94" s="62">
        <v>387.15844738641101</v>
      </c>
      <c r="M94" s="62">
        <v>89</v>
      </c>
      <c r="N94" s="62">
        <v>426.03429388254699</v>
      </c>
      <c r="O94" s="433"/>
      <c r="Q94" s="62">
        <v>89</v>
      </c>
      <c r="R94" s="62">
        <v>0</v>
      </c>
      <c r="S94" s="62"/>
      <c r="T94" s="62"/>
      <c r="U94" s="62"/>
      <c r="W94" s="62">
        <v>89</v>
      </c>
      <c r="X94" s="62">
        <v>0</v>
      </c>
      <c r="Y94" s="62"/>
      <c r="Z94" s="62"/>
      <c r="AA94" s="62"/>
    </row>
    <row r="95" spans="1:27">
      <c r="A95" s="62">
        <v>90</v>
      </c>
      <c r="B95" s="473">
        <v>409.74526671831302</v>
      </c>
      <c r="C95" s="473">
        <v>384.49415664140798</v>
      </c>
      <c r="D95" s="473">
        <v>433.51096801225799</v>
      </c>
      <c r="E95" s="62">
        <v>415.28605906431301</v>
      </c>
      <c r="G95" s="62">
        <v>90</v>
      </c>
      <c r="H95" s="473">
        <v>390.65048562959902</v>
      </c>
      <c r="I95" s="473">
        <v>365.39944040254801</v>
      </c>
      <c r="J95" s="473">
        <v>414.41623269991101</v>
      </c>
      <c r="K95" s="62">
        <v>395.722028153785</v>
      </c>
      <c r="M95" s="62">
        <v>90</v>
      </c>
      <c r="N95" s="62">
        <v>427.18876626342302</v>
      </c>
      <c r="O95" s="433"/>
      <c r="Q95" s="62">
        <v>90</v>
      </c>
      <c r="R95" s="62">
        <v>0</v>
      </c>
      <c r="S95" s="62"/>
      <c r="T95" s="62"/>
      <c r="U95" s="62"/>
      <c r="W95" s="62">
        <v>90</v>
      </c>
      <c r="X95" s="62">
        <v>0</v>
      </c>
      <c r="Y95" s="62"/>
      <c r="Z95" s="62"/>
      <c r="AA95" s="62"/>
    </row>
    <row r="96" spans="1:27">
      <c r="A96" s="62">
        <v>91</v>
      </c>
      <c r="B96" s="473">
        <v>417.493851531529</v>
      </c>
      <c r="C96" s="473">
        <v>392.32606970169502</v>
      </c>
      <c r="D96" s="473">
        <v>441.18113027908799</v>
      </c>
      <c r="E96" s="62">
        <v>423.01422153809102</v>
      </c>
      <c r="G96" s="62">
        <v>91</v>
      </c>
      <c r="H96" s="473">
        <v>399.25938356287099</v>
      </c>
      <c r="I96" s="473">
        <v>374.09167039758802</v>
      </c>
      <c r="J96" s="473">
        <v>422.946708086797</v>
      </c>
      <c r="K96" s="62">
        <v>404.30901457766203</v>
      </c>
      <c r="M96" s="62">
        <v>91</v>
      </c>
      <c r="N96" s="62">
        <v>428.32852198928401</v>
      </c>
      <c r="O96" s="433"/>
      <c r="Q96" s="62">
        <v>91</v>
      </c>
      <c r="R96" s="62">
        <v>0</v>
      </c>
      <c r="S96" s="62"/>
      <c r="T96" s="62"/>
      <c r="U96" s="62"/>
      <c r="W96" s="62">
        <v>91</v>
      </c>
      <c r="X96" s="62">
        <v>0</v>
      </c>
      <c r="Y96" s="62"/>
      <c r="Z96" s="62"/>
      <c r="AA96" s="62"/>
    </row>
    <row r="97" spans="1:27">
      <c r="A97" s="62">
        <v>92</v>
      </c>
      <c r="B97" s="473">
        <v>425.24464083649599</v>
      </c>
      <c r="C97" s="473">
        <v>400.15991259552902</v>
      </c>
      <c r="D97" s="473">
        <v>448.853748807687</v>
      </c>
      <c r="E97" s="62">
        <v>430.74468947388601</v>
      </c>
      <c r="G97" s="62">
        <v>92</v>
      </c>
      <c r="H97" s="473">
        <v>407.89064525379803</v>
      </c>
      <c r="I97" s="473">
        <v>382.80598186268497</v>
      </c>
      <c r="J97" s="473">
        <v>431.49979900135702</v>
      </c>
      <c r="K97" s="62">
        <v>412.918445227044</v>
      </c>
      <c r="M97" s="62">
        <v>92</v>
      </c>
      <c r="N97" s="62">
        <v>429.45409648865302</v>
      </c>
      <c r="O97" s="433"/>
      <c r="Q97" s="62">
        <v>92</v>
      </c>
      <c r="R97" s="62">
        <v>0</v>
      </c>
      <c r="S97" s="62"/>
      <c r="T97" s="62"/>
      <c r="U97" s="62"/>
      <c r="W97" s="62">
        <v>92</v>
      </c>
      <c r="X97" s="62">
        <v>0</v>
      </c>
      <c r="Y97" s="62"/>
      <c r="Z97" s="62"/>
      <c r="AA97" s="62"/>
    </row>
    <row r="98" spans="1:27">
      <c r="A98" s="62">
        <v>93</v>
      </c>
      <c r="B98" s="473">
        <v>432.99858928296902</v>
      </c>
      <c r="C98" s="473">
        <v>407.99663615796902</v>
      </c>
      <c r="D98" s="473">
        <v>456.52978587720702</v>
      </c>
      <c r="E98" s="62">
        <v>438.47843111131499</v>
      </c>
      <c r="G98" s="62">
        <v>93</v>
      </c>
      <c r="H98" s="473">
        <v>416.54306543763403</v>
      </c>
      <c r="I98" s="473">
        <v>391.54118097718498</v>
      </c>
      <c r="J98" s="473">
        <v>440.07430780824001</v>
      </c>
      <c r="K98" s="62">
        <v>421.54917731827601</v>
      </c>
      <c r="M98" s="62">
        <v>93</v>
      </c>
      <c r="N98" s="62">
        <v>430.56599637120797</v>
      </c>
      <c r="O98" s="433"/>
      <c r="Q98" s="62">
        <v>93</v>
      </c>
      <c r="R98" s="62">
        <v>0</v>
      </c>
      <c r="S98" s="62"/>
      <c r="T98" s="62"/>
      <c r="U98" s="62"/>
      <c r="W98" s="62">
        <v>93</v>
      </c>
      <c r="X98" s="62">
        <v>0</v>
      </c>
      <c r="Y98" s="62"/>
      <c r="Z98" s="62"/>
      <c r="AA98" s="62"/>
    </row>
    <row r="99" spans="1:27">
      <c r="A99" s="62">
        <v>94</v>
      </c>
      <c r="B99" s="473">
        <v>440.75636824275301</v>
      </c>
      <c r="C99" s="473">
        <v>415.83691939021401</v>
      </c>
      <c r="D99" s="473">
        <v>464.209912859452</v>
      </c>
      <c r="E99" s="62">
        <v>446.21611424590401</v>
      </c>
      <c r="G99" s="62">
        <v>94</v>
      </c>
      <c r="H99" s="473">
        <v>425.21541911930501</v>
      </c>
      <c r="I99" s="473">
        <v>400.296042746014</v>
      </c>
      <c r="J99" s="473">
        <v>448.66900951237102</v>
      </c>
      <c r="K99" s="62">
        <v>430.199931363725</v>
      </c>
      <c r="M99" s="62">
        <v>94</v>
      </c>
      <c r="N99" s="62">
        <v>431.664639793334</v>
      </c>
      <c r="O99" s="433"/>
      <c r="Q99" s="62">
        <v>94</v>
      </c>
      <c r="R99" s="62">
        <v>0</v>
      </c>
      <c r="S99" s="62"/>
      <c r="T99" s="62"/>
      <c r="U99" s="62"/>
      <c r="W99" s="62">
        <v>94</v>
      </c>
      <c r="X99" s="62">
        <v>0</v>
      </c>
      <c r="Y99" s="62"/>
      <c r="Z99" s="62"/>
      <c r="AA99" s="62"/>
    </row>
    <row r="100" spans="1:27">
      <c r="A100" s="62">
        <v>95</v>
      </c>
      <c r="B100" s="473">
        <v>447.97466484822002</v>
      </c>
      <c r="C100" s="473">
        <v>423.13745323933398</v>
      </c>
      <c r="D100" s="473">
        <v>471.35080925739999</v>
      </c>
      <c r="E100" s="62">
        <v>453.41440741337499</v>
      </c>
      <c r="G100" s="62">
        <v>95</v>
      </c>
      <c r="H100" s="473">
        <v>433.13425750752901</v>
      </c>
      <c r="I100" s="473">
        <v>408.29711456319302</v>
      </c>
      <c r="J100" s="473">
        <v>456.51045532247099</v>
      </c>
      <c r="K100" s="62">
        <v>438.09729036680898</v>
      </c>
      <c r="M100" s="62">
        <v>95</v>
      </c>
      <c r="N100" s="62">
        <v>432.75043293088498</v>
      </c>
      <c r="O100" s="433"/>
      <c r="Q100" s="62">
        <v>95</v>
      </c>
      <c r="R100" s="62">
        <v>0</v>
      </c>
      <c r="S100" s="62"/>
      <c r="T100" s="62"/>
      <c r="U100" s="62"/>
      <c r="W100" s="62">
        <v>95</v>
      </c>
      <c r="X100" s="62">
        <v>0</v>
      </c>
      <c r="Y100" s="62"/>
      <c r="Z100" s="62"/>
      <c r="AA100" s="62"/>
    </row>
    <row r="101" spans="1:27">
      <c r="A101" s="62">
        <v>96</v>
      </c>
      <c r="B101" s="473">
        <v>455.19029831293602</v>
      </c>
      <c r="C101" s="473">
        <v>430.43504928949898</v>
      </c>
      <c r="D101" s="473">
        <v>478.48930191401001</v>
      </c>
      <c r="E101" s="62">
        <v>460.61015056971098</v>
      </c>
      <c r="G101" s="62">
        <v>96</v>
      </c>
      <c r="H101" s="473">
        <v>441.06103970092499</v>
      </c>
      <c r="I101" s="473">
        <v>416.30586315673497</v>
      </c>
      <c r="J101" s="473">
        <v>464.36009670776099</v>
      </c>
      <c r="K101" s="62">
        <v>446.002711218169</v>
      </c>
      <c r="M101" s="62">
        <v>96</v>
      </c>
      <c r="N101" s="62">
        <v>433.82374074309899</v>
      </c>
      <c r="O101" s="433"/>
      <c r="Q101" s="62">
        <v>96</v>
      </c>
      <c r="R101" s="62">
        <v>0</v>
      </c>
      <c r="S101" s="62"/>
      <c r="T101" s="62"/>
      <c r="U101" s="62"/>
      <c r="W101" s="62">
        <v>96</v>
      </c>
      <c r="X101" s="62">
        <v>0</v>
      </c>
      <c r="Y101" s="62"/>
      <c r="Z101" s="62"/>
      <c r="AA101" s="62"/>
    </row>
    <row r="102" spans="1:27">
      <c r="A102" s="62">
        <v>97</v>
      </c>
      <c r="B102" s="473">
        <v>462.404939838308</v>
      </c>
      <c r="C102" s="473">
        <v>437.73138255681403</v>
      </c>
      <c r="D102" s="473">
        <v>485.62705440129599</v>
      </c>
      <c r="E102" s="62">
        <v>467.80499167050698</v>
      </c>
      <c r="G102" s="62">
        <v>97</v>
      </c>
      <c r="H102" s="473">
        <v>448.996743290018</v>
      </c>
      <c r="I102" s="473">
        <v>424.32326611716599</v>
      </c>
      <c r="J102" s="473">
        <v>472.218911258768</v>
      </c>
      <c r="K102" s="62">
        <v>453.91715490054003</v>
      </c>
      <c r="M102" s="62">
        <v>97</v>
      </c>
      <c r="N102" s="62">
        <v>434.88488116115099</v>
      </c>
      <c r="O102" s="433"/>
      <c r="Q102" s="62">
        <v>97</v>
      </c>
      <c r="R102" s="62">
        <v>0</v>
      </c>
      <c r="S102" s="62"/>
      <c r="T102" s="62"/>
      <c r="U102" s="62"/>
      <c r="W102" s="62">
        <v>97</v>
      </c>
      <c r="X102" s="62">
        <v>0</v>
      </c>
      <c r="Y102" s="62"/>
      <c r="Z102" s="62"/>
      <c r="AA102" s="62"/>
    </row>
    <row r="103" spans="1:27">
      <c r="A103" s="62">
        <v>98</v>
      </c>
      <c r="B103" s="473">
        <v>469.619840853673</v>
      </c>
      <c r="C103" s="473">
        <v>445.02771210000998</v>
      </c>
      <c r="D103" s="473">
        <v>492.76532577798901</v>
      </c>
      <c r="E103" s="62">
        <v>475.00019645021501</v>
      </c>
      <c r="G103" s="62">
        <v>98</v>
      </c>
      <c r="H103" s="473">
        <v>456.94195197628</v>
      </c>
      <c r="I103" s="473">
        <v>432.34989188716901</v>
      </c>
      <c r="J103" s="473">
        <v>480.08748267696399</v>
      </c>
      <c r="K103" s="62">
        <v>461.84120439255798</v>
      </c>
      <c r="M103" s="62">
        <v>98</v>
      </c>
      <c r="N103" s="62">
        <v>435.93417876213601</v>
      </c>
      <c r="O103" s="433"/>
      <c r="Q103" s="62">
        <v>98</v>
      </c>
      <c r="R103" s="62">
        <v>0</v>
      </c>
      <c r="S103" s="62"/>
      <c r="T103" s="62"/>
      <c r="U103" s="62"/>
      <c r="W103" s="62">
        <v>98</v>
      </c>
      <c r="X103" s="62">
        <v>0</v>
      </c>
      <c r="Y103" s="62"/>
      <c r="Z103" s="62"/>
      <c r="AA103" s="62"/>
    </row>
    <row r="104" spans="1:27">
      <c r="A104" s="62">
        <v>99</v>
      </c>
      <c r="B104" s="473">
        <v>476.83606074362802</v>
      </c>
      <c r="C104" s="473">
        <v>452.32508204489699</v>
      </c>
      <c r="D104" s="473">
        <v>499.90516779929197</v>
      </c>
      <c r="E104" s="62">
        <v>482.19680426627201</v>
      </c>
      <c r="G104" s="62">
        <v>99</v>
      </c>
      <c r="H104" s="473">
        <v>464.89690800886501</v>
      </c>
      <c r="I104" s="473">
        <v>440.38599797468498</v>
      </c>
      <c r="J104" s="473">
        <v>487.96605321150201</v>
      </c>
      <c r="K104" s="62">
        <v>469.77510687953799</v>
      </c>
      <c r="M104" s="62">
        <v>99</v>
      </c>
      <c r="N104" s="62">
        <v>436.97192110866098</v>
      </c>
      <c r="O104" s="433"/>
      <c r="Q104" s="62">
        <v>99</v>
      </c>
      <c r="R104" s="62">
        <v>0</v>
      </c>
      <c r="S104" s="62"/>
      <c r="T104" s="62"/>
      <c r="U104" s="62"/>
      <c r="W104" s="62">
        <v>99</v>
      </c>
      <c r="X104" s="62">
        <v>0</v>
      </c>
      <c r="Y104" s="62"/>
      <c r="Z104" s="62"/>
      <c r="AA104" s="62"/>
    </row>
    <row r="105" spans="1:27">
      <c r="A105" s="62">
        <v>100</v>
      </c>
      <c r="B105" s="473">
        <v>298.04702553313899</v>
      </c>
      <c r="C105" s="473">
        <v>273.61693748992701</v>
      </c>
      <c r="D105" s="473">
        <v>321.04000649017098</v>
      </c>
      <c r="E105" s="62">
        <v>303.433564018384</v>
      </c>
      <c r="G105" s="62">
        <v>100</v>
      </c>
      <c r="H105" s="473">
        <v>282.89800596476402</v>
      </c>
      <c r="I105" s="473">
        <v>258.46798658610197</v>
      </c>
      <c r="J105" s="473">
        <v>305.89102506876799</v>
      </c>
      <c r="K105" s="62">
        <v>288.17850423709802</v>
      </c>
      <c r="M105" s="62">
        <v>100</v>
      </c>
      <c r="N105" s="62">
        <v>437.99837585538398</v>
      </c>
      <c r="O105" s="433"/>
      <c r="Q105" s="62">
        <v>100</v>
      </c>
      <c r="R105" s="62">
        <v>158.79257200000001</v>
      </c>
      <c r="S105" s="62"/>
      <c r="T105" s="62"/>
      <c r="U105" s="62"/>
      <c r="W105" s="62">
        <v>100</v>
      </c>
      <c r="X105" s="62">
        <v>163.00079349999999</v>
      </c>
      <c r="Y105" s="62"/>
      <c r="Z105" s="62"/>
      <c r="AA105" s="62"/>
    </row>
    <row r="106" spans="1:27">
      <c r="Q106" s="1" t="s">
        <v>116</v>
      </c>
      <c r="W106" s="62"/>
      <c r="X106" s="62"/>
      <c r="Y106" s="62"/>
      <c r="Z106" s="62"/>
      <c r="AA106" s="62"/>
    </row>
    <row r="107" spans="1:27" ht="29">
      <c r="A107" s="63" t="s">
        <v>99</v>
      </c>
      <c r="B107">
        <f>B105-B5</f>
        <v>224.04702553313899</v>
      </c>
      <c r="C107">
        <f>C105-C5</f>
        <v>233.61693748992701</v>
      </c>
      <c r="D107">
        <f>D105-D5</f>
        <v>215.04000649017098</v>
      </c>
      <c r="E107" s="76">
        <f>E105-E5</f>
        <v>222.433564018384</v>
      </c>
      <c r="F107" t="s">
        <v>100</v>
      </c>
      <c r="G107" s="63" t="s">
        <v>99</v>
      </c>
      <c r="H107">
        <f>H105-H5</f>
        <v>208.89800596476402</v>
      </c>
      <c r="I107">
        <f>I105-I5</f>
        <v>218.46798658610197</v>
      </c>
      <c r="J107">
        <f>J105-J5</f>
        <v>199.89102506876799</v>
      </c>
      <c r="K107" s="476">
        <f>(K105-K5)*Z120</f>
        <v>3207174.2014376707</v>
      </c>
      <c r="L107" t="s">
        <v>100</v>
      </c>
      <c r="M107" s="63" t="s">
        <v>99</v>
      </c>
      <c r="N107" s="430">
        <f>N105-N5</f>
        <v>356.99837585538398</v>
      </c>
      <c r="O107" s="273" t="s">
        <v>100</v>
      </c>
      <c r="Q107" s="42" t="s">
        <v>767</v>
      </c>
      <c r="R107" s="69">
        <v>0.4995</v>
      </c>
      <c r="W107" s="5"/>
      <c r="X107" s="66"/>
    </row>
    <row r="108" spans="1:27" ht="29">
      <c r="A108" s="63" t="s">
        <v>101</v>
      </c>
      <c r="B108">
        <f>B107/100</f>
        <v>2.24047025533139</v>
      </c>
      <c r="C108">
        <f>C107/100</f>
        <v>2.3361693748992702</v>
      </c>
      <c r="D108">
        <f>D107/100</f>
        <v>2.1504000649017097</v>
      </c>
      <c r="E108">
        <f>E107/100</f>
        <v>2.2243356401838401</v>
      </c>
      <c r="F108" t="s">
        <v>102</v>
      </c>
      <c r="G108" s="63" t="s">
        <v>106</v>
      </c>
      <c r="H108">
        <f>H107/100</f>
        <v>2.0889800596476404</v>
      </c>
      <c r="I108">
        <f>I107/100</f>
        <v>2.1846798658610198</v>
      </c>
      <c r="J108">
        <f>J107/100</f>
        <v>1.9989102506876799</v>
      </c>
      <c r="K108">
        <f>K107/100</f>
        <v>32071.742014376709</v>
      </c>
      <c r="L108" t="s">
        <v>102</v>
      </c>
      <c r="Q108" s="419" t="s">
        <v>108</v>
      </c>
      <c r="R108" s="420">
        <v>0.47</v>
      </c>
      <c r="W108" s="5"/>
      <c r="X108" s="67"/>
    </row>
    <row r="109" spans="1:27" ht="29">
      <c r="A109" s="63" t="s">
        <v>99</v>
      </c>
      <c r="B109" s="5">
        <f>B107*44/12</f>
        <v>821.50576028817625</v>
      </c>
      <c r="C109" s="5">
        <f>C107*44/12</f>
        <v>856.59543746306565</v>
      </c>
      <c r="D109" s="5">
        <f>D107*44/12</f>
        <v>788.4800237972936</v>
      </c>
      <c r="E109" s="5">
        <f>E107*44/12</f>
        <v>815.58973473407468</v>
      </c>
      <c r="F109" s="63" t="s">
        <v>79</v>
      </c>
      <c r="G109" s="63" t="s">
        <v>99</v>
      </c>
      <c r="H109" s="5">
        <f>H107*44/12</f>
        <v>765.95935520413479</v>
      </c>
      <c r="I109" s="5">
        <f>I107*44/12</f>
        <v>801.04928414904055</v>
      </c>
      <c r="J109" s="5">
        <f>J107*44/12</f>
        <v>732.93375858548268</v>
      </c>
      <c r="K109" s="5">
        <f>K107*44/12</f>
        <v>11759638.738604793</v>
      </c>
      <c r="L109" s="63" t="s">
        <v>79</v>
      </c>
      <c r="M109" s="63"/>
      <c r="Q109" s="419" t="s">
        <v>762</v>
      </c>
      <c r="R109" s="421">
        <f>0.37</f>
        <v>0.37</v>
      </c>
      <c r="W109" s="5"/>
      <c r="X109" s="68"/>
    </row>
    <row r="110" spans="1:27" ht="29">
      <c r="A110" s="63"/>
      <c r="B110" s="5"/>
      <c r="C110" s="5"/>
      <c r="D110" s="5"/>
      <c r="E110" s="5"/>
      <c r="F110" s="63"/>
      <c r="G110" s="63"/>
      <c r="H110" s="5"/>
      <c r="I110" s="5"/>
      <c r="J110" s="5"/>
      <c r="K110" s="5"/>
      <c r="L110" s="63"/>
      <c r="M110" s="63"/>
      <c r="Q110" s="42" t="s">
        <v>765</v>
      </c>
      <c r="R110" s="418">
        <v>0.92</v>
      </c>
      <c r="W110" s="5"/>
      <c r="X110" s="68"/>
    </row>
    <row r="111" spans="1:27" ht="29">
      <c r="A111" s="63"/>
      <c r="B111" s="5"/>
      <c r="C111" s="5"/>
      <c r="D111" s="5"/>
      <c r="E111" s="5"/>
      <c r="F111" s="63"/>
      <c r="G111" s="63"/>
      <c r="H111" s="5"/>
      <c r="I111" s="5"/>
      <c r="J111" s="5"/>
      <c r="K111" s="5"/>
      <c r="L111" s="63"/>
      <c r="M111" s="63"/>
      <c r="Q111" s="419" t="s">
        <v>766</v>
      </c>
      <c r="R111" s="422">
        <f>R109*(1+R110)</f>
        <v>0.71039999999999992</v>
      </c>
      <c r="W111" s="5"/>
      <c r="X111" s="68"/>
    </row>
    <row r="112" spans="1:27">
      <c r="A112" s="63"/>
      <c r="B112" s="5"/>
      <c r="C112" s="5"/>
      <c r="D112" s="5"/>
      <c r="E112" s="5"/>
      <c r="F112" s="63"/>
      <c r="G112" s="63"/>
      <c r="H112" s="5"/>
      <c r="I112" s="5"/>
      <c r="J112" s="5"/>
      <c r="K112" s="5"/>
      <c r="L112" s="63"/>
      <c r="M112" s="63"/>
      <c r="R112" s="3"/>
      <c r="T112">
        <f>S114*(1+R110)</f>
        <v>597.31682863663661</v>
      </c>
      <c r="W112" s="5"/>
      <c r="X112" s="68"/>
    </row>
    <row r="113" spans="1:29" ht="39.5">
      <c r="Q113" s="10" t="s">
        <v>114</v>
      </c>
      <c r="R113" s="65" t="s">
        <v>100</v>
      </c>
      <c r="S113" s="65" t="s">
        <v>109</v>
      </c>
      <c r="T113" s="65" t="s">
        <v>110</v>
      </c>
      <c r="U113" s="65" t="s">
        <v>111</v>
      </c>
      <c r="W113" s="10" t="s">
        <v>115</v>
      </c>
      <c r="X113" s="65" t="s">
        <v>100</v>
      </c>
      <c r="Y113" s="65" t="s">
        <v>109</v>
      </c>
      <c r="Z113" s="65" t="s">
        <v>110</v>
      </c>
      <c r="AA113" s="65" t="s">
        <v>111</v>
      </c>
    </row>
    <row r="114" spans="1:29">
      <c r="Q114" s="12" t="s">
        <v>117</v>
      </c>
      <c r="R114">
        <f>R55</f>
        <v>155.39570620000001</v>
      </c>
      <c r="S114">
        <f>R114/$R$107</f>
        <v>311.10251491491493</v>
      </c>
      <c r="T114" s="76">
        <f>S114*(1+$R$110)</f>
        <v>597.31682863663661</v>
      </c>
      <c r="U114" s="5"/>
      <c r="W114" s="12" t="s">
        <v>119</v>
      </c>
      <c r="X114" s="477">
        <v>0</v>
      </c>
      <c r="Y114">
        <f>X114/$R$107</f>
        <v>0</v>
      </c>
      <c r="Z114" s="76">
        <f>Y114*(1+$R$110)</f>
        <v>0</v>
      </c>
      <c r="AA114">
        <f>Y114/material_flow!$B$43</f>
        <v>0</v>
      </c>
    </row>
    <row r="115" spans="1:29">
      <c r="Q115" s="12" t="s">
        <v>118</v>
      </c>
      <c r="R115">
        <f>R105</f>
        <v>158.79257200000001</v>
      </c>
      <c r="S115">
        <f>R115/$R$107</f>
        <v>317.90304704704704</v>
      </c>
      <c r="T115" s="76">
        <f>S115*(1+$R$110)</f>
        <v>610.37385033033024</v>
      </c>
      <c r="U115" s="5"/>
      <c r="W115" s="12" t="s">
        <v>120</v>
      </c>
      <c r="X115" s="5">
        <v>0</v>
      </c>
      <c r="Y115">
        <f t="shared" ref="Y115:Y117" si="0">X115/$R$107</f>
        <v>0</v>
      </c>
      <c r="Z115" s="76">
        <f t="shared" ref="Z115:Z117" si="1">Y115*(1+$R$110)</f>
        <v>0</v>
      </c>
    </row>
    <row r="116" spans="1:29">
      <c r="W116" s="12" t="s">
        <v>117</v>
      </c>
      <c r="X116" s="477">
        <f>X55*$Z$120</f>
        <v>2483973.3601049678</v>
      </c>
      <c r="Y116">
        <f t="shared" si="0"/>
        <v>4972919.6398497857</v>
      </c>
      <c r="Z116" s="76">
        <f t="shared" si="1"/>
        <v>9548005.7085115891</v>
      </c>
      <c r="AA116">
        <f>Y116/material_flow!$B$43</f>
        <v>13751782.64434983</v>
      </c>
      <c r="AB116">
        <f>(AA114+AA116)/1000</f>
        <v>13751.782644349831</v>
      </c>
      <c r="AC116" t="s">
        <v>966</v>
      </c>
    </row>
    <row r="117" spans="1:29">
      <c r="R117" s="564" t="s">
        <v>743</v>
      </c>
      <c r="S117" s="564"/>
      <c r="T117" s="564"/>
      <c r="U117" s="564"/>
      <c r="W117" s="12" t="s">
        <v>118</v>
      </c>
      <c r="X117" s="5">
        <v>0</v>
      </c>
      <c r="Y117">
        <f t="shared" si="0"/>
        <v>0</v>
      </c>
      <c r="Z117" s="76">
        <f t="shared" si="1"/>
        <v>0</v>
      </c>
    </row>
    <row r="118" spans="1:29">
      <c r="R118" s="1" t="s">
        <v>636</v>
      </c>
      <c r="S118" s="1" t="s">
        <v>637</v>
      </c>
      <c r="T118" s="1" t="s">
        <v>638</v>
      </c>
      <c r="U118" s="1" t="s">
        <v>639</v>
      </c>
      <c r="V118" s="1" t="s">
        <v>49</v>
      </c>
    </row>
    <row r="119" spans="1:29">
      <c r="Q119" s="1" t="s">
        <v>8</v>
      </c>
      <c r="R119" s="309">
        <v>0</v>
      </c>
      <c r="S119" s="309">
        <v>0</v>
      </c>
      <c r="T119" s="309">
        <f>T114</f>
        <v>597.31682863663661</v>
      </c>
      <c r="U119" s="309">
        <f>T115</f>
        <v>610.37385033033024</v>
      </c>
      <c r="V119" s="283">
        <f>SUM(R119:U119)</f>
        <v>1207.690678966967</v>
      </c>
      <c r="Z119">
        <v>10241000</v>
      </c>
      <c r="AA119" t="s">
        <v>965</v>
      </c>
    </row>
    <row r="120" spans="1:29">
      <c r="Q120" s="1" t="s">
        <v>13</v>
      </c>
      <c r="R120" s="309">
        <f>Z114</f>
        <v>0</v>
      </c>
      <c r="S120" s="309">
        <f>Z115</f>
        <v>0</v>
      </c>
      <c r="T120" s="309">
        <f>Z116</f>
        <v>9548005.7085115891</v>
      </c>
      <c r="U120" s="309">
        <f>Z117</f>
        <v>0</v>
      </c>
      <c r="V120" s="283">
        <f>SUM(R120:U120)</f>
        <v>9548005.7085115891</v>
      </c>
      <c r="Z120">
        <v>15480.2459514204</v>
      </c>
      <c r="AA120" t="s">
        <v>1115</v>
      </c>
    </row>
    <row r="121" spans="1:29" ht="15" thickBot="1">
      <c r="A121" s="408" t="s">
        <v>759</v>
      </c>
      <c r="Z121">
        <f>Z119/(Z116+Z114)</f>
        <v>1.072580003892398</v>
      </c>
      <c r="AA121" s="478" t="s">
        <v>967</v>
      </c>
    </row>
    <row r="122" spans="1:29" ht="16" thickBot="1">
      <c r="D122" s="579" t="s">
        <v>761</v>
      </c>
      <c r="E122" s="580"/>
      <c r="F122" s="580"/>
      <c r="G122" s="580"/>
      <c r="H122" s="580"/>
      <c r="I122" s="581" t="s">
        <v>758</v>
      </c>
      <c r="J122" s="582"/>
      <c r="K122" s="582"/>
      <c r="L122" s="583"/>
      <c r="M122" s="432"/>
      <c r="P122" s="584"/>
      <c r="Q122" s="584"/>
      <c r="R122" s="584"/>
      <c r="S122" s="584"/>
    </row>
    <row r="123" spans="1:29" ht="47" thickBot="1">
      <c r="A123" s="406" t="s">
        <v>748</v>
      </c>
      <c r="B123" s="406" t="s">
        <v>760</v>
      </c>
      <c r="C123" s="406" t="s">
        <v>749</v>
      </c>
      <c r="D123" s="406" t="s">
        <v>750</v>
      </c>
      <c r="E123" s="406" t="s">
        <v>751</v>
      </c>
      <c r="F123" s="406" t="s">
        <v>419</v>
      </c>
      <c r="G123" s="406" t="s">
        <v>752</v>
      </c>
      <c r="H123" s="407" t="s">
        <v>753</v>
      </c>
      <c r="I123" s="413" t="s">
        <v>754</v>
      </c>
      <c r="J123" s="406" t="s">
        <v>755</v>
      </c>
      <c r="K123" s="406" t="s">
        <v>756</v>
      </c>
      <c r="L123" s="414" t="s">
        <v>757</v>
      </c>
      <c r="M123" s="432"/>
      <c r="P123" s="411"/>
      <c r="Q123" s="409" t="s">
        <v>763</v>
      </c>
      <c r="R123" s="411"/>
      <c r="S123" s="411"/>
    </row>
    <row r="124" spans="1:29" ht="31.5" thickBot="1">
      <c r="A124" s="404" t="s">
        <v>747</v>
      </c>
      <c r="B124" s="405">
        <v>0.37</v>
      </c>
      <c r="C124" s="405">
        <v>0.4</v>
      </c>
      <c r="D124" s="405">
        <v>41</v>
      </c>
      <c r="E124" s="405">
        <v>142</v>
      </c>
      <c r="F124" s="405">
        <v>92</v>
      </c>
      <c r="G124" s="405">
        <v>75</v>
      </c>
      <c r="H124" s="410">
        <v>108</v>
      </c>
      <c r="I124" s="415">
        <v>448</v>
      </c>
      <c r="J124" s="416">
        <v>709</v>
      </c>
      <c r="K124" s="416">
        <v>646</v>
      </c>
      <c r="L124" s="417">
        <v>771</v>
      </c>
      <c r="M124" s="412"/>
      <c r="P124" s="412"/>
      <c r="Q124" s="409" t="s">
        <v>764</v>
      </c>
      <c r="R124" s="412"/>
      <c r="S124" s="412"/>
    </row>
    <row r="296" spans="4:4">
      <c r="D296">
        <f>(D295/C_model!R107/(1-C_model!R108))</f>
        <v>0</v>
      </c>
    </row>
  </sheetData>
  <mergeCells count="9">
    <mergeCell ref="W3:AA3"/>
    <mergeCell ref="R117:U117"/>
    <mergeCell ref="D122:H122"/>
    <mergeCell ref="I122:L122"/>
    <mergeCell ref="P122:S122"/>
    <mergeCell ref="A3:E3"/>
    <mergeCell ref="G3:K3"/>
    <mergeCell ref="Q3:U3"/>
    <mergeCell ref="M3:N3"/>
  </mergeCells>
  <hyperlinks>
    <hyperlink ref="A121" r:id="rId1" location="section-2"/>
  </hyperlinks>
  <pageMargins left="0.7" right="0.7" top="0.75" bottom="0.75" header="0.3" footer="0.3"/>
  <pageSetup paperSize="9" orientation="portrait"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2:AG557"/>
  <sheetViews>
    <sheetView topLeftCell="A69" zoomScale="70" zoomScaleNormal="70" workbookViewId="0">
      <pane xSplit="2" topLeftCell="M1" activePane="topRight" state="frozen"/>
      <selection activeCell="B59" sqref="B59"/>
      <selection pane="topRight" activeCell="B59" sqref="B59"/>
    </sheetView>
  </sheetViews>
  <sheetFormatPr defaultRowHeight="14.5"/>
  <cols>
    <col min="1" max="1" width="31.81640625" customWidth="1"/>
    <col min="2" max="2" width="24.26953125" bestFit="1" customWidth="1"/>
    <col min="3" max="4" width="15.453125" customWidth="1"/>
    <col min="5" max="5" width="14.81640625" customWidth="1"/>
    <col min="6" max="6" width="16.453125" customWidth="1"/>
    <col min="7" max="7" width="19.54296875" customWidth="1"/>
    <col min="8" max="8" width="14.1796875" customWidth="1"/>
    <col min="9" max="9" width="13.54296875" customWidth="1"/>
    <col min="10" max="10" width="13.453125" customWidth="1"/>
    <col min="11" max="11" width="15.453125" customWidth="1"/>
    <col min="12" max="12" width="17.1796875" customWidth="1"/>
    <col min="13" max="13" width="17.54296875" customWidth="1"/>
    <col min="14" max="14" width="18" customWidth="1"/>
    <col min="15" max="15" width="15.81640625" customWidth="1"/>
    <col min="16" max="16" width="11.81640625" customWidth="1"/>
    <col min="17" max="17" width="14.81640625" customWidth="1"/>
    <col min="18" max="18" width="11.26953125" customWidth="1"/>
    <col min="19" max="19" width="11.453125" customWidth="1"/>
    <col min="20" max="20" width="15.453125" bestFit="1" customWidth="1"/>
    <col min="21" max="21" width="16.453125" bestFit="1" customWidth="1"/>
    <col min="22" max="22" width="11.26953125" customWidth="1"/>
    <col min="25" max="25" width="11.81640625" customWidth="1"/>
    <col min="26" max="26" width="14" customWidth="1"/>
    <col min="27" max="27" width="10.54296875" customWidth="1"/>
    <col min="28" max="28" width="13.54296875" customWidth="1"/>
    <col min="29" max="29" width="15.1796875" customWidth="1"/>
    <col min="30" max="30" width="16.1796875" customWidth="1"/>
    <col min="31" max="31" width="12.54296875" customWidth="1"/>
    <col min="32" max="32" width="14.1796875" customWidth="1"/>
    <col min="33" max="33" width="8.7265625" customWidth="1"/>
  </cols>
  <sheetData>
    <row r="2" spans="1:10" ht="15.75" customHeight="1">
      <c r="A2" s="9" t="s">
        <v>348</v>
      </c>
    </row>
    <row r="3" spans="1:10" ht="15.75" customHeight="1">
      <c r="A3" s="9"/>
    </row>
    <row r="5" spans="1:10">
      <c r="A5" t="s">
        <v>332</v>
      </c>
    </row>
    <row r="9" spans="1:10">
      <c r="H9" s="1" t="str">
        <f>material_flow!B6</f>
        <v>Green tonnes</v>
      </c>
      <c r="I9" s="1" t="str">
        <f>material_flow!D6</f>
        <v>m3</v>
      </c>
      <c r="J9" s="1" t="s">
        <v>100</v>
      </c>
    </row>
    <row r="10" spans="1:10">
      <c r="G10" s="1" t="str">
        <f>material_flow!A7</f>
        <v>thin1 (yr21)</v>
      </c>
      <c r="H10" s="70">
        <f>C_model!Z114</f>
        <v>0</v>
      </c>
      <c r="I10" s="70">
        <f>material_flow!D7</f>
        <v>0</v>
      </c>
      <c r="J10" s="76">
        <f>C_model!X114</f>
        <v>0</v>
      </c>
    </row>
    <row r="11" spans="1:10">
      <c r="G11" s="1" t="str">
        <f>material_flow!A8</f>
        <v>thin2 (yr71)</v>
      </c>
      <c r="H11" s="70">
        <f>C_model!Z115</f>
        <v>0</v>
      </c>
      <c r="I11" s="70">
        <f>material_flow!D8</f>
        <v>0</v>
      </c>
      <c r="J11" s="76">
        <f>C_model!X115</f>
        <v>0</v>
      </c>
    </row>
    <row r="12" spans="1:10">
      <c r="G12" s="1" t="str">
        <f>material_flow!A39</f>
        <v>harvest1 (no thin) (yr50)</v>
      </c>
      <c r="H12" s="70">
        <f>C_model!T114</f>
        <v>597.31682863663661</v>
      </c>
      <c r="I12" s="70">
        <f>material_flow!D39</f>
        <v>860.30229222641151</v>
      </c>
      <c r="J12" s="76">
        <f>C_model!R114</f>
        <v>155.39570620000001</v>
      </c>
    </row>
    <row r="13" spans="1:10">
      <c r="G13" s="1" t="str">
        <f>material_flow!A40</f>
        <v>harvest2 (no thin) (yr100)</v>
      </c>
      <c r="H13" s="70">
        <f>C_model!T115</f>
        <v>610.37385033033024</v>
      </c>
      <c r="I13" s="70">
        <f>material_flow!D40</f>
        <v>879.10803342471945</v>
      </c>
      <c r="J13" s="76">
        <f>C_model!R115</f>
        <v>158.79257200000001</v>
      </c>
    </row>
    <row r="14" spans="1:10">
      <c r="G14" s="1" t="str">
        <f>material_flow!A41</f>
        <v>harvest1 (thinned) (yr50)</v>
      </c>
      <c r="H14" s="70">
        <f>C_model!Z116</f>
        <v>9548005.7085115891</v>
      </c>
      <c r="I14" s="70">
        <f>material_flow!D41</f>
        <v>13751782.64434983</v>
      </c>
      <c r="J14" s="76">
        <f>C_model!X116</f>
        <v>2483973.3601049678</v>
      </c>
    </row>
    <row r="15" spans="1:10">
      <c r="G15" s="1" t="str">
        <f>material_flow!A42</f>
        <v>harvest2 (thinned) (yr100)</v>
      </c>
      <c r="H15" s="70">
        <f>C_model!Z117</f>
        <v>0</v>
      </c>
      <c r="I15" s="70">
        <f>material_flow!D42</f>
        <v>0</v>
      </c>
      <c r="J15" s="76">
        <f>C_model!X117</f>
        <v>0</v>
      </c>
    </row>
    <row r="17" spans="1:24" ht="43.5">
      <c r="G17" s="205" t="s">
        <v>342</v>
      </c>
      <c r="H17">
        <f>L17/(1+L18)</f>
        <v>0.26015625000000003</v>
      </c>
      <c r="K17" s="42" t="s">
        <v>107</v>
      </c>
      <c r="L17" s="193">
        <f>C_model!R107</f>
        <v>0.4995</v>
      </c>
    </row>
    <row r="18" spans="1:24" ht="29">
      <c r="K18" s="42" t="s">
        <v>108</v>
      </c>
      <c r="L18" s="194">
        <f>C_model!R110</f>
        <v>0.92</v>
      </c>
    </row>
    <row r="20" spans="1:24">
      <c r="B20" s="32" t="s">
        <v>335</v>
      </c>
    </row>
    <row r="21" spans="1:24">
      <c r="B21" s="32" t="s">
        <v>346</v>
      </c>
    </row>
    <row r="23" spans="1:24">
      <c r="B23" s="9" t="s">
        <v>339</v>
      </c>
    </row>
    <row r="24" spans="1:24" ht="29">
      <c r="B24" s="9"/>
      <c r="G24" s="10" t="s">
        <v>781</v>
      </c>
      <c r="H24" s="10" t="s">
        <v>782</v>
      </c>
      <c r="I24" s="10" t="s">
        <v>783</v>
      </c>
      <c r="J24" s="10" t="s">
        <v>784</v>
      </c>
      <c r="N24" s="423"/>
    </row>
    <row r="25" spans="1:24">
      <c r="A25" s="153" t="s">
        <v>771</v>
      </c>
      <c r="B25" t="s">
        <v>770</v>
      </c>
      <c r="C25" s="424">
        <v>0</v>
      </c>
      <c r="D25" t="s">
        <v>780</v>
      </c>
      <c r="G25" s="43" t="s">
        <v>786</v>
      </c>
      <c r="I25" s="43"/>
      <c r="J25" s="465"/>
      <c r="N25" s="423"/>
    </row>
    <row r="26" spans="1:24" ht="29">
      <c r="B26" t="s">
        <v>23</v>
      </c>
      <c r="C26" s="194">
        <v>9.5000000000000001E-2</v>
      </c>
      <c r="D26" s="41" t="s">
        <v>778</v>
      </c>
      <c r="E26" s="3">
        <f>material_flow!G105</f>
        <v>0.80014369031225263</v>
      </c>
      <c r="F26" s="194">
        <f>E26*C26</f>
        <v>7.6013650579663999E-2</v>
      </c>
      <c r="J26" s="5"/>
      <c r="N26" s="423"/>
    </row>
    <row r="27" spans="1:24" ht="29">
      <c r="C27" s="66"/>
      <c r="D27" s="41" t="s">
        <v>779</v>
      </c>
      <c r="E27" s="3">
        <f>material_flow!G106</f>
        <v>0.19985630968774726</v>
      </c>
      <c r="F27" s="194">
        <f>E27*C26</f>
        <v>1.8986349420335991E-2</v>
      </c>
      <c r="G27" s="430">
        <f>$F$27*$D$38*$J$12*1000/C_model!$R$107</f>
        <v>0</v>
      </c>
      <c r="H27" s="430">
        <f>$F$27*$D$38*$J$13*1000/C_model!$R$107</f>
        <v>0</v>
      </c>
      <c r="I27" s="430">
        <f>$F$27*$E$38*$J$14*1000/C_model!$R$107</f>
        <v>7986505.7367699742</v>
      </c>
      <c r="J27" s="430">
        <f>$F$27*$E$38*$J$15*1000/C_model!$R$107</f>
        <v>0</v>
      </c>
      <c r="N27" s="423"/>
    </row>
    <row r="28" spans="1:24" s="5" customFormat="1" ht="15.75" customHeight="1" thickBot="1">
      <c r="A28" s="51"/>
    </row>
    <row r="29" spans="1:24">
      <c r="B29" s="199"/>
      <c r="C29" s="19"/>
      <c r="D29" s="560"/>
      <c r="E29" s="560"/>
      <c r="F29" s="586" t="s">
        <v>340</v>
      </c>
      <c r="G29" s="560"/>
      <c r="H29" s="560"/>
      <c r="I29" s="560"/>
      <c r="J29" s="560"/>
      <c r="K29" s="561"/>
      <c r="L29" s="586" t="s">
        <v>364</v>
      </c>
      <c r="M29" s="560"/>
      <c r="N29" s="560"/>
      <c r="O29" s="560"/>
      <c r="P29" s="560"/>
      <c r="Q29" s="561"/>
      <c r="T29" s="174" t="s">
        <v>32</v>
      </c>
      <c r="U29" s="185"/>
    </row>
    <row r="30" spans="1:24" ht="43.5">
      <c r="B30" s="200" t="s">
        <v>282</v>
      </c>
      <c r="C30" s="21" t="s">
        <v>329</v>
      </c>
      <c r="D30" s="80" t="s">
        <v>325</v>
      </c>
      <c r="E30" s="80" t="s">
        <v>324</v>
      </c>
      <c r="F30" s="94" t="s">
        <v>336</v>
      </c>
      <c r="G30" s="149" t="s">
        <v>337</v>
      </c>
      <c r="H30" s="80" t="s">
        <v>338</v>
      </c>
      <c r="I30" s="80" t="s">
        <v>347</v>
      </c>
      <c r="J30" s="80" t="s">
        <v>90</v>
      </c>
      <c r="K30" s="82" t="s">
        <v>91</v>
      </c>
      <c r="L30" s="94" t="s">
        <v>338</v>
      </c>
      <c r="M30" s="80" t="s">
        <v>347</v>
      </c>
      <c r="N30" s="80" t="s">
        <v>90</v>
      </c>
      <c r="O30" s="80" t="s">
        <v>91</v>
      </c>
      <c r="P30" s="80" t="s">
        <v>336</v>
      </c>
      <c r="Q30" s="425" t="s">
        <v>337</v>
      </c>
      <c r="S30" s="55" t="s">
        <v>344</v>
      </c>
      <c r="T30" s="94" t="s">
        <v>343</v>
      </c>
      <c r="U30" s="82" t="s">
        <v>772</v>
      </c>
      <c r="V30" s="170"/>
      <c r="W30" s="170"/>
      <c r="X30" s="170"/>
    </row>
    <row r="31" spans="1:24">
      <c r="B31" s="200" t="s">
        <v>28</v>
      </c>
      <c r="C31" s="177">
        <f>material_flow!Q12</f>
        <v>0.2232142857142857</v>
      </c>
      <c r="D31" s="52">
        <f>material_flow!AE60</f>
        <v>0</v>
      </c>
      <c r="E31" s="52">
        <f>material_flow!AF60</f>
        <v>0.14158727678571428</v>
      </c>
      <c r="F31" s="187">
        <f>C31*$H$10</f>
        <v>0</v>
      </c>
      <c r="G31" s="188">
        <f>C31*$H$11</f>
        <v>0</v>
      </c>
      <c r="H31" s="188">
        <f>D31*$H$12</f>
        <v>0</v>
      </c>
      <c r="I31" s="84">
        <f t="shared" ref="I31:I39" si="0">D31*$H$13</f>
        <v>0</v>
      </c>
      <c r="J31" s="188">
        <f t="shared" ref="J31:J39" si="1">E31*$H$14</f>
        <v>1351876.1270026104</v>
      </c>
      <c r="K31" s="189">
        <f>E31*$H$15</f>
        <v>0</v>
      </c>
      <c r="L31" s="219">
        <f>D31*$J$12/1000</f>
        <v>0</v>
      </c>
      <c r="M31" s="217">
        <f>D31*$J$13/1000</f>
        <v>0</v>
      </c>
      <c r="N31" s="217">
        <f>E31*$J$14/1000</f>
        <v>351.69902366552282</v>
      </c>
      <c r="O31" s="217">
        <f>E31*$J$15/1000</f>
        <v>0</v>
      </c>
      <c r="P31" s="217">
        <f>C31*$J$10/1000</f>
        <v>0</v>
      </c>
      <c r="Q31" s="218">
        <f>C31*$J$11/1000</f>
        <v>0</v>
      </c>
      <c r="S31" s="83">
        <v>30</v>
      </c>
      <c r="T31" s="83">
        <f>(LN(2))/S31</f>
        <v>2.3104906018664842E-2</v>
      </c>
      <c r="U31" s="29">
        <v>2.3099999999999999E-2</v>
      </c>
      <c r="V31" s="10"/>
      <c r="W31" s="10"/>
      <c r="X31" s="10"/>
    </row>
    <row r="32" spans="1:24">
      <c r="B32" s="200" t="s">
        <v>16</v>
      </c>
      <c r="C32" s="177">
        <f>material_flow!Q13</f>
        <v>7.440476190476189E-2</v>
      </c>
      <c r="D32" s="52">
        <f>material_flow!AE61</f>
        <v>0</v>
      </c>
      <c r="E32" s="52">
        <f>material_flow!AF61</f>
        <v>5.1952901785714295E-2</v>
      </c>
      <c r="F32" s="187">
        <f t="shared" ref="F32:F39" si="2">C32*$H$10</f>
        <v>0</v>
      </c>
      <c r="G32" s="188">
        <f t="shared" ref="G32:G39" si="3">C32*$H$11</f>
        <v>0</v>
      </c>
      <c r="H32" s="188">
        <f t="shared" ref="H32:H39" si="4">D32*$H$12</f>
        <v>0</v>
      </c>
      <c r="I32" s="84">
        <f t="shared" si="0"/>
        <v>0</v>
      </c>
      <c r="J32" s="188">
        <f t="shared" si="1"/>
        <v>496046.60282374203</v>
      </c>
      <c r="K32" s="189">
        <f t="shared" ref="K32:K39" si="5">E32*$H$15</f>
        <v>0</v>
      </c>
      <c r="L32" s="219">
        <f t="shared" ref="L32:L39" si="6">D32*$J$12/1000</f>
        <v>0</v>
      </c>
      <c r="M32" s="217">
        <f t="shared" ref="M32:M39" si="7">D32*$J$13/1000</f>
        <v>0</v>
      </c>
      <c r="N32" s="217">
        <f t="shared" ref="N32:N39" si="8">E32*$J$14/1000</f>
        <v>129.04962401586411</v>
      </c>
      <c r="O32" s="217">
        <f t="shared" ref="O32:O39" si="9">E32*$J$15/1000</f>
        <v>0</v>
      </c>
      <c r="P32" s="217">
        <f t="shared" ref="P32:P39" si="10">C32*$J$10/1000</f>
        <v>0</v>
      </c>
      <c r="Q32" s="218">
        <f t="shared" ref="Q32:Q39" si="11">C32*$J$11/1000</f>
        <v>0</v>
      </c>
      <c r="S32" s="83">
        <v>20</v>
      </c>
      <c r="T32" s="83">
        <f>(LN(2))/S32</f>
        <v>3.4657359027997263E-2</v>
      </c>
      <c r="U32" s="29">
        <v>3.4700000000000002E-2</v>
      </c>
    </row>
    <row r="33" spans="2:28">
      <c r="B33" s="201" t="s">
        <v>9</v>
      </c>
      <c r="C33" s="177">
        <f>material_flow!Q15</f>
        <v>0.36904761904761907</v>
      </c>
      <c r="D33" s="52">
        <f>material_flow!AE62</f>
        <v>0</v>
      </c>
      <c r="E33" s="52">
        <f>material_flow!AF62</f>
        <v>5.855624999999999E-2</v>
      </c>
      <c r="F33" s="187">
        <f t="shared" si="2"/>
        <v>0</v>
      </c>
      <c r="G33" s="188">
        <f t="shared" si="3"/>
        <v>0</v>
      </c>
      <c r="H33" s="188">
        <f t="shared" si="4"/>
        <v>0</v>
      </c>
      <c r="I33" s="84">
        <f t="shared" si="0"/>
        <v>0</v>
      </c>
      <c r="J33" s="188">
        <f t="shared" si="1"/>
        <v>559095.4092690316</v>
      </c>
      <c r="K33" s="189">
        <f t="shared" si="5"/>
        <v>0</v>
      </c>
      <c r="L33" s="219">
        <f t="shared" si="6"/>
        <v>0</v>
      </c>
      <c r="M33" s="217">
        <f t="shared" si="7"/>
        <v>0</v>
      </c>
      <c r="N33" s="217">
        <f t="shared" si="8"/>
        <v>145.45216506764652</v>
      </c>
      <c r="O33" s="217">
        <f t="shared" si="9"/>
        <v>0</v>
      </c>
      <c r="P33" s="217">
        <f t="shared" si="10"/>
        <v>0</v>
      </c>
      <c r="Q33" s="218">
        <f t="shared" si="11"/>
        <v>0</v>
      </c>
      <c r="S33" s="171" t="s">
        <v>26</v>
      </c>
      <c r="T33" s="83" t="s">
        <v>26</v>
      </c>
      <c r="U33" s="172" t="s">
        <v>26</v>
      </c>
    </row>
    <row r="34" spans="2:28">
      <c r="B34" s="200" t="s">
        <v>25</v>
      </c>
      <c r="C34" s="177">
        <f>material_flow!Q16</f>
        <v>0</v>
      </c>
      <c r="D34" s="52">
        <f>material_flow!AE64</f>
        <v>0</v>
      </c>
      <c r="E34" s="52">
        <f>material_flow!AF64</f>
        <v>0.05</v>
      </c>
      <c r="F34" s="187">
        <f t="shared" si="2"/>
        <v>0</v>
      </c>
      <c r="G34" s="188">
        <f t="shared" si="3"/>
        <v>0</v>
      </c>
      <c r="H34" s="188">
        <f t="shared" si="4"/>
        <v>0</v>
      </c>
      <c r="I34" s="84">
        <f t="shared" si="0"/>
        <v>0</v>
      </c>
      <c r="J34" s="188">
        <f t="shared" si="1"/>
        <v>477400.28542557947</v>
      </c>
      <c r="K34" s="189">
        <f t="shared" si="5"/>
        <v>0</v>
      </c>
      <c r="L34" s="219">
        <f t="shared" si="6"/>
        <v>0</v>
      </c>
      <c r="M34" s="217">
        <f t="shared" si="7"/>
        <v>0</v>
      </c>
      <c r="N34" s="217">
        <f t="shared" si="8"/>
        <v>124.19866800524841</v>
      </c>
      <c r="O34" s="217">
        <f t="shared" si="9"/>
        <v>0</v>
      </c>
      <c r="P34" s="217">
        <f t="shared" si="10"/>
        <v>0</v>
      </c>
      <c r="Q34" s="218">
        <f t="shared" si="11"/>
        <v>0</v>
      </c>
      <c r="S34" s="83">
        <v>2</v>
      </c>
      <c r="T34" s="83">
        <f t="shared" ref="T34:T38" si="12">(LN(2))/S34</f>
        <v>0.34657359027997264</v>
      </c>
      <c r="U34" s="29">
        <v>0.34660000000000002</v>
      </c>
      <c r="Y34" s="11"/>
    </row>
    <row r="35" spans="2:28">
      <c r="B35" s="200" t="s">
        <v>22</v>
      </c>
      <c r="C35" s="177">
        <f>material_flow!Q17</f>
        <v>0.29761904761904756</v>
      </c>
      <c r="D35" s="52">
        <f>material_flow!AE65</f>
        <v>0</v>
      </c>
      <c r="E35" s="52">
        <f>material_flow!AF65</f>
        <v>4.9107142857142856E-2</v>
      </c>
      <c r="F35" s="187">
        <f t="shared" si="2"/>
        <v>0</v>
      </c>
      <c r="G35" s="188">
        <f t="shared" si="3"/>
        <v>0</v>
      </c>
      <c r="H35" s="188">
        <f t="shared" si="4"/>
        <v>0</v>
      </c>
      <c r="I35" s="84">
        <f t="shared" si="0"/>
        <v>0</v>
      </c>
      <c r="J35" s="188">
        <f t="shared" si="1"/>
        <v>468875.28032869409</v>
      </c>
      <c r="K35" s="189">
        <f t="shared" si="5"/>
        <v>0</v>
      </c>
      <c r="L35" s="219">
        <f t="shared" si="6"/>
        <v>0</v>
      </c>
      <c r="M35" s="217">
        <f t="shared" si="7"/>
        <v>0</v>
      </c>
      <c r="N35" s="217">
        <f t="shared" si="8"/>
        <v>121.98083464801181</v>
      </c>
      <c r="O35" s="217">
        <f t="shared" si="9"/>
        <v>0</v>
      </c>
      <c r="P35" s="217">
        <f t="shared" si="10"/>
        <v>0</v>
      </c>
      <c r="Q35" s="218">
        <f t="shared" si="11"/>
        <v>0</v>
      </c>
      <c r="S35" s="83">
        <v>18</v>
      </c>
      <c r="T35" s="83">
        <f t="shared" si="12"/>
        <v>3.8508176697774739E-2</v>
      </c>
      <c r="U35" s="29">
        <v>3.85E-2</v>
      </c>
      <c r="V35" s="11"/>
      <c r="X35" s="11"/>
      <c r="Y35" s="11"/>
    </row>
    <row r="36" spans="2:28">
      <c r="B36" s="202" t="s">
        <v>24</v>
      </c>
      <c r="C36" s="177">
        <f>material_flow!Q18</f>
        <v>0</v>
      </c>
      <c r="D36" s="52">
        <f>material_flow!AE66</f>
        <v>0</v>
      </c>
      <c r="E36" s="52">
        <f>material_flow!AF66</f>
        <v>0.15505580357142856</v>
      </c>
      <c r="F36" s="187">
        <f t="shared" si="2"/>
        <v>0</v>
      </c>
      <c r="G36" s="188">
        <f t="shared" si="3"/>
        <v>0</v>
      </c>
      <c r="H36" s="188">
        <f t="shared" si="4"/>
        <v>0</v>
      </c>
      <c r="I36" s="84">
        <f t="shared" si="0"/>
        <v>0</v>
      </c>
      <c r="J36" s="188">
        <f t="shared" si="1"/>
        <v>1480473.6976378516</v>
      </c>
      <c r="K36" s="189">
        <f t="shared" si="5"/>
        <v>0</v>
      </c>
      <c r="L36" s="219">
        <f t="shared" si="6"/>
        <v>0</v>
      </c>
      <c r="M36" s="217">
        <f t="shared" si="7"/>
        <v>0</v>
      </c>
      <c r="N36" s="217">
        <f t="shared" si="8"/>
        <v>385.1544854010973</v>
      </c>
      <c r="O36" s="217">
        <f t="shared" si="9"/>
        <v>0</v>
      </c>
      <c r="P36" s="217">
        <f t="shared" si="10"/>
        <v>0</v>
      </c>
      <c r="Q36" s="218">
        <f t="shared" si="11"/>
        <v>0</v>
      </c>
      <c r="S36" s="83">
        <v>3</v>
      </c>
      <c r="T36" s="83">
        <f t="shared" si="12"/>
        <v>0.23104906018664842</v>
      </c>
      <c r="U36" s="29">
        <v>0.23100000000000001</v>
      </c>
    </row>
    <row r="37" spans="2:28">
      <c r="B37" s="201" t="s">
        <v>6</v>
      </c>
      <c r="C37" s="177">
        <f>material_flow!Q19</f>
        <v>0</v>
      </c>
      <c r="D37" s="52">
        <f>material_flow!AE67</f>
        <v>0</v>
      </c>
      <c r="E37" s="52">
        <f>material_flow!AF67</f>
        <v>0.12620535714285716</v>
      </c>
      <c r="F37" s="187">
        <f t="shared" si="2"/>
        <v>0</v>
      </c>
      <c r="G37" s="188">
        <f t="shared" si="3"/>
        <v>0</v>
      </c>
      <c r="H37" s="188">
        <f t="shared" si="4"/>
        <v>0</v>
      </c>
      <c r="I37" s="84">
        <f t="shared" si="0"/>
        <v>0</v>
      </c>
      <c r="J37" s="188">
        <f t="shared" si="1"/>
        <v>1205009.470444744</v>
      </c>
      <c r="K37" s="189">
        <f t="shared" si="5"/>
        <v>0</v>
      </c>
      <c r="L37" s="219">
        <f t="shared" si="6"/>
        <v>0</v>
      </c>
      <c r="M37" s="217">
        <f t="shared" si="7"/>
        <v>0</v>
      </c>
      <c r="N37" s="217">
        <f t="shared" si="8"/>
        <v>313.49074504539038</v>
      </c>
      <c r="O37" s="217">
        <f t="shared" si="9"/>
        <v>0</v>
      </c>
      <c r="P37" s="217">
        <f t="shared" si="10"/>
        <v>0</v>
      </c>
      <c r="Q37" s="218">
        <f t="shared" si="11"/>
        <v>0</v>
      </c>
      <c r="S37" s="83">
        <v>18</v>
      </c>
      <c r="T37" s="83">
        <f t="shared" si="12"/>
        <v>3.8508176697774739E-2</v>
      </c>
      <c r="U37" s="29">
        <v>3.85E-2</v>
      </c>
    </row>
    <row r="38" spans="2:28">
      <c r="B38" s="201" t="s">
        <v>23</v>
      </c>
      <c r="C38" s="177">
        <f>material_flow!Q20</f>
        <v>0</v>
      </c>
      <c r="D38" s="52">
        <f>material_flow!AE68</f>
        <v>0</v>
      </c>
      <c r="E38" s="52">
        <f>material_flow!AF68</f>
        <v>8.458705357142858E-2</v>
      </c>
      <c r="F38" s="187">
        <f t="shared" si="2"/>
        <v>0</v>
      </c>
      <c r="G38" s="188">
        <f t="shared" si="3"/>
        <v>0</v>
      </c>
      <c r="H38" s="188">
        <f>D38*$H$12</f>
        <v>0</v>
      </c>
      <c r="I38" s="84">
        <f t="shared" si="0"/>
        <v>0</v>
      </c>
      <c r="J38" s="188">
        <f t="shared" si="1"/>
        <v>807637.67036617571</v>
      </c>
      <c r="K38" s="189">
        <f t="shared" si="5"/>
        <v>0</v>
      </c>
      <c r="L38" s="219">
        <f>(1-$C$26)*D38*$J$12/1000</f>
        <v>0</v>
      </c>
      <c r="M38" s="217">
        <f>(1-$C$26)*D38*$J$13/1000</f>
        <v>0</v>
      </c>
      <c r="N38" s="217">
        <f>(1-$C$26)*E38*$J$14/1000</f>
        <v>190.15134885148635</v>
      </c>
      <c r="O38" s="217">
        <f>(1-$C$26)*E38*$J$15/1000</f>
        <v>0</v>
      </c>
      <c r="P38" s="217">
        <f t="shared" si="10"/>
        <v>0</v>
      </c>
      <c r="Q38" s="218">
        <f t="shared" si="11"/>
        <v>0</v>
      </c>
      <c r="R38" s="28">
        <v>50</v>
      </c>
      <c r="S38" s="83">
        <v>90</v>
      </c>
      <c r="T38" s="83">
        <f t="shared" si="12"/>
        <v>7.7016353395549476E-3</v>
      </c>
      <c r="U38" s="29">
        <f>LN(2)/S38</f>
        <v>7.7016353395549476E-3</v>
      </c>
    </row>
    <row r="39" spans="2:28" ht="15" thickBot="1">
      <c r="B39" s="203" t="s">
        <v>330</v>
      </c>
      <c r="C39" s="178">
        <f>material_flow!Q21</f>
        <v>3.5714285714285754E-2</v>
      </c>
      <c r="D39" s="27">
        <f>material_flow!AE69</f>
        <v>0</v>
      </c>
      <c r="E39" s="27">
        <f>material_flow!AF69</f>
        <v>0.123825</v>
      </c>
      <c r="F39" s="190">
        <f t="shared" si="2"/>
        <v>0</v>
      </c>
      <c r="G39" s="191">
        <f t="shared" si="3"/>
        <v>0</v>
      </c>
      <c r="H39" s="191">
        <f t="shared" si="4"/>
        <v>0</v>
      </c>
      <c r="I39" s="91">
        <f t="shared" si="0"/>
        <v>0</v>
      </c>
      <c r="J39" s="191">
        <f t="shared" si="1"/>
        <v>1182281.8068564476</v>
      </c>
      <c r="K39" s="58">
        <f t="shared" si="5"/>
        <v>0</v>
      </c>
      <c r="L39" s="426">
        <f t="shared" si="6"/>
        <v>0</v>
      </c>
      <c r="M39" s="427">
        <f t="shared" si="7"/>
        <v>0</v>
      </c>
      <c r="N39" s="427">
        <f t="shared" si="8"/>
        <v>307.57800131499766</v>
      </c>
      <c r="O39" s="427">
        <f t="shared" si="9"/>
        <v>0</v>
      </c>
      <c r="P39" s="427">
        <f t="shared" si="10"/>
        <v>0</v>
      </c>
      <c r="Q39" s="428">
        <f t="shared" si="11"/>
        <v>0</v>
      </c>
      <c r="S39" s="173" t="s">
        <v>26</v>
      </c>
      <c r="T39" s="83" t="s">
        <v>26</v>
      </c>
      <c r="U39" s="175" t="s">
        <v>26</v>
      </c>
    </row>
    <row r="40" spans="2:28">
      <c r="C40" s="2">
        <f>SUM(C31:C39)</f>
        <v>1</v>
      </c>
      <c r="D40" s="2">
        <f>SUM(D31:D39)</f>
        <v>0</v>
      </c>
      <c r="E40" s="2">
        <f>SUM(E31:E39)</f>
        <v>0.8408767857142857</v>
      </c>
      <c r="K40" s="32" t="s">
        <v>362</v>
      </c>
      <c r="L40" s="186">
        <f>L31+L32+L35+L36+L37+L38</f>
        <v>0</v>
      </c>
      <c r="M40" s="186">
        <f t="shared" ref="M40:N40" si="13">M31+M32+M35+M36+M37+M38</f>
        <v>0</v>
      </c>
      <c r="N40" s="186">
        <f t="shared" si="13"/>
        <v>1491.5260616273727</v>
      </c>
      <c r="O40" s="186">
        <f>O31+O32+O35+O36+O37+O38</f>
        <v>0</v>
      </c>
      <c r="P40" s="186">
        <f>P31+P32+P35+P36+P37+P38</f>
        <v>0</v>
      </c>
      <c r="Q40" s="186">
        <f>Q31+Q32+Q35+Q36+Q37+Q38</f>
        <v>0</v>
      </c>
    </row>
    <row r="41" spans="2:28">
      <c r="K41" s="32" t="s">
        <v>363</v>
      </c>
      <c r="L41" s="186">
        <f>L34</f>
        <v>0</v>
      </c>
      <c r="M41" s="186">
        <f t="shared" ref="M41:O41" si="14">M34</f>
        <v>0</v>
      </c>
      <c r="N41" s="186">
        <f t="shared" si="14"/>
        <v>124.19866800524841</v>
      </c>
      <c r="O41" s="186">
        <f t="shared" si="14"/>
        <v>0</v>
      </c>
      <c r="P41" s="186">
        <f t="shared" ref="P41:Q41" si="15">P34</f>
        <v>0</v>
      </c>
      <c r="Q41" s="186">
        <f t="shared" si="15"/>
        <v>0</v>
      </c>
    </row>
    <row r="42" spans="2:28">
      <c r="B42" s="139" t="s">
        <v>341</v>
      </c>
      <c r="C42">
        <v>0</v>
      </c>
      <c r="O42" s="186">
        <f>N41+O41+N40+O40+P40+Q40</f>
        <v>1615.7247296326211</v>
      </c>
    </row>
    <row r="43" spans="2:28">
      <c r="B43" s="139"/>
    </row>
    <row r="44" spans="2:28" ht="15" thickBot="1">
      <c r="B44" t="s">
        <v>345</v>
      </c>
      <c r="C44" s="192">
        <f>T31</f>
        <v>2.3104906018664842E-2</v>
      </c>
      <c r="D44" s="12">
        <f>T32</f>
        <v>3.4657359027997263E-2</v>
      </c>
      <c r="E44" s="12" t="str">
        <f>T33</f>
        <v>n/a</v>
      </c>
      <c r="F44" s="12">
        <f>T34</f>
        <v>0.34657359027997264</v>
      </c>
      <c r="G44" s="12">
        <f>T35</f>
        <v>3.8508176697774739E-2</v>
      </c>
      <c r="H44" s="12">
        <f>T36</f>
        <v>0.23104906018664842</v>
      </c>
      <c r="I44" s="12">
        <f>T37</f>
        <v>3.8508176697774739E-2</v>
      </c>
      <c r="J44" s="12">
        <f>T38</f>
        <v>7.7016353395549476E-3</v>
      </c>
      <c r="K44" s="12" t="str">
        <f>T39</f>
        <v>n/a</v>
      </c>
    </row>
    <row r="45" spans="2:28" ht="15" thickBot="1">
      <c r="B45" s="245" t="s">
        <v>8</v>
      </c>
      <c r="C45" s="243"/>
      <c r="D45" s="243"/>
      <c r="E45" s="243"/>
      <c r="F45" s="243"/>
      <c r="G45" s="243"/>
      <c r="H45" s="243"/>
      <c r="I45" s="243"/>
      <c r="J45" s="243"/>
      <c r="K45" s="244"/>
      <c r="L45" s="176"/>
      <c r="M45" s="241" t="s">
        <v>13</v>
      </c>
      <c r="N45" s="242"/>
      <c r="O45" s="243"/>
      <c r="P45" s="243"/>
      <c r="Q45" s="243"/>
      <c r="R45" s="243"/>
      <c r="S45" s="243"/>
      <c r="T45" s="243"/>
      <c r="U45" s="244"/>
      <c r="V45" s="176"/>
      <c r="W45" s="585"/>
      <c r="X45" s="585"/>
      <c r="Y45" s="585"/>
      <c r="Z45" s="585"/>
      <c r="AA45" s="585"/>
      <c r="AB45" s="585"/>
    </row>
    <row r="46" spans="2:28" s="81" customFormat="1" ht="29">
      <c r="B46" s="154" t="s">
        <v>333</v>
      </c>
      <c r="C46" s="54" t="s">
        <v>28</v>
      </c>
      <c r="D46" s="54" t="s">
        <v>16</v>
      </c>
      <c r="E46" s="195" t="s">
        <v>9</v>
      </c>
      <c r="F46" s="54" t="s">
        <v>25</v>
      </c>
      <c r="G46" s="54" t="s">
        <v>22</v>
      </c>
      <c r="H46" s="196" t="s">
        <v>24</v>
      </c>
      <c r="I46" s="195" t="s">
        <v>6</v>
      </c>
      <c r="J46" s="195" t="s">
        <v>23</v>
      </c>
      <c r="K46" s="197" t="s">
        <v>330</v>
      </c>
      <c r="L46" s="55"/>
      <c r="M46" s="92" t="s">
        <v>334</v>
      </c>
      <c r="N46" s="54" t="s">
        <v>16</v>
      </c>
      <c r="O46" s="195" t="s">
        <v>9</v>
      </c>
      <c r="P46" s="54" t="s">
        <v>25</v>
      </c>
      <c r="Q46" s="54" t="s">
        <v>22</v>
      </c>
      <c r="R46" s="196" t="s">
        <v>24</v>
      </c>
      <c r="S46" s="195" t="s">
        <v>6</v>
      </c>
      <c r="T46" s="195" t="s">
        <v>23</v>
      </c>
      <c r="U46" s="197" t="s">
        <v>330</v>
      </c>
      <c r="V46" s="448" t="s">
        <v>49</v>
      </c>
      <c r="W46" s="80"/>
      <c r="X46" s="80"/>
      <c r="Y46" s="80"/>
      <c r="Z46" s="80"/>
      <c r="AA46" s="80"/>
    </row>
    <row r="47" spans="2:28" s="28" customFormat="1">
      <c r="B47" s="83">
        <v>0</v>
      </c>
      <c r="C47" s="28">
        <v>0</v>
      </c>
      <c r="D47" s="28">
        <v>0</v>
      </c>
      <c r="E47" s="84">
        <v>0</v>
      </c>
      <c r="F47" s="84">
        <v>0</v>
      </c>
      <c r="G47" s="84">
        <v>0</v>
      </c>
      <c r="H47" s="84">
        <v>0</v>
      </c>
      <c r="I47" s="84">
        <v>0</v>
      </c>
      <c r="J47" s="84">
        <v>0</v>
      </c>
      <c r="K47" s="29">
        <v>0</v>
      </c>
      <c r="M47" s="312">
        <v>0</v>
      </c>
      <c r="N47" s="313">
        <v>0</v>
      </c>
      <c r="O47" s="314">
        <v>0</v>
      </c>
      <c r="P47" s="314">
        <v>0</v>
      </c>
      <c r="Q47" s="314">
        <v>0</v>
      </c>
      <c r="R47" s="314">
        <v>0</v>
      </c>
      <c r="S47" s="314">
        <v>0</v>
      </c>
      <c r="T47" s="314">
        <v>0</v>
      </c>
      <c r="U47" s="315">
        <v>0</v>
      </c>
      <c r="V47" s="449">
        <f>SUM(M47:U47)</f>
        <v>0</v>
      </c>
    </row>
    <row r="48" spans="2:28" s="28" customFormat="1">
      <c r="B48" s="83">
        <v>1</v>
      </c>
      <c r="C48" s="28">
        <f t="shared" ref="C48:C79" si="16">(1*10^(-$C$44))*C47+((1-(1*10^(-$C$44)))/$C$44)*$C$42</f>
        <v>0</v>
      </c>
      <c r="D48" s="28">
        <f t="shared" ref="D48:D79" si="17">(1*10^(-$D$44))*D47+((1-(1*10^(-$D$44)))/$D$44)*$C$42</f>
        <v>0</v>
      </c>
      <c r="E48" s="84">
        <v>0</v>
      </c>
      <c r="F48" s="28">
        <f t="shared" ref="F48:F79" si="18">(1*10^(-$F$44))*F47+((1-(1*10^(-$F$44)))/$F$44)*$C$42</f>
        <v>0</v>
      </c>
      <c r="G48" s="28">
        <f t="shared" ref="G48:G79" si="19">(1*10^(-$F$44))*G47+((1-(1*10^(-$F$44)))/$F$44)*$C$42</f>
        <v>0</v>
      </c>
      <c r="H48" s="28">
        <f t="shared" ref="H48:H79" si="20">(1*10^(-$H$44))*H47+((1-(1*10^(-$H$44)))/$H$44)*$C$42</f>
        <v>0</v>
      </c>
      <c r="I48" s="28">
        <f t="shared" ref="I48:I79" si="21">(1*10^(-$I$44))*I47+((1-(1*10^(-$I$44)))/$I$44)*$C$42</f>
        <v>0</v>
      </c>
      <c r="J48" s="28">
        <f t="shared" ref="J48:J79" si="22">(1*10^(-$J$44))*J47+((1-(1*10^(-$J$44)))/$J$44)*$C$42</f>
        <v>0</v>
      </c>
      <c r="K48" s="29">
        <v>0</v>
      </c>
      <c r="M48" s="312">
        <f>(EXP(-$C$44))*M47+((1-(EXP(-$C$44)))/$C$44)*$C$42</f>
        <v>0</v>
      </c>
      <c r="N48" s="313">
        <f>(EXP(-$D$44))*N47+((1-(EXP(-$D$44)))/$D$44)*$C$42</f>
        <v>0</v>
      </c>
      <c r="O48" s="314">
        <v>0</v>
      </c>
      <c r="P48" s="313">
        <f>(EXP(-$F$44))*P47+((1-(EXP(-$F$44)))/$F$44)*$C$42</f>
        <v>0</v>
      </c>
      <c r="Q48" s="313">
        <f>(EXP(-$F$44))*Q47+((1-(EXP(-$F$44)))/$F$44)*$C$42</f>
        <v>0</v>
      </c>
      <c r="R48" s="313">
        <f>(EXP(-$H$44))*R47+((1-(EXP(-$H$44)))/$H$44)*$C$42</f>
        <v>0</v>
      </c>
      <c r="S48" s="313">
        <f>(EXP(-$I$44))*S47+((1-(EXP(-$I$44)))/$I$44)*$C$42</f>
        <v>0</v>
      </c>
      <c r="T48" s="313">
        <f>(EXP(-$J$44))*T47+((1-(EXP(-$J$44)))/$J$44)*$C$42</f>
        <v>0</v>
      </c>
      <c r="U48" s="315">
        <v>0</v>
      </c>
      <c r="V48" s="449">
        <f t="shared" ref="V48:V111" si="23">SUM(M48:U48)</f>
        <v>0</v>
      </c>
    </row>
    <row r="49" spans="2:22" s="28" customFormat="1">
      <c r="B49" s="83">
        <v>2</v>
      </c>
      <c r="C49" s="28">
        <f t="shared" si="16"/>
        <v>0</v>
      </c>
      <c r="D49" s="28">
        <f t="shared" si="17"/>
        <v>0</v>
      </c>
      <c r="E49" s="84">
        <v>0</v>
      </c>
      <c r="F49" s="28">
        <f t="shared" si="18"/>
        <v>0</v>
      </c>
      <c r="G49" s="28">
        <f t="shared" si="19"/>
        <v>0</v>
      </c>
      <c r="H49" s="28">
        <f t="shared" si="20"/>
        <v>0</v>
      </c>
      <c r="I49" s="28">
        <f t="shared" si="21"/>
        <v>0</v>
      </c>
      <c r="J49" s="28">
        <f t="shared" si="22"/>
        <v>0</v>
      </c>
      <c r="K49" s="29">
        <v>0</v>
      </c>
      <c r="M49" s="312">
        <f t="shared" ref="M49:M67" si="24">(EXP(-$C$44))*M48+((1-(EXP(-$C$44)))/$C$44)*$C$42</f>
        <v>0</v>
      </c>
      <c r="N49" s="313">
        <f t="shared" ref="N49:N67" si="25">(EXP(-$D$44))*N48+((1-(EXP(-$D$44)))/$D$44)*$C$42</f>
        <v>0</v>
      </c>
      <c r="O49" s="314">
        <v>0</v>
      </c>
      <c r="P49" s="313">
        <f t="shared" ref="P49:P67" si="26">(EXP(-$F$44))*P48+((1-(EXP(-$F$44)))/$F$44)*$C$42</f>
        <v>0</v>
      </c>
      <c r="Q49" s="313">
        <f t="shared" ref="Q49:Q67" si="27">(EXP(-$F$44))*Q48+((1-(EXP(-$F$44)))/$F$44)*$C$42</f>
        <v>0</v>
      </c>
      <c r="R49" s="313">
        <f t="shared" ref="R49:R67" si="28">(EXP(-$H$44))*R48+((1-(EXP(-$H$44)))/$H$44)*$C$42</f>
        <v>0</v>
      </c>
      <c r="S49" s="313">
        <f t="shared" ref="S49:S67" si="29">(EXP(-$I$44))*S48+((1-(EXP(-$I$44)))/$I$44)*$C$42</f>
        <v>0</v>
      </c>
      <c r="T49" s="313">
        <f t="shared" ref="T49:T67" si="30">(EXP(-$J$44))*T48+((1-(EXP(-$J$44)))/$J$44)*$C$42</f>
        <v>0</v>
      </c>
      <c r="U49" s="315">
        <v>0</v>
      </c>
      <c r="V49" s="449">
        <f t="shared" si="23"/>
        <v>0</v>
      </c>
    </row>
    <row r="50" spans="2:22" s="28" customFormat="1">
      <c r="B50" s="83">
        <v>3</v>
      </c>
      <c r="C50" s="28">
        <f t="shared" si="16"/>
        <v>0</v>
      </c>
      <c r="D50" s="28">
        <f t="shared" si="17"/>
        <v>0</v>
      </c>
      <c r="E50" s="84">
        <v>0</v>
      </c>
      <c r="F50" s="28">
        <f t="shared" si="18"/>
        <v>0</v>
      </c>
      <c r="G50" s="28">
        <f t="shared" si="19"/>
        <v>0</v>
      </c>
      <c r="H50" s="28">
        <f t="shared" si="20"/>
        <v>0</v>
      </c>
      <c r="I50" s="28">
        <f t="shared" si="21"/>
        <v>0</v>
      </c>
      <c r="J50" s="28">
        <f t="shared" si="22"/>
        <v>0</v>
      </c>
      <c r="K50" s="29">
        <v>0</v>
      </c>
      <c r="M50" s="312">
        <f t="shared" si="24"/>
        <v>0</v>
      </c>
      <c r="N50" s="313">
        <f t="shared" si="25"/>
        <v>0</v>
      </c>
      <c r="O50" s="314">
        <v>0</v>
      </c>
      <c r="P50" s="313">
        <f t="shared" si="26"/>
        <v>0</v>
      </c>
      <c r="Q50" s="313">
        <f t="shared" si="27"/>
        <v>0</v>
      </c>
      <c r="R50" s="313">
        <f t="shared" si="28"/>
        <v>0</v>
      </c>
      <c r="S50" s="313">
        <f t="shared" si="29"/>
        <v>0</v>
      </c>
      <c r="T50" s="313">
        <f t="shared" si="30"/>
        <v>0</v>
      </c>
      <c r="U50" s="315">
        <v>0</v>
      </c>
      <c r="V50" s="449">
        <f t="shared" si="23"/>
        <v>0</v>
      </c>
    </row>
    <row r="51" spans="2:22" s="28" customFormat="1">
      <c r="B51" s="83">
        <v>4</v>
      </c>
      <c r="C51" s="28">
        <f t="shared" si="16"/>
        <v>0</v>
      </c>
      <c r="D51" s="28">
        <f t="shared" si="17"/>
        <v>0</v>
      </c>
      <c r="E51" s="84">
        <v>0</v>
      </c>
      <c r="F51" s="28">
        <f t="shared" si="18"/>
        <v>0</v>
      </c>
      <c r="G51" s="28">
        <f t="shared" si="19"/>
        <v>0</v>
      </c>
      <c r="H51" s="28">
        <f t="shared" si="20"/>
        <v>0</v>
      </c>
      <c r="I51" s="28">
        <f t="shared" si="21"/>
        <v>0</v>
      </c>
      <c r="J51" s="28">
        <f t="shared" si="22"/>
        <v>0</v>
      </c>
      <c r="K51" s="29">
        <v>0</v>
      </c>
      <c r="M51" s="312">
        <f t="shared" si="24"/>
        <v>0</v>
      </c>
      <c r="N51" s="313">
        <f t="shared" si="25"/>
        <v>0</v>
      </c>
      <c r="O51" s="314">
        <v>0</v>
      </c>
      <c r="P51" s="313">
        <f t="shared" si="26"/>
        <v>0</v>
      </c>
      <c r="Q51" s="313">
        <f t="shared" si="27"/>
        <v>0</v>
      </c>
      <c r="R51" s="313">
        <f t="shared" si="28"/>
        <v>0</v>
      </c>
      <c r="S51" s="313">
        <f t="shared" si="29"/>
        <v>0</v>
      </c>
      <c r="T51" s="313">
        <f t="shared" si="30"/>
        <v>0</v>
      </c>
      <c r="U51" s="315">
        <v>0</v>
      </c>
      <c r="V51" s="449">
        <f t="shared" si="23"/>
        <v>0</v>
      </c>
    </row>
    <row r="52" spans="2:22" s="28" customFormat="1">
      <c r="B52" s="83">
        <v>5</v>
      </c>
      <c r="C52" s="28">
        <f t="shared" si="16"/>
        <v>0</v>
      </c>
      <c r="D52" s="28">
        <f t="shared" si="17"/>
        <v>0</v>
      </c>
      <c r="E52" s="84">
        <v>0</v>
      </c>
      <c r="F52" s="28">
        <f t="shared" si="18"/>
        <v>0</v>
      </c>
      <c r="G52" s="28">
        <f t="shared" si="19"/>
        <v>0</v>
      </c>
      <c r="H52" s="28">
        <f t="shared" si="20"/>
        <v>0</v>
      </c>
      <c r="I52" s="28">
        <f t="shared" si="21"/>
        <v>0</v>
      </c>
      <c r="J52" s="28">
        <f t="shared" si="22"/>
        <v>0</v>
      </c>
      <c r="K52" s="29">
        <v>0</v>
      </c>
      <c r="M52" s="312">
        <f t="shared" si="24"/>
        <v>0</v>
      </c>
      <c r="N52" s="313">
        <f t="shared" si="25"/>
        <v>0</v>
      </c>
      <c r="O52" s="314">
        <v>0</v>
      </c>
      <c r="P52" s="313">
        <f t="shared" si="26"/>
        <v>0</v>
      </c>
      <c r="Q52" s="313">
        <f t="shared" si="27"/>
        <v>0</v>
      </c>
      <c r="R52" s="313">
        <f t="shared" si="28"/>
        <v>0</v>
      </c>
      <c r="S52" s="313">
        <f t="shared" si="29"/>
        <v>0</v>
      </c>
      <c r="T52" s="313">
        <f t="shared" si="30"/>
        <v>0</v>
      </c>
      <c r="U52" s="315">
        <v>0</v>
      </c>
      <c r="V52" s="449">
        <f t="shared" si="23"/>
        <v>0</v>
      </c>
    </row>
    <row r="53" spans="2:22" s="28" customFormat="1">
      <c r="B53" s="83">
        <v>6</v>
      </c>
      <c r="C53" s="28">
        <f t="shared" si="16"/>
        <v>0</v>
      </c>
      <c r="D53" s="28">
        <f t="shared" si="17"/>
        <v>0</v>
      </c>
      <c r="E53" s="84">
        <v>0</v>
      </c>
      <c r="F53" s="28">
        <f t="shared" si="18"/>
        <v>0</v>
      </c>
      <c r="G53" s="28">
        <f t="shared" si="19"/>
        <v>0</v>
      </c>
      <c r="H53" s="28">
        <f t="shared" si="20"/>
        <v>0</v>
      </c>
      <c r="I53" s="28">
        <f t="shared" si="21"/>
        <v>0</v>
      </c>
      <c r="J53" s="28">
        <f t="shared" si="22"/>
        <v>0</v>
      </c>
      <c r="K53" s="29">
        <v>0</v>
      </c>
      <c r="M53" s="312">
        <f t="shared" si="24"/>
        <v>0</v>
      </c>
      <c r="N53" s="313">
        <f t="shared" si="25"/>
        <v>0</v>
      </c>
      <c r="O53" s="314">
        <v>0</v>
      </c>
      <c r="P53" s="313">
        <f t="shared" si="26"/>
        <v>0</v>
      </c>
      <c r="Q53" s="313">
        <f t="shared" si="27"/>
        <v>0</v>
      </c>
      <c r="R53" s="313">
        <f t="shared" si="28"/>
        <v>0</v>
      </c>
      <c r="S53" s="313">
        <f t="shared" si="29"/>
        <v>0</v>
      </c>
      <c r="T53" s="313">
        <f t="shared" si="30"/>
        <v>0</v>
      </c>
      <c r="U53" s="315">
        <v>0</v>
      </c>
      <c r="V53" s="449">
        <f t="shared" si="23"/>
        <v>0</v>
      </c>
    </row>
    <row r="54" spans="2:22" s="28" customFormat="1">
      <c r="B54" s="83">
        <v>7</v>
      </c>
      <c r="C54" s="28">
        <f t="shared" si="16"/>
        <v>0</v>
      </c>
      <c r="D54" s="28">
        <f t="shared" si="17"/>
        <v>0</v>
      </c>
      <c r="E54" s="84">
        <v>0</v>
      </c>
      <c r="F54" s="28">
        <f t="shared" si="18"/>
        <v>0</v>
      </c>
      <c r="G54" s="28">
        <f t="shared" si="19"/>
        <v>0</v>
      </c>
      <c r="H54" s="28">
        <f t="shared" si="20"/>
        <v>0</v>
      </c>
      <c r="I54" s="28">
        <f t="shared" si="21"/>
        <v>0</v>
      </c>
      <c r="J54" s="28">
        <f t="shared" si="22"/>
        <v>0</v>
      </c>
      <c r="K54" s="29">
        <v>0</v>
      </c>
      <c r="M54" s="312">
        <f t="shared" si="24"/>
        <v>0</v>
      </c>
      <c r="N54" s="313">
        <f t="shared" si="25"/>
        <v>0</v>
      </c>
      <c r="O54" s="314">
        <v>0</v>
      </c>
      <c r="P54" s="313">
        <f t="shared" si="26"/>
        <v>0</v>
      </c>
      <c r="Q54" s="313">
        <f t="shared" si="27"/>
        <v>0</v>
      </c>
      <c r="R54" s="313">
        <f t="shared" si="28"/>
        <v>0</v>
      </c>
      <c r="S54" s="313">
        <f t="shared" si="29"/>
        <v>0</v>
      </c>
      <c r="T54" s="313">
        <f t="shared" si="30"/>
        <v>0</v>
      </c>
      <c r="U54" s="315">
        <v>0</v>
      </c>
      <c r="V54" s="449">
        <f t="shared" si="23"/>
        <v>0</v>
      </c>
    </row>
    <row r="55" spans="2:22" s="28" customFormat="1">
      <c r="B55" s="83">
        <v>8</v>
      </c>
      <c r="C55" s="28">
        <f t="shared" si="16"/>
        <v>0</v>
      </c>
      <c r="D55" s="28">
        <f t="shared" si="17"/>
        <v>0</v>
      </c>
      <c r="E55" s="84">
        <v>0</v>
      </c>
      <c r="F55" s="28">
        <f t="shared" si="18"/>
        <v>0</v>
      </c>
      <c r="G55" s="28">
        <f t="shared" si="19"/>
        <v>0</v>
      </c>
      <c r="H55" s="28">
        <f t="shared" si="20"/>
        <v>0</v>
      </c>
      <c r="I55" s="28">
        <f t="shared" si="21"/>
        <v>0</v>
      </c>
      <c r="J55" s="28">
        <f t="shared" si="22"/>
        <v>0</v>
      </c>
      <c r="K55" s="29">
        <v>0</v>
      </c>
      <c r="M55" s="312">
        <f t="shared" si="24"/>
        <v>0</v>
      </c>
      <c r="N55" s="313">
        <f t="shared" si="25"/>
        <v>0</v>
      </c>
      <c r="O55" s="314">
        <v>0</v>
      </c>
      <c r="P55" s="313">
        <f t="shared" si="26"/>
        <v>0</v>
      </c>
      <c r="Q55" s="313">
        <f t="shared" si="27"/>
        <v>0</v>
      </c>
      <c r="R55" s="313">
        <f t="shared" si="28"/>
        <v>0</v>
      </c>
      <c r="S55" s="313">
        <f t="shared" si="29"/>
        <v>0</v>
      </c>
      <c r="T55" s="313">
        <f t="shared" si="30"/>
        <v>0</v>
      </c>
      <c r="U55" s="315">
        <v>0</v>
      </c>
      <c r="V55" s="449">
        <f t="shared" si="23"/>
        <v>0</v>
      </c>
    </row>
    <row r="56" spans="2:22" s="28" customFormat="1">
      <c r="B56" s="83">
        <v>9</v>
      </c>
      <c r="C56" s="28">
        <f t="shared" si="16"/>
        <v>0</v>
      </c>
      <c r="D56" s="28">
        <f t="shared" si="17"/>
        <v>0</v>
      </c>
      <c r="E56" s="84">
        <v>0</v>
      </c>
      <c r="F56" s="28">
        <f t="shared" si="18"/>
        <v>0</v>
      </c>
      <c r="G56" s="28">
        <f t="shared" si="19"/>
        <v>0</v>
      </c>
      <c r="H56" s="28">
        <f t="shared" si="20"/>
        <v>0</v>
      </c>
      <c r="I56" s="28">
        <f t="shared" si="21"/>
        <v>0</v>
      </c>
      <c r="J56" s="28">
        <f t="shared" si="22"/>
        <v>0</v>
      </c>
      <c r="K56" s="29">
        <v>0</v>
      </c>
      <c r="M56" s="312">
        <f t="shared" si="24"/>
        <v>0</v>
      </c>
      <c r="N56" s="313">
        <f t="shared" si="25"/>
        <v>0</v>
      </c>
      <c r="O56" s="314">
        <v>0</v>
      </c>
      <c r="P56" s="313">
        <f t="shared" si="26"/>
        <v>0</v>
      </c>
      <c r="Q56" s="313">
        <f t="shared" si="27"/>
        <v>0</v>
      </c>
      <c r="R56" s="313">
        <f t="shared" si="28"/>
        <v>0</v>
      </c>
      <c r="S56" s="313">
        <f t="shared" si="29"/>
        <v>0</v>
      </c>
      <c r="T56" s="313">
        <f t="shared" si="30"/>
        <v>0</v>
      </c>
      <c r="U56" s="315">
        <v>0</v>
      </c>
      <c r="V56" s="449">
        <f t="shared" si="23"/>
        <v>0</v>
      </c>
    </row>
    <row r="57" spans="2:22" s="28" customFormat="1">
      <c r="B57" s="83">
        <v>10</v>
      </c>
      <c r="C57" s="28">
        <f t="shared" si="16"/>
        <v>0</v>
      </c>
      <c r="D57" s="28">
        <f t="shared" si="17"/>
        <v>0</v>
      </c>
      <c r="E57" s="84">
        <v>0</v>
      </c>
      <c r="F57" s="28">
        <f t="shared" si="18"/>
        <v>0</v>
      </c>
      <c r="G57" s="28">
        <f t="shared" si="19"/>
        <v>0</v>
      </c>
      <c r="H57" s="28">
        <f t="shared" si="20"/>
        <v>0</v>
      </c>
      <c r="I57" s="28">
        <f t="shared" si="21"/>
        <v>0</v>
      </c>
      <c r="J57" s="28">
        <f t="shared" si="22"/>
        <v>0</v>
      </c>
      <c r="K57" s="29">
        <v>0</v>
      </c>
      <c r="M57" s="312">
        <f t="shared" si="24"/>
        <v>0</v>
      </c>
      <c r="N57" s="313">
        <f t="shared" si="25"/>
        <v>0</v>
      </c>
      <c r="O57" s="314">
        <v>0</v>
      </c>
      <c r="P57" s="313">
        <f t="shared" si="26"/>
        <v>0</v>
      </c>
      <c r="Q57" s="313">
        <f t="shared" si="27"/>
        <v>0</v>
      </c>
      <c r="R57" s="313">
        <f t="shared" si="28"/>
        <v>0</v>
      </c>
      <c r="S57" s="313">
        <f t="shared" si="29"/>
        <v>0</v>
      </c>
      <c r="T57" s="313">
        <f t="shared" si="30"/>
        <v>0</v>
      </c>
      <c r="U57" s="315">
        <v>0</v>
      </c>
      <c r="V57" s="449">
        <f t="shared" si="23"/>
        <v>0</v>
      </c>
    </row>
    <row r="58" spans="2:22" s="28" customFormat="1">
      <c r="B58" s="83">
        <v>11</v>
      </c>
      <c r="C58" s="28">
        <f t="shared" si="16"/>
        <v>0</v>
      </c>
      <c r="D58" s="28">
        <f t="shared" si="17"/>
        <v>0</v>
      </c>
      <c r="E58" s="84">
        <v>0</v>
      </c>
      <c r="F58" s="28">
        <f t="shared" si="18"/>
        <v>0</v>
      </c>
      <c r="G58" s="28">
        <f t="shared" si="19"/>
        <v>0</v>
      </c>
      <c r="H58" s="28">
        <f t="shared" si="20"/>
        <v>0</v>
      </c>
      <c r="I58" s="28">
        <f t="shared" si="21"/>
        <v>0</v>
      </c>
      <c r="J58" s="28">
        <f t="shared" si="22"/>
        <v>0</v>
      </c>
      <c r="K58" s="29">
        <v>0</v>
      </c>
      <c r="M58" s="312">
        <f t="shared" si="24"/>
        <v>0</v>
      </c>
      <c r="N58" s="313">
        <f t="shared" si="25"/>
        <v>0</v>
      </c>
      <c r="O58" s="314">
        <v>0</v>
      </c>
      <c r="P58" s="313">
        <f t="shared" si="26"/>
        <v>0</v>
      </c>
      <c r="Q58" s="313">
        <f t="shared" si="27"/>
        <v>0</v>
      </c>
      <c r="R58" s="313">
        <f t="shared" si="28"/>
        <v>0</v>
      </c>
      <c r="S58" s="313">
        <f t="shared" si="29"/>
        <v>0</v>
      </c>
      <c r="T58" s="313">
        <f t="shared" si="30"/>
        <v>0</v>
      </c>
      <c r="U58" s="315">
        <v>0</v>
      </c>
      <c r="V58" s="449">
        <f t="shared" si="23"/>
        <v>0</v>
      </c>
    </row>
    <row r="59" spans="2:22" s="28" customFormat="1">
      <c r="B59" s="83">
        <v>12</v>
      </c>
      <c r="C59" s="28">
        <f t="shared" si="16"/>
        <v>0</v>
      </c>
      <c r="D59" s="28">
        <f t="shared" si="17"/>
        <v>0</v>
      </c>
      <c r="E59" s="84">
        <v>0</v>
      </c>
      <c r="F59" s="28">
        <f t="shared" si="18"/>
        <v>0</v>
      </c>
      <c r="G59" s="28">
        <f t="shared" si="19"/>
        <v>0</v>
      </c>
      <c r="H59" s="28">
        <f t="shared" si="20"/>
        <v>0</v>
      </c>
      <c r="I59" s="28">
        <f t="shared" si="21"/>
        <v>0</v>
      </c>
      <c r="J59" s="28">
        <f t="shared" si="22"/>
        <v>0</v>
      </c>
      <c r="K59" s="29">
        <v>0</v>
      </c>
      <c r="M59" s="312">
        <f t="shared" si="24"/>
        <v>0</v>
      </c>
      <c r="N59" s="313">
        <f t="shared" si="25"/>
        <v>0</v>
      </c>
      <c r="O59" s="314">
        <v>0</v>
      </c>
      <c r="P59" s="313">
        <f t="shared" si="26"/>
        <v>0</v>
      </c>
      <c r="Q59" s="313">
        <f t="shared" si="27"/>
        <v>0</v>
      </c>
      <c r="R59" s="313">
        <f t="shared" si="28"/>
        <v>0</v>
      </c>
      <c r="S59" s="313">
        <f t="shared" si="29"/>
        <v>0</v>
      </c>
      <c r="T59" s="313">
        <f t="shared" si="30"/>
        <v>0</v>
      </c>
      <c r="U59" s="315">
        <v>0</v>
      </c>
      <c r="V59" s="449">
        <f t="shared" si="23"/>
        <v>0</v>
      </c>
    </row>
    <row r="60" spans="2:22" s="28" customFormat="1">
      <c r="B60" s="83">
        <v>13</v>
      </c>
      <c r="C60" s="28">
        <f t="shared" si="16"/>
        <v>0</v>
      </c>
      <c r="D60" s="28">
        <f t="shared" si="17"/>
        <v>0</v>
      </c>
      <c r="E60" s="84">
        <v>0</v>
      </c>
      <c r="F60" s="28">
        <f t="shared" si="18"/>
        <v>0</v>
      </c>
      <c r="G60" s="28">
        <f t="shared" si="19"/>
        <v>0</v>
      </c>
      <c r="H60" s="28">
        <f t="shared" si="20"/>
        <v>0</v>
      </c>
      <c r="I60" s="28">
        <f t="shared" si="21"/>
        <v>0</v>
      </c>
      <c r="J60" s="28">
        <f t="shared" si="22"/>
        <v>0</v>
      </c>
      <c r="K60" s="29">
        <v>0</v>
      </c>
      <c r="M60" s="312">
        <f t="shared" si="24"/>
        <v>0</v>
      </c>
      <c r="N60" s="313">
        <f t="shared" si="25"/>
        <v>0</v>
      </c>
      <c r="O60" s="314">
        <v>0</v>
      </c>
      <c r="P60" s="313">
        <f t="shared" si="26"/>
        <v>0</v>
      </c>
      <c r="Q60" s="313">
        <f t="shared" si="27"/>
        <v>0</v>
      </c>
      <c r="R60" s="313">
        <f t="shared" si="28"/>
        <v>0</v>
      </c>
      <c r="S60" s="313">
        <f t="shared" si="29"/>
        <v>0</v>
      </c>
      <c r="T60" s="313">
        <f t="shared" si="30"/>
        <v>0</v>
      </c>
      <c r="U60" s="315">
        <v>0</v>
      </c>
      <c r="V60" s="449">
        <f t="shared" si="23"/>
        <v>0</v>
      </c>
    </row>
    <row r="61" spans="2:22" s="28" customFormat="1">
      <c r="B61" s="83">
        <v>14</v>
      </c>
      <c r="C61" s="28">
        <f t="shared" si="16"/>
        <v>0</v>
      </c>
      <c r="D61" s="28">
        <f t="shared" si="17"/>
        <v>0</v>
      </c>
      <c r="E61" s="84">
        <v>0</v>
      </c>
      <c r="F61" s="28">
        <f t="shared" si="18"/>
        <v>0</v>
      </c>
      <c r="G61" s="28">
        <f t="shared" si="19"/>
        <v>0</v>
      </c>
      <c r="H61" s="28">
        <f t="shared" si="20"/>
        <v>0</v>
      </c>
      <c r="I61" s="28">
        <f t="shared" si="21"/>
        <v>0</v>
      </c>
      <c r="J61" s="28">
        <f t="shared" si="22"/>
        <v>0</v>
      </c>
      <c r="K61" s="29">
        <v>0</v>
      </c>
      <c r="M61" s="312">
        <f t="shared" si="24"/>
        <v>0</v>
      </c>
      <c r="N61" s="313">
        <f t="shared" si="25"/>
        <v>0</v>
      </c>
      <c r="O61" s="314">
        <v>0</v>
      </c>
      <c r="P61" s="313">
        <f t="shared" si="26"/>
        <v>0</v>
      </c>
      <c r="Q61" s="313">
        <f t="shared" si="27"/>
        <v>0</v>
      </c>
      <c r="R61" s="313">
        <f t="shared" si="28"/>
        <v>0</v>
      </c>
      <c r="S61" s="313">
        <f t="shared" si="29"/>
        <v>0</v>
      </c>
      <c r="T61" s="313">
        <f t="shared" si="30"/>
        <v>0</v>
      </c>
      <c r="U61" s="315">
        <v>0</v>
      </c>
      <c r="V61" s="449">
        <f t="shared" si="23"/>
        <v>0</v>
      </c>
    </row>
    <row r="62" spans="2:22" s="28" customFormat="1">
      <c r="B62" s="83">
        <v>15</v>
      </c>
      <c r="C62" s="28">
        <f t="shared" si="16"/>
        <v>0</v>
      </c>
      <c r="D62" s="28">
        <f t="shared" si="17"/>
        <v>0</v>
      </c>
      <c r="E62" s="84">
        <v>0</v>
      </c>
      <c r="F62" s="28">
        <f t="shared" si="18"/>
        <v>0</v>
      </c>
      <c r="G62" s="28">
        <f t="shared" si="19"/>
        <v>0</v>
      </c>
      <c r="H62" s="28">
        <f t="shared" si="20"/>
        <v>0</v>
      </c>
      <c r="I62" s="28">
        <f t="shared" si="21"/>
        <v>0</v>
      </c>
      <c r="J62" s="28">
        <f t="shared" si="22"/>
        <v>0</v>
      </c>
      <c r="K62" s="29">
        <v>0</v>
      </c>
      <c r="M62" s="312">
        <f t="shared" si="24"/>
        <v>0</v>
      </c>
      <c r="N62" s="313">
        <f t="shared" si="25"/>
        <v>0</v>
      </c>
      <c r="O62" s="314">
        <v>0</v>
      </c>
      <c r="P62" s="313">
        <f t="shared" si="26"/>
        <v>0</v>
      </c>
      <c r="Q62" s="313">
        <f t="shared" si="27"/>
        <v>0</v>
      </c>
      <c r="R62" s="313">
        <f t="shared" si="28"/>
        <v>0</v>
      </c>
      <c r="S62" s="313">
        <f t="shared" si="29"/>
        <v>0</v>
      </c>
      <c r="T62" s="313">
        <f t="shared" si="30"/>
        <v>0</v>
      </c>
      <c r="U62" s="315">
        <v>0</v>
      </c>
      <c r="V62" s="449">
        <f t="shared" si="23"/>
        <v>0</v>
      </c>
    </row>
    <row r="63" spans="2:22" s="28" customFormat="1">
      <c r="B63" s="83">
        <v>16</v>
      </c>
      <c r="C63" s="28">
        <f t="shared" si="16"/>
        <v>0</v>
      </c>
      <c r="D63" s="28">
        <f t="shared" si="17"/>
        <v>0</v>
      </c>
      <c r="E63" s="84">
        <v>0</v>
      </c>
      <c r="F63" s="28">
        <f t="shared" si="18"/>
        <v>0</v>
      </c>
      <c r="G63" s="28">
        <f t="shared" si="19"/>
        <v>0</v>
      </c>
      <c r="H63" s="28">
        <f t="shared" si="20"/>
        <v>0</v>
      </c>
      <c r="I63" s="28">
        <f t="shared" si="21"/>
        <v>0</v>
      </c>
      <c r="J63" s="28">
        <f t="shared" si="22"/>
        <v>0</v>
      </c>
      <c r="K63" s="29">
        <v>0</v>
      </c>
      <c r="M63" s="312">
        <f t="shared" si="24"/>
        <v>0</v>
      </c>
      <c r="N63" s="313">
        <f t="shared" si="25"/>
        <v>0</v>
      </c>
      <c r="O63" s="314">
        <v>0</v>
      </c>
      <c r="P63" s="313">
        <f t="shared" si="26"/>
        <v>0</v>
      </c>
      <c r="Q63" s="313">
        <f t="shared" si="27"/>
        <v>0</v>
      </c>
      <c r="R63" s="313">
        <f t="shared" si="28"/>
        <v>0</v>
      </c>
      <c r="S63" s="313">
        <f t="shared" si="29"/>
        <v>0</v>
      </c>
      <c r="T63" s="313">
        <f t="shared" si="30"/>
        <v>0</v>
      </c>
      <c r="U63" s="315">
        <v>0</v>
      </c>
      <c r="V63" s="449">
        <f t="shared" si="23"/>
        <v>0</v>
      </c>
    </row>
    <row r="64" spans="2:22" s="28" customFormat="1">
      <c r="B64" s="83">
        <v>17</v>
      </c>
      <c r="C64" s="28">
        <f t="shared" si="16"/>
        <v>0</v>
      </c>
      <c r="D64" s="28">
        <f t="shared" si="17"/>
        <v>0</v>
      </c>
      <c r="E64" s="84">
        <v>0</v>
      </c>
      <c r="F64" s="28">
        <f t="shared" si="18"/>
        <v>0</v>
      </c>
      <c r="G64" s="28">
        <f t="shared" si="19"/>
        <v>0</v>
      </c>
      <c r="H64" s="28">
        <f t="shared" si="20"/>
        <v>0</v>
      </c>
      <c r="I64" s="28">
        <f t="shared" si="21"/>
        <v>0</v>
      </c>
      <c r="J64" s="28">
        <f t="shared" si="22"/>
        <v>0</v>
      </c>
      <c r="K64" s="29">
        <v>0</v>
      </c>
      <c r="M64" s="312">
        <f t="shared" si="24"/>
        <v>0</v>
      </c>
      <c r="N64" s="313">
        <f t="shared" si="25"/>
        <v>0</v>
      </c>
      <c r="O64" s="314">
        <v>0</v>
      </c>
      <c r="P64" s="313">
        <f t="shared" si="26"/>
        <v>0</v>
      </c>
      <c r="Q64" s="313">
        <f t="shared" si="27"/>
        <v>0</v>
      </c>
      <c r="R64" s="313">
        <f t="shared" si="28"/>
        <v>0</v>
      </c>
      <c r="S64" s="313">
        <f t="shared" si="29"/>
        <v>0</v>
      </c>
      <c r="T64" s="313">
        <f t="shared" si="30"/>
        <v>0</v>
      </c>
      <c r="U64" s="315">
        <v>0</v>
      </c>
      <c r="V64" s="449">
        <f t="shared" si="23"/>
        <v>0</v>
      </c>
    </row>
    <row r="65" spans="2:22" s="28" customFormat="1">
      <c r="B65" s="83">
        <v>18</v>
      </c>
      <c r="C65" s="28">
        <f t="shared" si="16"/>
        <v>0</v>
      </c>
      <c r="D65" s="28">
        <f t="shared" si="17"/>
        <v>0</v>
      </c>
      <c r="E65" s="84">
        <v>0</v>
      </c>
      <c r="F65" s="28">
        <f t="shared" si="18"/>
        <v>0</v>
      </c>
      <c r="G65" s="28">
        <f t="shared" si="19"/>
        <v>0</v>
      </c>
      <c r="H65" s="28">
        <f t="shared" si="20"/>
        <v>0</v>
      </c>
      <c r="I65" s="28">
        <f t="shared" si="21"/>
        <v>0</v>
      </c>
      <c r="J65" s="28">
        <f t="shared" si="22"/>
        <v>0</v>
      </c>
      <c r="K65" s="29">
        <v>0</v>
      </c>
      <c r="M65" s="312">
        <f t="shared" si="24"/>
        <v>0</v>
      </c>
      <c r="N65" s="313">
        <f t="shared" si="25"/>
        <v>0</v>
      </c>
      <c r="O65" s="314">
        <v>0</v>
      </c>
      <c r="P65" s="313">
        <f t="shared" si="26"/>
        <v>0</v>
      </c>
      <c r="Q65" s="313">
        <f t="shared" si="27"/>
        <v>0</v>
      </c>
      <c r="R65" s="313">
        <f t="shared" si="28"/>
        <v>0</v>
      </c>
      <c r="S65" s="313">
        <f t="shared" si="29"/>
        <v>0</v>
      </c>
      <c r="T65" s="313">
        <f t="shared" si="30"/>
        <v>0</v>
      </c>
      <c r="U65" s="315">
        <v>0</v>
      </c>
      <c r="V65" s="449">
        <f t="shared" si="23"/>
        <v>0</v>
      </c>
    </row>
    <row r="66" spans="2:22" s="28" customFormat="1">
      <c r="B66" s="83">
        <v>19</v>
      </c>
      <c r="C66" s="28">
        <f t="shared" si="16"/>
        <v>0</v>
      </c>
      <c r="D66" s="28">
        <f t="shared" si="17"/>
        <v>0</v>
      </c>
      <c r="E66" s="84">
        <v>0</v>
      </c>
      <c r="F66" s="28">
        <f t="shared" si="18"/>
        <v>0</v>
      </c>
      <c r="G66" s="28">
        <f t="shared" si="19"/>
        <v>0</v>
      </c>
      <c r="H66" s="28">
        <f t="shared" si="20"/>
        <v>0</v>
      </c>
      <c r="I66" s="28">
        <f t="shared" si="21"/>
        <v>0</v>
      </c>
      <c r="J66" s="28">
        <f t="shared" si="22"/>
        <v>0</v>
      </c>
      <c r="K66" s="29">
        <v>0</v>
      </c>
      <c r="M66" s="312">
        <f t="shared" si="24"/>
        <v>0</v>
      </c>
      <c r="N66" s="313">
        <f t="shared" si="25"/>
        <v>0</v>
      </c>
      <c r="O66" s="314">
        <v>0</v>
      </c>
      <c r="P66" s="313">
        <f t="shared" si="26"/>
        <v>0</v>
      </c>
      <c r="Q66" s="313">
        <f t="shared" si="27"/>
        <v>0</v>
      </c>
      <c r="R66" s="313">
        <f t="shared" si="28"/>
        <v>0</v>
      </c>
      <c r="S66" s="313">
        <f t="shared" si="29"/>
        <v>0</v>
      </c>
      <c r="T66" s="313">
        <f t="shared" si="30"/>
        <v>0</v>
      </c>
      <c r="U66" s="315">
        <v>0</v>
      </c>
      <c r="V66" s="449">
        <f t="shared" si="23"/>
        <v>0</v>
      </c>
    </row>
    <row r="67" spans="2:22" s="28" customFormat="1">
      <c r="B67" s="83">
        <v>20</v>
      </c>
      <c r="C67" s="28">
        <f t="shared" si="16"/>
        <v>0</v>
      </c>
      <c r="D67" s="28">
        <f t="shared" si="17"/>
        <v>0</v>
      </c>
      <c r="E67" s="84">
        <v>0</v>
      </c>
      <c r="F67" s="28">
        <f t="shared" si="18"/>
        <v>0</v>
      </c>
      <c r="G67" s="28">
        <f t="shared" si="19"/>
        <v>0</v>
      </c>
      <c r="H67" s="28">
        <f t="shared" si="20"/>
        <v>0</v>
      </c>
      <c r="I67" s="28">
        <f t="shared" si="21"/>
        <v>0</v>
      </c>
      <c r="J67" s="28">
        <f t="shared" si="22"/>
        <v>0</v>
      </c>
      <c r="K67" s="29">
        <v>0</v>
      </c>
      <c r="M67" s="312">
        <f t="shared" si="24"/>
        <v>0</v>
      </c>
      <c r="N67" s="313">
        <f t="shared" si="25"/>
        <v>0</v>
      </c>
      <c r="O67" s="314">
        <v>0</v>
      </c>
      <c r="P67" s="313">
        <f t="shared" si="26"/>
        <v>0</v>
      </c>
      <c r="Q67" s="313">
        <f t="shared" si="27"/>
        <v>0</v>
      </c>
      <c r="R67" s="313">
        <f t="shared" si="28"/>
        <v>0</v>
      </c>
      <c r="S67" s="313">
        <f t="shared" si="29"/>
        <v>0</v>
      </c>
      <c r="T67" s="313">
        <f t="shared" si="30"/>
        <v>0</v>
      </c>
      <c r="U67" s="315">
        <v>0</v>
      </c>
      <c r="V67" s="449">
        <f t="shared" si="23"/>
        <v>0</v>
      </c>
    </row>
    <row r="68" spans="2:22" s="111" customFormat="1">
      <c r="B68" s="116">
        <v>21</v>
      </c>
      <c r="C68" s="111">
        <f t="shared" si="16"/>
        <v>0</v>
      </c>
      <c r="D68" s="111">
        <f t="shared" si="17"/>
        <v>0</v>
      </c>
      <c r="E68" s="111">
        <v>0</v>
      </c>
      <c r="F68" s="111">
        <f t="shared" si="18"/>
        <v>0</v>
      </c>
      <c r="G68" s="111">
        <f t="shared" si="19"/>
        <v>0</v>
      </c>
      <c r="H68" s="111">
        <f t="shared" si="20"/>
        <v>0</v>
      </c>
      <c r="I68" s="111">
        <f t="shared" si="21"/>
        <v>0</v>
      </c>
      <c r="J68" s="111">
        <f t="shared" si="22"/>
        <v>0</v>
      </c>
      <c r="K68" s="180">
        <v>0</v>
      </c>
      <c r="M68" s="462">
        <f>(EXP(-$C$44))*M67+((1-(EXP(-$C$44)))/$C$44)*P31</f>
        <v>0</v>
      </c>
      <c r="N68" s="463">
        <f>(EXP(-$D$44))*N67+((1-(EXP(-$D$44)))/$D$44)*P32</f>
        <v>0</v>
      </c>
      <c r="O68" s="463">
        <v>0</v>
      </c>
      <c r="P68" s="463">
        <f>(EXP(-$F$44))*P67+((1-(EXP(-$F$44)))/$F$44)*P34</f>
        <v>0</v>
      </c>
      <c r="Q68" s="463">
        <f>(EXP(-$F$44))*Q67+((1-(EXP(-$F$44)))/$F$44)*P35</f>
        <v>0</v>
      </c>
      <c r="R68" s="463">
        <f>(EXP(-$H$44))*R67+((1-(EXP(-$H$44)))/$H$44)*P36</f>
        <v>0</v>
      </c>
      <c r="S68" s="463">
        <f>(EXP(-$I$44))*S67+((1-(EXP(-$I$44)))/$I$44)*P37</f>
        <v>0</v>
      </c>
      <c r="T68" s="463">
        <f>(EXP(-$J$44))*T67+((1-(EXP(-$J$44)))/$J$44)*P38</f>
        <v>0</v>
      </c>
      <c r="U68" s="464">
        <v>0</v>
      </c>
      <c r="V68" s="456">
        <f>SUM(M68:U68)</f>
        <v>0</v>
      </c>
    </row>
    <row r="69" spans="2:22" s="28" customFormat="1">
      <c r="B69" s="83">
        <v>22</v>
      </c>
      <c r="C69" s="28">
        <f t="shared" si="16"/>
        <v>0</v>
      </c>
      <c r="D69" s="28">
        <f t="shared" si="17"/>
        <v>0</v>
      </c>
      <c r="E69" s="84">
        <v>0</v>
      </c>
      <c r="F69" s="28">
        <f t="shared" si="18"/>
        <v>0</v>
      </c>
      <c r="G69" s="28">
        <f t="shared" si="19"/>
        <v>0</v>
      </c>
      <c r="H69" s="28">
        <f t="shared" si="20"/>
        <v>0</v>
      </c>
      <c r="I69" s="28">
        <f t="shared" si="21"/>
        <v>0</v>
      </c>
      <c r="J69" s="28">
        <f t="shared" si="22"/>
        <v>0</v>
      </c>
      <c r="K69" s="29">
        <v>0</v>
      </c>
      <c r="M69" s="83">
        <f>(EXP(-$C$44))*M68+((1-(EXP(-$C$44)))/$C$44)*$C$42</f>
        <v>0</v>
      </c>
      <c r="N69" s="28">
        <f>(EXP(-$D$44))*N68+((1-(EXP(-$D$44)))/$D$44)*$C$42</f>
        <v>0</v>
      </c>
      <c r="O69" s="84">
        <v>0</v>
      </c>
      <c r="P69" s="28">
        <f>(EXP(-$F$44))*P68+((1-(EXP(-$F$44)))/$F$44)*$C$42</f>
        <v>0</v>
      </c>
      <c r="Q69" s="28">
        <f>(EXP(-$F$44))*Q68+((1-(EXP(-$F$44)))/$F$44)*$C$42</f>
        <v>0</v>
      </c>
      <c r="R69" s="28">
        <f>(EXP(-$H$44))*R68+((1-(EXP(-$H$44)))/$H$44)*$C$42</f>
        <v>0</v>
      </c>
      <c r="S69" s="28">
        <f>(EXP(-$I$44))*S68+((1-(EXP(-$I$44)))/$I$44)*$C$42</f>
        <v>0</v>
      </c>
      <c r="T69" s="28">
        <f>(EXP(-$J$44))*T68+((1-(EXP(-$J$44)))/$J$44)*$C$42</f>
        <v>0</v>
      </c>
      <c r="U69" s="29">
        <v>0</v>
      </c>
      <c r="V69" s="449">
        <f t="shared" si="23"/>
        <v>0</v>
      </c>
    </row>
    <row r="70" spans="2:22" s="28" customFormat="1">
      <c r="B70" s="83">
        <v>23</v>
      </c>
      <c r="C70" s="28">
        <f t="shared" si="16"/>
        <v>0</v>
      </c>
      <c r="D70" s="28">
        <f t="shared" si="17"/>
        <v>0</v>
      </c>
      <c r="E70" s="84">
        <v>0</v>
      </c>
      <c r="F70" s="28">
        <f t="shared" si="18"/>
        <v>0</v>
      </c>
      <c r="G70" s="28">
        <f t="shared" si="19"/>
        <v>0</v>
      </c>
      <c r="H70" s="28">
        <f t="shared" si="20"/>
        <v>0</v>
      </c>
      <c r="I70" s="28">
        <f t="shared" si="21"/>
        <v>0</v>
      </c>
      <c r="J70" s="28">
        <f t="shared" si="22"/>
        <v>0</v>
      </c>
      <c r="K70" s="29">
        <v>0</v>
      </c>
      <c r="M70" s="83">
        <f t="shared" ref="M70:M98" si="31">(EXP(-$C$44))*M69+((1-(EXP(-$C$44)))/$C$44)*$C$42</f>
        <v>0</v>
      </c>
      <c r="N70" s="28">
        <f t="shared" ref="N70:N98" si="32">(EXP(-$D$44))*N69+((1-(EXP(-$D$44)))/$D$44)*$C$42</f>
        <v>0</v>
      </c>
      <c r="O70" s="84">
        <v>0</v>
      </c>
      <c r="P70" s="28">
        <f t="shared" ref="P70:P98" si="33">(EXP(-$F$44))*P69+((1-(EXP(-$F$44)))/$F$44)*$C$42</f>
        <v>0</v>
      </c>
      <c r="Q70" s="28">
        <f t="shared" ref="Q70:Q96" si="34">(EXP(-$F$44))*Q69+((1-(EXP(-$F$44)))/$F$44)*$C$42</f>
        <v>0</v>
      </c>
      <c r="R70" s="28">
        <f t="shared" ref="R70:R96" si="35">(EXP(-$H$44))*R69+((1-(EXP(-$H$44)))/$H$44)*$C$42</f>
        <v>0</v>
      </c>
      <c r="S70" s="28">
        <f t="shared" ref="S70:S96" si="36">(EXP(-$I$44))*S69+((1-(EXP(-$I$44)))/$I$44)*$C$42</f>
        <v>0</v>
      </c>
      <c r="T70" s="28">
        <f t="shared" ref="T70:T96" si="37">(EXP(-$J$44))*T69+((1-(EXP(-$J$44)))/$J$44)*$C$42</f>
        <v>0</v>
      </c>
      <c r="U70" s="29">
        <v>0</v>
      </c>
      <c r="V70" s="449">
        <f t="shared" si="23"/>
        <v>0</v>
      </c>
    </row>
    <row r="71" spans="2:22" s="28" customFormat="1">
      <c r="B71" s="83">
        <v>24</v>
      </c>
      <c r="C71" s="28">
        <f t="shared" si="16"/>
        <v>0</v>
      </c>
      <c r="D71" s="28">
        <f t="shared" si="17"/>
        <v>0</v>
      </c>
      <c r="E71" s="84">
        <v>0</v>
      </c>
      <c r="F71" s="28">
        <f t="shared" si="18"/>
        <v>0</v>
      </c>
      <c r="G71" s="28">
        <f t="shared" si="19"/>
        <v>0</v>
      </c>
      <c r="H71" s="28">
        <f t="shared" si="20"/>
        <v>0</v>
      </c>
      <c r="I71" s="28">
        <f t="shared" si="21"/>
        <v>0</v>
      </c>
      <c r="J71" s="28">
        <f t="shared" si="22"/>
        <v>0</v>
      </c>
      <c r="K71" s="29">
        <v>0</v>
      </c>
      <c r="M71" s="83">
        <f t="shared" si="31"/>
        <v>0</v>
      </c>
      <c r="N71" s="28">
        <f t="shared" si="32"/>
        <v>0</v>
      </c>
      <c r="O71" s="84">
        <v>0</v>
      </c>
      <c r="P71" s="28">
        <f t="shared" si="33"/>
        <v>0</v>
      </c>
      <c r="Q71" s="28">
        <f t="shared" si="34"/>
        <v>0</v>
      </c>
      <c r="R71" s="28">
        <f t="shared" si="35"/>
        <v>0</v>
      </c>
      <c r="S71" s="28">
        <f t="shared" si="36"/>
        <v>0</v>
      </c>
      <c r="T71" s="28">
        <f t="shared" si="37"/>
        <v>0</v>
      </c>
      <c r="U71" s="29">
        <v>0</v>
      </c>
      <c r="V71" s="449">
        <f t="shared" si="23"/>
        <v>0</v>
      </c>
    </row>
    <row r="72" spans="2:22" s="28" customFormat="1">
      <c r="B72" s="83">
        <v>25</v>
      </c>
      <c r="C72" s="28">
        <f t="shared" si="16"/>
        <v>0</v>
      </c>
      <c r="D72" s="28">
        <f t="shared" si="17"/>
        <v>0</v>
      </c>
      <c r="E72" s="84">
        <v>0</v>
      </c>
      <c r="F72" s="28">
        <f t="shared" si="18"/>
        <v>0</v>
      </c>
      <c r="G72" s="28">
        <f t="shared" si="19"/>
        <v>0</v>
      </c>
      <c r="H72" s="28">
        <f t="shared" si="20"/>
        <v>0</v>
      </c>
      <c r="I72" s="28">
        <f t="shared" si="21"/>
        <v>0</v>
      </c>
      <c r="J72" s="28">
        <f t="shared" si="22"/>
        <v>0</v>
      </c>
      <c r="K72" s="29">
        <v>0</v>
      </c>
      <c r="M72" s="83">
        <f t="shared" si="31"/>
        <v>0</v>
      </c>
      <c r="N72" s="28">
        <f t="shared" si="32"/>
        <v>0</v>
      </c>
      <c r="O72" s="84">
        <v>0</v>
      </c>
      <c r="P72" s="28">
        <f t="shared" si="33"/>
        <v>0</v>
      </c>
      <c r="Q72" s="28">
        <f t="shared" si="34"/>
        <v>0</v>
      </c>
      <c r="R72" s="28">
        <f t="shared" si="35"/>
        <v>0</v>
      </c>
      <c r="S72" s="28">
        <f t="shared" si="36"/>
        <v>0</v>
      </c>
      <c r="T72" s="28">
        <f t="shared" si="37"/>
        <v>0</v>
      </c>
      <c r="U72" s="29">
        <v>0</v>
      </c>
      <c r="V72" s="449">
        <f t="shared" si="23"/>
        <v>0</v>
      </c>
    </row>
    <row r="73" spans="2:22" s="28" customFormat="1">
      <c r="B73" s="83">
        <v>26</v>
      </c>
      <c r="C73" s="28">
        <f t="shared" si="16"/>
        <v>0</v>
      </c>
      <c r="D73" s="28">
        <f t="shared" si="17"/>
        <v>0</v>
      </c>
      <c r="E73" s="84">
        <v>0</v>
      </c>
      <c r="F73" s="28">
        <f t="shared" si="18"/>
        <v>0</v>
      </c>
      <c r="G73" s="28">
        <f t="shared" si="19"/>
        <v>0</v>
      </c>
      <c r="H73" s="28">
        <f t="shared" si="20"/>
        <v>0</v>
      </c>
      <c r="I73" s="28">
        <f t="shared" si="21"/>
        <v>0</v>
      </c>
      <c r="J73" s="28">
        <f t="shared" si="22"/>
        <v>0</v>
      </c>
      <c r="K73" s="29">
        <v>0</v>
      </c>
      <c r="M73" s="83">
        <f t="shared" si="31"/>
        <v>0</v>
      </c>
      <c r="N73" s="28">
        <f>(EXP(-$D$44))*N72+((1-(EXP(-$D$44)))/$D$44)*$C$42</f>
        <v>0</v>
      </c>
      <c r="O73" s="84">
        <v>0</v>
      </c>
      <c r="P73" s="28">
        <f t="shared" si="33"/>
        <v>0</v>
      </c>
      <c r="Q73" s="28">
        <f t="shared" si="34"/>
        <v>0</v>
      </c>
      <c r="R73" s="28">
        <f t="shared" si="35"/>
        <v>0</v>
      </c>
      <c r="S73" s="28">
        <f t="shared" si="36"/>
        <v>0</v>
      </c>
      <c r="T73" s="28">
        <f t="shared" si="37"/>
        <v>0</v>
      </c>
      <c r="U73" s="29">
        <v>0</v>
      </c>
      <c r="V73" s="449">
        <f t="shared" si="23"/>
        <v>0</v>
      </c>
    </row>
    <row r="74" spans="2:22" s="28" customFormat="1">
      <c r="B74" s="83">
        <v>27</v>
      </c>
      <c r="C74" s="28">
        <f t="shared" si="16"/>
        <v>0</v>
      </c>
      <c r="D74" s="28">
        <f t="shared" si="17"/>
        <v>0</v>
      </c>
      <c r="E74" s="84">
        <v>0</v>
      </c>
      <c r="F74" s="28">
        <f t="shared" si="18"/>
        <v>0</v>
      </c>
      <c r="G74" s="28">
        <f t="shared" si="19"/>
        <v>0</v>
      </c>
      <c r="H74" s="28">
        <f t="shared" si="20"/>
        <v>0</v>
      </c>
      <c r="I74" s="28">
        <f t="shared" si="21"/>
        <v>0</v>
      </c>
      <c r="J74" s="28">
        <f t="shared" si="22"/>
        <v>0</v>
      </c>
      <c r="K74" s="29">
        <v>0</v>
      </c>
      <c r="M74" s="83">
        <f t="shared" si="31"/>
        <v>0</v>
      </c>
      <c r="N74" s="28">
        <f t="shared" si="32"/>
        <v>0</v>
      </c>
      <c r="O74" s="84">
        <v>0</v>
      </c>
      <c r="P74" s="28">
        <f t="shared" si="33"/>
        <v>0</v>
      </c>
      <c r="Q74" s="28">
        <f t="shared" si="34"/>
        <v>0</v>
      </c>
      <c r="R74" s="28">
        <f t="shared" si="35"/>
        <v>0</v>
      </c>
      <c r="S74" s="28">
        <f t="shared" si="36"/>
        <v>0</v>
      </c>
      <c r="T74" s="28">
        <f t="shared" si="37"/>
        <v>0</v>
      </c>
      <c r="U74" s="29">
        <v>0</v>
      </c>
      <c r="V74" s="449">
        <f t="shared" si="23"/>
        <v>0</v>
      </c>
    </row>
    <row r="75" spans="2:22" s="28" customFormat="1">
      <c r="B75" s="83">
        <v>28</v>
      </c>
      <c r="C75" s="28">
        <f t="shared" si="16"/>
        <v>0</v>
      </c>
      <c r="D75" s="28">
        <f t="shared" si="17"/>
        <v>0</v>
      </c>
      <c r="E75" s="84">
        <v>0</v>
      </c>
      <c r="F75" s="28">
        <f t="shared" si="18"/>
        <v>0</v>
      </c>
      <c r="G75" s="28">
        <f t="shared" si="19"/>
        <v>0</v>
      </c>
      <c r="H75" s="28">
        <f t="shared" si="20"/>
        <v>0</v>
      </c>
      <c r="I75" s="28">
        <f t="shared" si="21"/>
        <v>0</v>
      </c>
      <c r="J75" s="28">
        <f t="shared" si="22"/>
        <v>0</v>
      </c>
      <c r="K75" s="29">
        <v>0</v>
      </c>
      <c r="M75" s="83">
        <f t="shared" si="31"/>
        <v>0</v>
      </c>
      <c r="N75" s="28">
        <f t="shared" si="32"/>
        <v>0</v>
      </c>
      <c r="O75" s="84">
        <v>0</v>
      </c>
      <c r="P75" s="28">
        <f t="shared" si="33"/>
        <v>0</v>
      </c>
      <c r="Q75" s="28">
        <f t="shared" si="34"/>
        <v>0</v>
      </c>
      <c r="R75" s="28">
        <f t="shared" si="35"/>
        <v>0</v>
      </c>
      <c r="S75" s="28">
        <f t="shared" si="36"/>
        <v>0</v>
      </c>
      <c r="T75" s="28">
        <f t="shared" si="37"/>
        <v>0</v>
      </c>
      <c r="U75" s="29">
        <v>0</v>
      </c>
      <c r="V75" s="449">
        <f t="shared" si="23"/>
        <v>0</v>
      </c>
    </row>
    <row r="76" spans="2:22" s="28" customFormat="1">
      <c r="B76" s="83">
        <v>29</v>
      </c>
      <c r="C76" s="28">
        <f t="shared" si="16"/>
        <v>0</v>
      </c>
      <c r="D76" s="28">
        <f t="shared" si="17"/>
        <v>0</v>
      </c>
      <c r="E76" s="84">
        <v>0</v>
      </c>
      <c r="F76" s="28">
        <f t="shared" si="18"/>
        <v>0</v>
      </c>
      <c r="G76" s="28">
        <f t="shared" si="19"/>
        <v>0</v>
      </c>
      <c r="H76" s="28">
        <f t="shared" si="20"/>
        <v>0</v>
      </c>
      <c r="I76" s="28">
        <f t="shared" si="21"/>
        <v>0</v>
      </c>
      <c r="J76" s="28">
        <f t="shared" si="22"/>
        <v>0</v>
      </c>
      <c r="K76" s="29">
        <v>0</v>
      </c>
      <c r="M76" s="83">
        <f t="shared" si="31"/>
        <v>0</v>
      </c>
      <c r="N76" s="28">
        <f t="shared" si="32"/>
        <v>0</v>
      </c>
      <c r="O76" s="84">
        <v>0</v>
      </c>
      <c r="P76" s="28">
        <f t="shared" si="33"/>
        <v>0</v>
      </c>
      <c r="Q76" s="28">
        <f t="shared" si="34"/>
        <v>0</v>
      </c>
      <c r="R76" s="28">
        <f t="shared" si="35"/>
        <v>0</v>
      </c>
      <c r="S76" s="28">
        <f t="shared" si="36"/>
        <v>0</v>
      </c>
      <c r="T76" s="28">
        <f t="shared" si="37"/>
        <v>0</v>
      </c>
      <c r="U76" s="29">
        <v>0</v>
      </c>
      <c r="V76" s="449">
        <f t="shared" si="23"/>
        <v>0</v>
      </c>
    </row>
    <row r="77" spans="2:22" s="28" customFormat="1">
      <c r="B77" s="83">
        <v>30</v>
      </c>
      <c r="C77" s="28">
        <f t="shared" si="16"/>
        <v>0</v>
      </c>
      <c r="D77" s="28">
        <f t="shared" si="17"/>
        <v>0</v>
      </c>
      <c r="E77" s="84">
        <v>0</v>
      </c>
      <c r="F77" s="28">
        <f t="shared" si="18"/>
        <v>0</v>
      </c>
      <c r="G77" s="28">
        <f t="shared" si="19"/>
        <v>0</v>
      </c>
      <c r="H77" s="28">
        <f t="shared" si="20"/>
        <v>0</v>
      </c>
      <c r="I77" s="28">
        <f t="shared" si="21"/>
        <v>0</v>
      </c>
      <c r="J77" s="28">
        <f t="shared" si="22"/>
        <v>0</v>
      </c>
      <c r="K77" s="29">
        <v>0</v>
      </c>
      <c r="M77" s="83">
        <f t="shared" si="31"/>
        <v>0</v>
      </c>
      <c r="N77" s="28">
        <f t="shared" si="32"/>
        <v>0</v>
      </c>
      <c r="O77" s="84">
        <v>0</v>
      </c>
      <c r="P77" s="28">
        <f t="shared" si="33"/>
        <v>0</v>
      </c>
      <c r="Q77" s="28">
        <f t="shared" si="34"/>
        <v>0</v>
      </c>
      <c r="R77" s="28">
        <f t="shared" si="35"/>
        <v>0</v>
      </c>
      <c r="S77" s="28">
        <f t="shared" si="36"/>
        <v>0</v>
      </c>
      <c r="T77" s="28">
        <f t="shared" si="37"/>
        <v>0</v>
      </c>
      <c r="U77" s="29">
        <v>0</v>
      </c>
      <c r="V77" s="449">
        <f t="shared" si="23"/>
        <v>0</v>
      </c>
    </row>
    <row r="78" spans="2:22" s="28" customFormat="1">
      <c r="B78" s="83">
        <v>31</v>
      </c>
      <c r="C78" s="28">
        <f t="shared" si="16"/>
        <v>0</v>
      </c>
      <c r="D78" s="28">
        <f t="shared" si="17"/>
        <v>0</v>
      </c>
      <c r="E78" s="84">
        <v>0</v>
      </c>
      <c r="F78" s="28">
        <f t="shared" si="18"/>
        <v>0</v>
      </c>
      <c r="G78" s="28">
        <f t="shared" si="19"/>
        <v>0</v>
      </c>
      <c r="H78" s="28">
        <f t="shared" si="20"/>
        <v>0</v>
      </c>
      <c r="I78" s="28">
        <f t="shared" si="21"/>
        <v>0</v>
      </c>
      <c r="J78" s="28">
        <f t="shared" si="22"/>
        <v>0</v>
      </c>
      <c r="K78" s="29">
        <v>0</v>
      </c>
      <c r="M78" s="83">
        <f t="shared" si="31"/>
        <v>0</v>
      </c>
      <c r="N78" s="28">
        <f t="shared" si="32"/>
        <v>0</v>
      </c>
      <c r="O78" s="84">
        <v>0</v>
      </c>
      <c r="P78" s="28">
        <f t="shared" si="33"/>
        <v>0</v>
      </c>
      <c r="Q78" s="28">
        <f t="shared" si="34"/>
        <v>0</v>
      </c>
      <c r="R78" s="28">
        <f t="shared" si="35"/>
        <v>0</v>
      </c>
      <c r="S78" s="28">
        <f t="shared" si="36"/>
        <v>0</v>
      </c>
      <c r="T78" s="28">
        <f t="shared" si="37"/>
        <v>0</v>
      </c>
      <c r="U78" s="29">
        <v>0</v>
      </c>
      <c r="V78" s="449">
        <f t="shared" si="23"/>
        <v>0</v>
      </c>
    </row>
    <row r="79" spans="2:22" s="28" customFormat="1">
      <c r="B79" s="83">
        <v>32</v>
      </c>
      <c r="C79" s="28">
        <f t="shared" si="16"/>
        <v>0</v>
      </c>
      <c r="D79" s="28">
        <f t="shared" si="17"/>
        <v>0</v>
      </c>
      <c r="E79" s="84">
        <v>0</v>
      </c>
      <c r="F79" s="28">
        <f t="shared" si="18"/>
        <v>0</v>
      </c>
      <c r="G79" s="28">
        <f t="shared" si="19"/>
        <v>0</v>
      </c>
      <c r="H79" s="28">
        <f t="shared" si="20"/>
        <v>0</v>
      </c>
      <c r="I79" s="28">
        <f t="shared" si="21"/>
        <v>0</v>
      </c>
      <c r="J79" s="28">
        <f t="shared" si="22"/>
        <v>0</v>
      </c>
      <c r="K79" s="29">
        <v>0</v>
      </c>
      <c r="M79" s="83">
        <f t="shared" si="31"/>
        <v>0</v>
      </c>
      <c r="N79" s="28">
        <f t="shared" si="32"/>
        <v>0</v>
      </c>
      <c r="O79" s="84">
        <v>0</v>
      </c>
      <c r="P79" s="28">
        <f t="shared" si="33"/>
        <v>0</v>
      </c>
      <c r="Q79" s="28">
        <f t="shared" si="34"/>
        <v>0</v>
      </c>
      <c r="R79" s="28">
        <f t="shared" si="35"/>
        <v>0</v>
      </c>
      <c r="S79" s="28">
        <f t="shared" si="36"/>
        <v>0</v>
      </c>
      <c r="T79" s="28">
        <f t="shared" si="37"/>
        <v>0</v>
      </c>
      <c r="U79" s="29">
        <v>0</v>
      </c>
      <c r="V79" s="449">
        <f t="shared" si="23"/>
        <v>0</v>
      </c>
    </row>
    <row r="80" spans="2:22" s="28" customFormat="1">
      <c r="B80" s="83">
        <v>33</v>
      </c>
      <c r="C80" s="28">
        <f t="shared" ref="C80:C96" si="38">(1*10^(-$C$44))*C79+((1-(1*10^(-$C$44)))/$C$44)*$C$42</f>
        <v>0</v>
      </c>
      <c r="D80" s="28">
        <f t="shared" ref="D80:D96" si="39">(1*10^(-$D$44))*D79+((1-(1*10^(-$D$44)))/$D$44)*$C$42</f>
        <v>0</v>
      </c>
      <c r="E80" s="84">
        <v>0</v>
      </c>
      <c r="F80" s="28">
        <f t="shared" ref="F80:F96" si="40">(1*10^(-$F$44))*F79+((1-(1*10^(-$F$44)))/$F$44)*$C$42</f>
        <v>0</v>
      </c>
      <c r="G80" s="28">
        <f t="shared" ref="G80:G96" si="41">(1*10^(-$F$44))*G79+((1-(1*10^(-$F$44)))/$F$44)*$C$42</f>
        <v>0</v>
      </c>
      <c r="H80" s="28">
        <f t="shared" ref="H80:H96" si="42">(1*10^(-$H$44))*H79+((1-(1*10^(-$H$44)))/$H$44)*$C$42</f>
        <v>0</v>
      </c>
      <c r="I80" s="28">
        <f t="shared" ref="I80:I96" si="43">(1*10^(-$I$44))*I79+((1-(1*10^(-$I$44)))/$I$44)*$C$42</f>
        <v>0</v>
      </c>
      <c r="J80" s="28">
        <f t="shared" ref="J80:J96" si="44">(1*10^(-$J$44))*J79+((1-(1*10^(-$J$44)))/$J$44)*$C$42</f>
        <v>0</v>
      </c>
      <c r="K80" s="29">
        <v>0</v>
      </c>
      <c r="M80" s="83">
        <f t="shared" si="31"/>
        <v>0</v>
      </c>
      <c r="N80" s="28">
        <f t="shared" si="32"/>
        <v>0</v>
      </c>
      <c r="O80" s="84">
        <v>0</v>
      </c>
      <c r="P80" s="28">
        <f t="shared" si="33"/>
        <v>0</v>
      </c>
      <c r="Q80" s="28">
        <f t="shared" si="34"/>
        <v>0</v>
      </c>
      <c r="R80" s="28">
        <f t="shared" si="35"/>
        <v>0</v>
      </c>
      <c r="S80" s="28">
        <f t="shared" si="36"/>
        <v>0</v>
      </c>
      <c r="T80" s="28">
        <f t="shared" si="37"/>
        <v>0</v>
      </c>
      <c r="U80" s="29">
        <v>0</v>
      </c>
      <c r="V80" s="449">
        <f t="shared" si="23"/>
        <v>0</v>
      </c>
    </row>
    <row r="81" spans="2:32" s="28" customFormat="1">
      <c r="B81" s="83">
        <v>34</v>
      </c>
      <c r="C81" s="28">
        <f t="shared" si="38"/>
        <v>0</v>
      </c>
      <c r="D81" s="28">
        <f t="shared" si="39"/>
        <v>0</v>
      </c>
      <c r="E81" s="84">
        <v>0</v>
      </c>
      <c r="F81" s="28">
        <f t="shared" si="40"/>
        <v>0</v>
      </c>
      <c r="G81" s="28">
        <f t="shared" si="41"/>
        <v>0</v>
      </c>
      <c r="H81" s="28">
        <f t="shared" si="42"/>
        <v>0</v>
      </c>
      <c r="I81" s="28">
        <f t="shared" si="43"/>
        <v>0</v>
      </c>
      <c r="J81" s="28">
        <f t="shared" si="44"/>
        <v>0</v>
      </c>
      <c r="K81" s="29">
        <v>0</v>
      </c>
      <c r="M81" s="83">
        <f t="shared" si="31"/>
        <v>0</v>
      </c>
      <c r="N81" s="28">
        <f t="shared" si="32"/>
        <v>0</v>
      </c>
      <c r="O81" s="84">
        <v>0</v>
      </c>
      <c r="P81" s="28">
        <f t="shared" si="33"/>
        <v>0</v>
      </c>
      <c r="Q81" s="28">
        <f t="shared" si="34"/>
        <v>0</v>
      </c>
      <c r="R81" s="28">
        <f t="shared" si="35"/>
        <v>0</v>
      </c>
      <c r="S81" s="28">
        <f t="shared" si="36"/>
        <v>0</v>
      </c>
      <c r="T81" s="28">
        <f t="shared" si="37"/>
        <v>0</v>
      </c>
      <c r="U81" s="29">
        <v>0</v>
      </c>
      <c r="V81" s="449">
        <f t="shared" si="23"/>
        <v>0</v>
      </c>
    </row>
    <row r="82" spans="2:32" s="28" customFormat="1">
      <c r="B82" s="83">
        <v>35</v>
      </c>
      <c r="C82" s="28">
        <f t="shared" si="38"/>
        <v>0</v>
      </c>
      <c r="D82" s="28">
        <f t="shared" si="39"/>
        <v>0</v>
      </c>
      <c r="E82" s="84">
        <v>0</v>
      </c>
      <c r="F82" s="28">
        <f t="shared" si="40"/>
        <v>0</v>
      </c>
      <c r="G82" s="28">
        <f t="shared" si="41"/>
        <v>0</v>
      </c>
      <c r="H82" s="28">
        <f t="shared" si="42"/>
        <v>0</v>
      </c>
      <c r="I82" s="28">
        <f t="shared" si="43"/>
        <v>0</v>
      </c>
      <c r="J82" s="28">
        <f t="shared" si="44"/>
        <v>0</v>
      </c>
      <c r="K82" s="29">
        <v>0</v>
      </c>
      <c r="M82" s="83">
        <f t="shared" si="31"/>
        <v>0</v>
      </c>
      <c r="N82" s="28">
        <f t="shared" si="32"/>
        <v>0</v>
      </c>
      <c r="O82" s="84">
        <v>0</v>
      </c>
      <c r="P82" s="28">
        <f t="shared" si="33"/>
        <v>0</v>
      </c>
      <c r="Q82" s="28">
        <f t="shared" si="34"/>
        <v>0</v>
      </c>
      <c r="R82" s="28">
        <f t="shared" si="35"/>
        <v>0</v>
      </c>
      <c r="S82" s="28">
        <f t="shared" si="36"/>
        <v>0</v>
      </c>
      <c r="T82" s="28">
        <f t="shared" si="37"/>
        <v>0</v>
      </c>
      <c r="U82" s="29">
        <v>0</v>
      </c>
      <c r="V82" s="449">
        <f t="shared" si="23"/>
        <v>0</v>
      </c>
    </row>
    <row r="83" spans="2:32" s="28" customFormat="1">
      <c r="B83" s="83">
        <v>36</v>
      </c>
      <c r="C83" s="28">
        <f t="shared" si="38"/>
        <v>0</v>
      </c>
      <c r="D83" s="28">
        <f t="shared" si="39"/>
        <v>0</v>
      </c>
      <c r="E83" s="84">
        <v>0</v>
      </c>
      <c r="F83" s="28">
        <f t="shared" si="40"/>
        <v>0</v>
      </c>
      <c r="G83" s="28">
        <f t="shared" si="41"/>
        <v>0</v>
      </c>
      <c r="H83" s="28">
        <f t="shared" si="42"/>
        <v>0</v>
      </c>
      <c r="I83" s="28">
        <f t="shared" si="43"/>
        <v>0</v>
      </c>
      <c r="J83" s="28">
        <f t="shared" si="44"/>
        <v>0</v>
      </c>
      <c r="K83" s="29">
        <v>0</v>
      </c>
      <c r="M83" s="83">
        <f t="shared" si="31"/>
        <v>0</v>
      </c>
      <c r="N83" s="28">
        <f t="shared" si="32"/>
        <v>0</v>
      </c>
      <c r="O83" s="84">
        <v>0</v>
      </c>
      <c r="P83" s="28">
        <f t="shared" si="33"/>
        <v>0</v>
      </c>
      <c r="Q83" s="28">
        <f t="shared" si="34"/>
        <v>0</v>
      </c>
      <c r="R83" s="28">
        <f t="shared" si="35"/>
        <v>0</v>
      </c>
      <c r="S83" s="28">
        <f t="shared" si="36"/>
        <v>0</v>
      </c>
      <c r="T83" s="28">
        <f t="shared" si="37"/>
        <v>0</v>
      </c>
      <c r="U83" s="29">
        <v>0</v>
      </c>
      <c r="V83" s="449">
        <f t="shared" si="23"/>
        <v>0</v>
      </c>
    </row>
    <row r="84" spans="2:32" s="28" customFormat="1">
      <c r="B84" s="83">
        <v>37</v>
      </c>
      <c r="C84" s="28">
        <f t="shared" si="38"/>
        <v>0</v>
      </c>
      <c r="D84" s="28">
        <f t="shared" si="39"/>
        <v>0</v>
      </c>
      <c r="E84" s="84">
        <v>0</v>
      </c>
      <c r="F84" s="28">
        <f t="shared" si="40"/>
        <v>0</v>
      </c>
      <c r="G84" s="28">
        <f t="shared" si="41"/>
        <v>0</v>
      </c>
      <c r="H84" s="28">
        <f t="shared" si="42"/>
        <v>0</v>
      </c>
      <c r="I84" s="28">
        <f t="shared" si="43"/>
        <v>0</v>
      </c>
      <c r="J84" s="28">
        <f t="shared" si="44"/>
        <v>0</v>
      </c>
      <c r="K84" s="29">
        <v>0</v>
      </c>
      <c r="M84" s="83">
        <f t="shared" si="31"/>
        <v>0</v>
      </c>
      <c r="N84" s="28">
        <f t="shared" si="32"/>
        <v>0</v>
      </c>
      <c r="O84" s="84">
        <v>0</v>
      </c>
      <c r="P84" s="28">
        <f t="shared" si="33"/>
        <v>0</v>
      </c>
      <c r="Q84" s="28">
        <f t="shared" si="34"/>
        <v>0</v>
      </c>
      <c r="R84" s="28">
        <f t="shared" si="35"/>
        <v>0</v>
      </c>
      <c r="S84" s="28">
        <f t="shared" si="36"/>
        <v>0</v>
      </c>
      <c r="T84" s="28">
        <f t="shared" si="37"/>
        <v>0</v>
      </c>
      <c r="U84" s="29">
        <v>0</v>
      </c>
      <c r="V84" s="449">
        <f t="shared" si="23"/>
        <v>0</v>
      </c>
    </row>
    <row r="85" spans="2:32" s="28" customFormat="1">
      <c r="B85" s="83">
        <v>38</v>
      </c>
      <c r="C85" s="28">
        <f t="shared" si="38"/>
        <v>0</v>
      </c>
      <c r="D85" s="28">
        <f t="shared" si="39"/>
        <v>0</v>
      </c>
      <c r="E85" s="84">
        <v>0</v>
      </c>
      <c r="F85" s="28">
        <f t="shared" si="40"/>
        <v>0</v>
      </c>
      <c r="G85" s="28">
        <f t="shared" si="41"/>
        <v>0</v>
      </c>
      <c r="H85" s="28">
        <f t="shared" si="42"/>
        <v>0</v>
      </c>
      <c r="I85" s="28">
        <f t="shared" si="43"/>
        <v>0</v>
      </c>
      <c r="J85" s="28">
        <f t="shared" si="44"/>
        <v>0</v>
      </c>
      <c r="K85" s="29">
        <v>0</v>
      </c>
      <c r="M85" s="83">
        <f t="shared" si="31"/>
        <v>0</v>
      </c>
      <c r="N85" s="28">
        <f t="shared" si="32"/>
        <v>0</v>
      </c>
      <c r="O85" s="84">
        <v>0</v>
      </c>
      <c r="P85" s="28">
        <f t="shared" si="33"/>
        <v>0</v>
      </c>
      <c r="Q85" s="28">
        <f t="shared" si="34"/>
        <v>0</v>
      </c>
      <c r="R85" s="28">
        <f t="shared" si="35"/>
        <v>0</v>
      </c>
      <c r="S85" s="28">
        <f t="shared" si="36"/>
        <v>0</v>
      </c>
      <c r="T85" s="28">
        <f t="shared" si="37"/>
        <v>0</v>
      </c>
      <c r="U85" s="29">
        <v>0</v>
      </c>
      <c r="V85" s="449">
        <f t="shared" si="23"/>
        <v>0</v>
      </c>
    </row>
    <row r="86" spans="2:32" s="28" customFormat="1">
      <c r="B86" s="83">
        <v>39</v>
      </c>
      <c r="C86" s="28">
        <f t="shared" si="38"/>
        <v>0</v>
      </c>
      <c r="D86" s="28">
        <f t="shared" si="39"/>
        <v>0</v>
      </c>
      <c r="E86" s="84">
        <v>0</v>
      </c>
      <c r="F86" s="28">
        <f t="shared" si="40"/>
        <v>0</v>
      </c>
      <c r="G86" s="28">
        <f t="shared" si="41"/>
        <v>0</v>
      </c>
      <c r="H86" s="28">
        <f t="shared" si="42"/>
        <v>0</v>
      </c>
      <c r="I86" s="28">
        <f t="shared" si="43"/>
        <v>0</v>
      </c>
      <c r="J86" s="28">
        <f t="shared" si="44"/>
        <v>0</v>
      </c>
      <c r="K86" s="29">
        <v>0</v>
      </c>
      <c r="M86" s="83">
        <f t="shared" si="31"/>
        <v>0</v>
      </c>
      <c r="N86" s="28">
        <f t="shared" si="32"/>
        <v>0</v>
      </c>
      <c r="O86" s="84">
        <v>0</v>
      </c>
      <c r="P86" s="28">
        <f t="shared" si="33"/>
        <v>0</v>
      </c>
      <c r="Q86" s="28">
        <f t="shared" si="34"/>
        <v>0</v>
      </c>
      <c r="R86" s="28">
        <f t="shared" si="35"/>
        <v>0</v>
      </c>
      <c r="S86" s="28">
        <f t="shared" si="36"/>
        <v>0</v>
      </c>
      <c r="T86" s="28">
        <f t="shared" si="37"/>
        <v>0</v>
      </c>
      <c r="U86" s="29">
        <v>0</v>
      </c>
      <c r="V86" s="449">
        <f t="shared" si="23"/>
        <v>0</v>
      </c>
    </row>
    <row r="87" spans="2:32" s="28" customFormat="1">
      <c r="B87" s="83">
        <v>40</v>
      </c>
      <c r="C87" s="28">
        <f t="shared" si="38"/>
        <v>0</v>
      </c>
      <c r="D87" s="28">
        <f t="shared" si="39"/>
        <v>0</v>
      </c>
      <c r="E87" s="84">
        <v>0</v>
      </c>
      <c r="F87" s="28">
        <f t="shared" si="40"/>
        <v>0</v>
      </c>
      <c r="G87" s="28">
        <f t="shared" si="41"/>
        <v>0</v>
      </c>
      <c r="H87" s="28">
        <f t="shared" si="42"/>
        <v>0</v>
      </c>
      <c r="I87" s="28">
        <f t="shared" si="43"/>
        <v>0</v>
      </c>
      <c r="J87" s="28">
        <f t="shared" si="44"/>
        <v>0</v>
      </c>
      <c r="K87" s="29">
        <v>0</v>
      </c>
      <c r="M87" s="83">
        <f t="shared" si="31"/>
        <v>0</v>
      </c>
      <c r="N87" s="28">
        <f t="shared" si="32"/>
        <v>0</v>
      </c>
      <c r="O87" s="84">
        <v>0</v>
      </c>
      <c r="P87" s="28">
        <f t="shared" si="33"/>
        <v>0</v>
      </c>
      <c r="Q87" s="28">
        <f t="shared" si="34"/>
        <v>0</v>
      </c>
      <c r="R87" s="28">
        <f t="shared" si="35"/>
        <v>0</v>
      </c>
      <c r="S87" s="28">
        <f t="shared" si="36"/>
        <v>0</v>
      </c>
      <c r="T87" s="28">
        <f t="shared" si="37"/>
        <v>0</v>
      </c>
      <c r="U87" s="29">
        <v>0</v>
      </c>
      <c r="V87" s="449">
        <f t="shared" si="23"/>
        <v>0</v>
      </c>
    </row>
    <row r="88" spans="2:32" s="28" customFormat="1">
      <c r="B88" s="83">
        <v>41</v>
      </c>
      <c r="C88" s="28">
        <f t="shared" si="38"/>
        <v>0</v>
      </c>
      <c r="D88" s="28">
        <f t="shared" si="39"/>
        <v>0</v>
      </c>
      <c r="E88" s="84">
        <v>0</v>
      </c>
      <c r="F88" s="28">
        <f t="shared" si="40"/>
        <v>0</v>
      </c>
      <c r="G88" s="28">
        <f t="shared" si="41"/>
        <v>0</v>
      </c>
      <c r="H88" s="28">
        <f t="shared" si="42"/>
        <v>0</v>
      </c>
      <c r="I88" s="28">
        <f t="shared" si="43"/>
        <v>0</v>
      </c>
      <c r="J88" s="28">
        <f t="shared" si="44"/>
        <v>0</v>
      </c>
      <c r="K88" s="29">
        <v>0</v>
      </c>
      <c r="M88" s="83">
        <f t="shared" si="31"/>
        <v>0</v>
      </c>
      <c r="N88" s="28">
        <f t="shared" si="32"/>
        <v>0</v>
      </c>
      <c r="O88" s="84">
        <v>0</v>
      </c>
      <c r="P88" s="28">
        <f t="shared" si="33"/>
        <v>0</v>
      </c>
      <c r="Q88" s="28">
        <f t="shared" si="34"/>
        <v>0</v>
      </c>
      <c r="R88" s="28">
        <f t="shared" si="35"/>
        <v>0</v>
      </c>
      <c r="S88" s="28">
        <f t="shared" si="36"/>
        <v>0</v>
      </c>
      <c r="T88" s="28">
        <f t="shared" si="37"/>
        <v>0</v>
      </c>
      <c r="U88" s="29">
        <v>0</v>
      </c>
      <c r="V88" s="449">
        <f t="shared" si="23"/>
        <v>0</v>
      </c>
    </row>
    <row r="89" spans="2:32" s="28" customFormat="1">
      <c r="B89" s="83">
        <v>42</v>
      </c>
      <c r="C89" s="28">
        <f t="shared" si="38"/>
        <v>0</v>
      </c>
      <c r="D89" s="28">
        <f t="shared" si="39"/>
        <v>0</v>
      </c>
      <c r="E89" s="84">
        <v>0</v>
      </c>
      <c r="F89" s="28">
        <f t="shared" si="40"/>
        <v>0</v>
      </c>
      <c r="G89" s="28">
        <f t="shared" si="41"/>
        <v>0</v>
      </c>
      <c r="H89" s="28">
        <f t="shared" si="42"/>
        <v>0</v>
      </c>
      <c r="I89" s="28">
        <f t="shared" si="43"/>
        <v>0</v>
      </c>
      <c r="J89" s="28">
        <f t="shared" si="44"/>
        <v>0</v>
      </c>
      <c r="K89" s="29">
        <v>0</v>
      </c>
      <c r="M89" s="83">
        <f t="shared" si="31"/>
        <v>0</v>
      </c>
      <c r="N89" s="28">
        <f t="shared" si="32"/>
        <v>0</v>
      </c>
      <c r="O89" s="84">
        <v>0</v>
      </c>
      <c r="P89" s="28">
        <f t="shared" si="33"/>
        <v>0</v>
      </c>
      <c r="Q89" s="28">
        <f t="shared" si="34"/>
        <v>0</v>
      </c>
      <c r="R89" s="28">
        <f t="shared" si="35"/>
        <v>0</v>
      </c>
      <c r="S89" s="28">
        <f t="shared" si="36"/>
        <v>0</v>
      </c>
      <c r="T89" s="28">
        <f t="shared" si="37"/>
        <v>0</v>
      </c>
      <c r="U89" s="29">
        <v>0</v>
      </c>
      <c r="V89" s="449">
        <f t="shared" si="23"/>
        <v>0</v>
      </c>
    </row>
    <row r="90" spans="2:32" s="28" customFormat="1">
      <c r="B90" s="83">
        <v>43</v>
      </c>
      <c r="C90" s="28">
        <f t="shared" si="38"/>
        <v>0</v>
      </c>
      <c r="D90" s="28">
        <f t="shared" si="39"/>
        <v>0</v>
      </c>
      <c r="E90" s="84">
        <v>0</v>
      </c>
      <c r="F90" s="28">
        <f t="shared" si="40"/>
        <v>0</v>
      </c>
      <c r="G90" s="28">
        <f t="shared" si="41"/>
        <v>0</v>
      </c>
      <c r="H90" s="28">
        <f t="shared" si="42"/>
        <v>0</v>
      </c>
      <c r="I90" s="28">
        <f t="shared" si="43"/>
        <v>0</v>
      </c>
      <c r="J90" s="28">
        <f t="shared" si="44"/>
        <v>0</v>
      </c>
      <c r="K90" s="29">
        <v>0</v>
      </c>
      <c r="M90" s="83">
        <f t="shared" si="31"/>
        <v>0</v>
      </c>
      <c r="N90" s="28">
        <f t="shared" si="32"/>
        <v>0</v>
      </c>
      <c r="O90" s="84">
        <v>0</v>
      </c>
      <c r="P90" s="28">
        <f t="shared" si="33"/>
        <v>0</v>
      </c>
      <c r="Q90" s="28">
        <f t="shared" si="34"/>
        <v>0</v>
      </c>
      <c r="R90" s="28">
        <f t="shared" si="35"/>
        <v>0</v>
      </c>
      <c r="S90" s="28">
        <f t="shared" si="36"/>
        <v>0</v>
      </c>
      <c r="T90" s="28">
        <f t="shared" si="37"/>
        <v>0</v>
      </c>
      <c r="U90" s="29">
        <v>0</v>
      </c>
      <c r="V90" s="449">
        <f t="shared" si="23"/>
        <v>0</v>
      </c>
    </row>
    <row r="91" spans="2:32" s="28" customFormat="1">
      <c r="B91" s="83">
        <v>44</v>
      </c>
      <c r="C91" s="28">
        <f t="shared" si="38"/>
        <v>0</v>
      </c>
      <c r="D91" s="28">
        <f t="shared" si="39"/>
        <v>0</v>
      </c>
      <c r="E91" s="84">
        <v>0</v>
      </c>
      <c r="F91" s="28">
        <f t="shared" si="40"/>
        <v>0</v>
      </c>
      <c r="G91" s="28">
        <f t="shared" si="41"/>
        <v>0</v>
      </c>
      <c r="H91" s="28">
        <f t="shared" si="42"/>
        <v>0</v>
      </c>
      <c r="I91" s="28">
        <f t="shared" si="43"/>
        <v>0</v>
      </c>
      <c r="J91" s="28">
        <f t="shared" si="44"/>
        <v>0</v>
      </c>
      <c r="K91" s="29">
        <v>0</v>
      </c>
      <c r="M91" s="83">
        <f t="shared" si="31"/>
        <v>0</v>
      </c>
      <c r="N91" s="28">
        <f t="shared" si="32"/>
        <v>0</v>
      </c>
      <c r="O91" s="84">
        <v>0</v>
      </c>
      <c r="P91" s="28">
        <f t="shared" si="33"/>
        <v>0</v>
      </c>
      <c r="Q91" s="28">
        <f t="shared" si="34"/>
        <v>0</v>
      </c>
      <c r="R91" s="28">
        <f t="shared" si="35"/>
        <v>0</v>
      </c>
      <c r="S91" s="28">
        <f t="shared" si="36"/>
        <v>0</v>
      </c>
      <c r="T91" s="28">
        <f t="shared" si="37"/>
        <v>0</v>
      </c>
      <c r="U91" s="29">
        <v>0</v>
      </c>
      <c r="V91" s="449">
        <f t="shared" si="23"/>
        <v>0</v>
      </c>
    </row>
    <row r="92" spans="2:32" s="28" customFormat="1">
      <c r="B92" s="83">
        <v>45</v>
      </c>
      <c r="C92" s="28">
        <f t="shared" si="38"/>
        <v>0</v>
      </c>
      <c r="D92" s="28">
        <f t="shared" si="39"/>
        <v>0</v>
      </c>
      <c r="E92" s="84">
        <v>0</v>
      </c>
      <c r="F92" s="28">
        <f t="shared" si="40"/>
        <v>0</v>
      </c>
      <c r="G92" s="28">
        <f t="shared" si="41"/>
        <v>0</v>
      </c>
      <c r="H92" s="28">
        <f t="shared" si="42"/>
        <v>0</v>
      </c>
      <c r="I92" s="28">
        <f t="shared" si="43"/>
        <v>0</v>
      </c>
      <c r="J92" s="28">
        <f t="shared" si="44"/>
        <v>0</v>
      </c>
      <c r="K92" s="29">
        <v>0</v>
      </c>
      <c r="M92" s="83">
        <f t="shared" si="31"/>
        <v>0</v>
      </c>
      <c r="N92" s="28">
        <f t="shared" si="32"/>
        <v>0</v>
      </c>
      <c r="O92" s="84">
        <v>0</v>
      </c>
      <c r="P92" s="28">
        <f t="shared" si="33"/>
        <v>0</v>
      </c>
      <c r="Q92" s="28">
        <f t="shared" si="34"/>
        <v>0</v>
      </c>
      <c r="R92" s="28">
        <f t="shared" si="35"/>
        <v>0</v>
      </c>
      <c r="S92" s="28">
        <f t="shared" si="36"/>
        <v>0</v>
      </c>
      <c r="T92" s="28">
        <f t="shared" si="37"/>
        <v>0</v>
      </c>
      <c r="U92" s="29">
        <v>0</v>
      </c>
      <c r="V92" s="449">
        <f t="shared" si="23"/>
        <v>0</v>
      </c>
    </row>
    <row r="93" spans="2:32" s="28" customFormat="1">
      <c r="B93" s="83">
        <v>46</v>
      </c>
      <c r="C93" s="28">
        <f t="shared" si="38"/>
        <v>0</v>
      </c>
      <c r="D93" s="28">
        <f t="shared" si="39"/>
        <v>0</v>
      </c>
      <c r="E93" s="84">
        <v>0</v>
      </c>
      <c r="F93" s="28">
        <f t="shared" si="40"/>
        <v>0</v>
      </c>
      <c r="G93" s="28">
        <f t="shared" si="41"/>
        <v>0</v>
      </c>
      <c r="H93" s="28">
        <f t="shared" si="42"/>
        <v>0</v>
      </c>
      <c r="I93" s="28">
        <f t="shared" si="43"/>
        <v>0</v>
      </c>
      <c r="J93" s="28">
        <f t="shared" si="44"/>
        <v>0</v>
      </c>
      <c r="K93" s="29">
        <v>0</v>
      </c>
      <c r="M93" s="83">
        <f t="shared" si="31"/>
        <v>0</v>
      </c>
      <c r="N93" s="28">
        <f t="shared" si="32"/>
        <v>0</v>
      </c>
      <c r="O93" s="84">
        <v>0</v>
      </c>
      <c r="P93" s="28">
        <f t="shared" si="33"/>
        <v>0</v>
      </c>
      <c r="Q93" s="28">
        <f t="shared" si="34"/>
        <v>0</v>
      </c>
      <c r="R93" s="28">
        <f t="shared" si="35"/>
        <v>0</v>
      </c>
      <c r="S93" s="28">
        <f t="shared" si="36"/>
        <v>0</v>
      </c>
      <c r="T93" s="28">
        <f t="shared" si="37"/>
        <v>0</v>
      </c>
      <c r="U93" s="29">
        <v>0</v>
      </c>
      <c r="V93" s="449">
        <f t="shared" si="23"/>
        <v>0</v>
      </c>
      <c r="Y93" s="28" t="s">
        <v>1037</v>
      </c>
    </row>
    <row r="94" spans="2:32" s="28" customFormat="1">
      <c r="B94" s="83">
        <v>47</v>
      </c>
      <c r="C94" s="28">
        <f t="shared" si="38"/>
        <v>0</v>
      </c>
      <c r="D94" s="28">
        <f t="shared" si="39"/>
        <v>0</v>
      </c>
      <c r="E94" s="84">
        <v>0</v>
      </c>
      <c r="F94" s="28">
        <f t="shared" si="40"/>
        <v>0</v>
      </c>
      <c r="G94" s="28">
        <f t="shared" si="41"/>
        <v>0</v>
      </c>
      <c r="H94" s="28">
        <f t="shared" si="42"/>
        <v>0</v>
      </c>
      <c r="I94" s="28">
        <f t="shared" si="43"/>
        <v>0</v>
      </c>
      <c r="J94" s="28">
        <f t="shared" si="44"/>
        <v>0</v>
      </c>
      <c r="K94" s="29">
        <v>0</v>
      </c>
      <c r="M94" s="83">
        <f t="shared" si="31"/>
        <v>0</v>
      </c>
      <c r="N94" s="28">
        <f t="shared" si="32"/>
        <v>0</v>
      </c>
      <c r="O94" s="84">
        <v>0</v>
      </c>
      <c r="P94" s="28">
        <f t="shared" si="33"/>
        <v>0</v>
      </c>
      <c r="Q94" s="28">
        <f t="shared" si="34"/>
        <v>0</v>
      </c>
      <c r="R94" s="28">
        <f t="shared" si="35"/>
        <v>0</v>
      </c>
      <c r="S94" s="28">
        <f t="shared" si="36"/>
        <v>0</v>
      </c>
      <c r="T94" s="28">
        <f t="shared" si="37"/>
        <v>0</v>
      </c>
      <c r="U94" s="29">
        <v>0</v>
      </c>
      <c r="V94" s="449">
        <f t="shared" si="23"/>
        <v>0</v>
      </c>
    </row>
    <row r="95" spans="2:32" s="28" customFormat="1">
      <c r="B95" s="83">
        <v>48</v>
      </c>
      <c r="C95" s="28">
        <f t="shared" si="38"/>
        <v>0</v>
      </c>
      <c r="D95" s="28">
        <f t="shared" si="39"/>
        <v>0</v>
      </c>
      <c r="E95" s="84">
        <v>0</v>
      </c>
      <c r="F95" s="28">
        <f t="shared" si="40"/>
        <v>0</v>
      </c>
      <c r="G95" s="28">
        <f t="shared" si="41"/>
        <v>0</v>
      </c>
      <c r="H95" s="28">
        <f t="shared" si="42"/>
        <v>0</v>
      </c>
      <c r="I95" s="28">
        <f t="shared" si="43"/>
        <v>0</v>
      </c>
      <c r="J95" s="28">
        <f t="shared" si="44"/>
        <v>0</v>
      </c>
      <c r="K95" s="29">
        <v>0</v>
      </c>
      <c r="M95" s="83">
        <f t="shared" si="31"/>
        <v>0</v>
      </c>
      <c r="N95" s="28">
        <f t="shared" si="32"/>
        <v>0</v>
      </c>
      <c r="O95" s="84">
        <v>0</v>
      </c>
      <c r="P95" s="28">
        <f t="shared" si="33"/>
        <v>0</v>
      </c>
      <c r="Q95" s="28">
        <f t="shared" si="34"/>
        <v>0</v>
      </c>
      <c r="R95" s="28">
        <f t="shared" si="35"/>
        <v>0</v>
      </c>
      <c r="S95" s="28">
        <f t="shared" si="36"/>
        <v>0</v>
      </c>
      <c r="T95" s="28">
        <f t="shared" si="37"/>
        <v>0</v>
      </c>
      <c r="U95" s="29">
        <v>0</v>
      </c>
      <c r="V95" s="449">
        <f t="shared" si="23"/>
        <v>0</v>
      </c>
      <c r="Y95" s="28" t="s">
        <v>1095</v>
      </c>
    </row>
    <row r="96" spans="2:32" s="28" customFormat="1">
      <c r="B96" s="83">
        <v>49</v>
      </c>
      <c r="C96" s="28">
        <f t="shared" si="38"/>
        <v>0</v>
      </c>
      <c r="D96" s="28">
        <f t="shared" si="39"/>
        <v>0</v>
      </c>
      <c r="E96" s="84">
        <v>0</v>
      </c>
      <c r="F96" s="28">
        <f t="shared" si="40"/>
        <v>0</v>
      </c>
      <c r="G96" s="28">
        <f t="shared" si="41"/>
        <v>0</v>
      </c>
      <c r="H96" s="28">
        <f t="shared" si="42"/>
        <v>0</v>
      </c>
      <c r="I96" s="28">
        <f t="shared" si="43"/>
        <v>0</v>
      </c>
      <c r="J96" s="28">
        <f t="shared" si="44"/>
        <v>0</v>
      </c>
      <c r="K96" s="29">
        <v>0</v>
      </c>
      <c r="M96" s="83">
        <f t="shared" si="31"/>
        <v>0</v>
      </c>
      <c r="N96" s="28">
        <f t="shared" si="32"/>
        <v>0</v>
      </c>
      <c r="O96" s="84">
        <v>0</v>
      </c>
      <c r="P96" s="28">
        <f t="shared" si="33"/>
        <v>0</v>
      </c>
      <c r="Q96" s="28">
        <f t="shared" si="34"/>
        <v>0</v>
      </c>
      <c r="R96" s="28">
        <f t="shared" si="35"/>
        <v>0</v>
      </c>
      <c r="S96" s="28">
        <f t="shared" si="36"/>
        <v>0</v>
      </c>
      <c r="T96" s="28">
        <f t="shared" si="37"/>
        <v>0</v>
      </c>
      <c r="U96" s="29">
        <v>0</v>
      </c>
      <c r="V96" s="449">
        <f t="shared" si="23"/>
        <v>0</v>
      </c>
      <c r="Z96" s="28" t="s">
        <v>1097</v>
      </c>
      <c r="AA96" s="28" t="s">
        <v>1098</v>
      </c>
      <c r="AB96" s="28" t="s">
        <v>1094</v>
      </c>
      <c r="AC96" s="28" t="s">
        <v>962</v>
      </c>
      <c r="AD96" s="28" t="s">
        <v>6</v>
      </c>
      <c r="AE96" s="28" t="s">
        <v>23</v>
      </c>
      <c r="AF96" s="84" t="s">
        <v>49</v>
      </c>
    </row>
    <row r="97" spans="2:33" s="111" customFormat="1">
      <c r="B97" s="116">
        <v>50</v>
      </c>
      <c r="C97" s="183">
        <f>(EXP(-$C$44))*C96+((1-(EXP(-$C$44)))/$C$44)*L31</f>
        <v>0</v>
      </c>
      <c r="D97" s="183">
        <f>(EXP(-$D$44))*D96+((1-(EXP(-$D$44)))/$D$44)*L32</f>
        <v>0</v>
      </c>
      <c r="E97" s="111">
        <v>0</v>
      </c>
      <c r="F97" s="222">
        <f>(EXP(-$F$44))*F96+((1-(EXP(-$F$44)))/$F$44)*L34</f>
        <v>0</v>
      </c>
      <c r="G97" s="183">
        <f>(EXP(-$F$44))*G96+((1-(EXP(-$F$44)))/$F$44)*L35</f>
        <v>0</v>
      </c>
      <c r="H97" s="183">
        <f>(EXP(-$H$44))*H96+((1-(EXP(-$H$44)))/$H$44)*L36</f>
        <v>0</v>
      </c>
      <c r="I97" s="183">
        <f>(EXP(-$I$44))*I96+((1-(EXP(-$I$44)))/$I$44)*L37</f>
        <v>0</v>
      </c>
      <c r="J97" s="183">
        <f>(EXP(-$J$44))*J96+((1-(EXP(-$J$44)))/$J$44)*L38</f>
        <v>0</v>
      </c>
      <c r="K97" s="180">
        <v>0</v>
      </c>
      <c r="M97" s="239">
        <f>(EXP(-$C$44))*M96+((1-(EXP(-$C$44)))/$C$44)*N31</f>
        <v>347.66714894560857</v>
      </c>
      <c r="N97" s="183">
        <f>(EXP(-$D$44))*N96+((1-(EXP(-$D$44)))/$D$44)*N32</f>
        <v>126.83897642915021</v>
      </c>
      <c r="O97" s="111">
        <v>0</v>
      </c>
      <c r="P97" s="183">
        <f>(EXP(-$F$44))*P96+((1-(EXP(-$F$44)))/$F$44)*N34</f>
        <v>104.96168393850829</v>
      </c>
      <c r="Q97" s="183">
        <f>(EXP(-$F$44))*Q96+((1-(EXP(-$F$44)))/$F$44)*N35</f>
        <v>103.08736815389204</v>
      </c>
      <c r="R97" s="183">
        <f>(EXP(-$H$44))*R96+((1-(EXP(-$H$44)))/$H$44)*N36</f>
        <v>343.89738564148752</v>
      </c>
      <c r="S97" s="183">
        <f>(EXP(-$I$44))*S96+((1-(EXP(-$I$44)))/$I$44)*N37</f>
        <v>307.53150454134493</v>
      </c>
      <c r="T97" s="183">
        <f>(EXP(-$J$44))*T96+((1-(EXP(-$J$44)))/$J$44)*N38</f>
        <v>189.42098687402657</v>
      </c>
      <c r="U97" s="180">
        <v>0</v>
      </c>
      <c r="V97" s="456">
        <f t="shared" si="23"/>
        <v>1523.4050545240182</v>
      </c>
      <c r="Y97" s="111" t="s">
        <v>1096</v>
      </c>
      <c r="Z97" s="111">
        <v>212344.4376784472</v>
      </c>
      <c r="AA97" s="111">
        <v>156153.77055939115</v>
      </c>
      <c r="AB97" s="111">
        <v>7039.6042012001926</v>
      </c>
      <c r="AC97" s="548">
        <v>21460.694369313191</v>
      </c>
      <c r="AD97" s="548">
        <v>122841.71294911166</v>
      </c>
      <c r="AE97" s="548">
        <v>150947.59989257302</v>
      </c>
      <c r="AF97" s="111">
        <v>670787.8196500364</v>
      </c>
    </row>
    <row r="98" spans="2:33" s="28" customFormat="1">
      <c r="B98" s="83">
        <v>51</v>
      </c>
      <c r="C98" s="28">
        <f>(EXP(-$C$44))*C97+((1-(EXP(-$C$44)))/$C$44)*$C$42</f>
        <v>0</v>
      </c>
      <c r="D98" s="28">
        <f>(EXP(-$D$44))*D97+((1-(EXP(-$D$44)))/$D$44)*$C$42</f>
        <v>0</v>
      </c>
      <c r="E98" s="84">
        <v>0</v>
      </c>
      <c r="F98" s="28">
        <f>(EXP(-$F$44))*F97+((1-(EXP(-$F$44)))/$F$44)*$C$42</f>
        <v>0</v>
      </c>
      <c r="G98" s="28">
        <f>(EXP(-$F$44))*G97+((1-(EXP(-$F$44)))/$F$44)*$C$42</f>
        <v>0</v>
      </c>
      <c r="H98" s="28">
        <f>(EXP(-$H$44))*H97+((1-(EXP(-$H$44)))/$H$44)*$C$42</f>
        <v>0</v>
      </c>
      <c r="I98" s="28">
        <f>(EXP(-$I$44))*I97+((1-(EXP(-$I$44)))/$I$44)*$C$42</f>
        <v>0</v>
      </c>
      <c r="J98" s="28">
        <f>(EXP(-$J$44))*J97+((1-(EXP(-$J$44)))/$J$44)*$C$42</f>
        <v>0</v>
      </c>
      <c r="K98" s="29">
        <v>0</v>
      </c>
      <c r="M98" s="83">
        <f t="shared" si="31"/>
        <v>339.72642028931517</v>
      </c>
      <c r="N98" s="28">
        <f t="shared" si="32"/>
        <v>122.51837525655837</v>
      </c>
      <c r="O98" s="84">
        <v>0</v>
      </c>
      <c r="P98" s="28">
        <f t="shared" si="33"/>
        <v>74.21911847767835</v>
      </c>
      <c r="Q98" s="28">
        <f t="shared" ref="Q98" si="45">(EXP(-$F$44))*Q97+((1-(EXP(-$F$44)))/$F$44)*$C$42</f>
        <v>72.893777076291215</v>
      </c>
      <c r="R98" s="28">
        <f t="shared" ref="R98" si="46">(EXP(-$H$44))*R97+((1-(EXP(-$H$44)))/$H$44)*$C$42</f>
        <v>272.95153586820544</v>
      </c>
      <c r="S98" s="28">
        <f t="shared" ref="S98" si="47">(EXP(-$I$44))*S97+((1-(EXP(-$I$44)))/$I$44)*$C$42</f>
        <v>295.91414426560215</v>
      </c>
      <c r="T98" s="28">
        <f t="shared" ref="T98" si="48">(EXP(-$J$44))*T97+((1-(EXP(-$J$44)))/$J$44)*$C$42</f>
        <v>187.96773888380275</v>
      </c>
      <c r="U98" s="29">
        <v>0</v>
      </c>
      <c r="V98" s="449">
        <f t="shared" si="23"/>
        <v>1366.1911101174533</v>
      </c>
      <c r="Y98" s="84" t="s">
        <v>1038</v>
      </c>
      <c r="Z98" s="469">
        <f>AVERAGE(M97:M146)*1000</f>
        <v>208545.12256832657</v>
      </c>
      <c r="AA98" s="469">
        <f>AVERAGE(N97:N146)*1000</f>
        <v>61306.839835802195</v>
      </c>
      <c r="AB98" s="469">
        <f>AVERAGE(Q97:Q146)*1000</f>
        <v>7039.2455994214579</v>
      </c>
      <c r="AC98" s="469">
        <f>AVERAGE(R97:R146)*1000</f>
        <v>33339.307488859238</v>
      </c>
      <c r="AD98" s="469">
        <f>AVERAGE(S97:S146)*1000</f>
        <v>139076.30056353164</v>
      </c>
      <c r="AE98" s="469">
        <f>AVERAGE(T97:T146)*1000</f>
        <v>157819.26604853236</v>
      </c>
      <c r="AF98" s="469">
        <f>SUM(Z98:AE98)</f>
        <v>607126.08210447337</v>
      </c>
    </row>
    <row r="99" spans="2:33" s="28" customFormat="1">
      <c r="B99" s="83">
        <v>52</v>
      </c>
      <c r="C99" s="28">
        <f t="shared" ref="C99:C146" si="49">(EXP(-$C$44))*C98+((1-(EXP(-$C$44)))/$C$44)*$C$42</f>
        <v>0</v>
      </c>
      <c r="D99" s="28">
        <f t="shared" ref="D99:D146" si="50">(EXP(-$D$44))*D98+((1-(EXP(-$D$44)))/$D$44)*$C$42</f>
        <v>0</v>
      </c>
      <c r="E99" s="84">
        <v>0</v>
      </c>
      <c r="F99" s="28">
        <f t="shared" ref="F99:F146" si="51">(EXP(-$F$44))*F98+((1-(EXP(-$F$44)))/$F$44)*$C$42</f>
        <v>0</v>
      </c>
      <c r="G99" s="28">
        <f t="shared" ref="G99:G146" si="52">(EXP(-$F$44))*G98+((1-(EXP(-$F$44)))/$F$44)*$C$42</f>
        <v>0</v>
      </c>
      <c r="H99" s="28">
        <f t="shared" ref="H99:H146" si="53">(EXP(-$H$44))*H98+((1-(EXP(-$H$44)))/$H$44)*$C$42</f>
        <v>0</v>
      </c>
      <c r="I99" s="28">
        <f t="shared" ref="I99:I146" si="54">(EXP(-$I$44))*I98+((1-(EXP(-$I$44)))/$I$44)*$C$42</f>
        <v>0</v>
      </c>
      <c r="J99" s="28">
        <f t="shared" ref="J99:J146" si="55">(EXP(-$J$44))*J98+((1-(EXP(-$J$44)))/$J$44)*$C$42</f>
        <v>0</v>
      </c>
      <c r="K99" s="29">
        <v>0</v>
      </c>
      <c r="M99" s="83">
        <f t="shared" ref="M99:M117" si="56">(EXP(-$C$44))*M98+((1-(EXP(-$C$44)))/$C$44)*$C$42</f>
        <v>331.96705812618654</v>
      </c>
      <c r="N99" s="28">
        <f t="shared" ref="N99:N117" si="57">(EXP(-$D$44))*N98+((1-(EXP(-$D$44)))/$D$44)*$C$42</f>
        <v>118.34494962115663</v>
      </c>
      <c r="O99" s="84">
        <v>0</v>
      </c>
      <c r="P99" s="28">
        <f t="shared" ref="P99:P117" si="58">(EXP(-$F$44))*P98+((1-(EXP(-$F$44)))/$F$44)*$C$42</f>
        <v>52.480841969254158</v>
      </c>
      <c r="Q99" s="28">
        <f t="shared" ref="Q99:Q117" si="59">(EXP(-$F$44))*Q98+((1-(EXP(-$F$44)))/$F$44)*$C$42</f>
        <v>51.543684076946029</v>
      </c>
      <c r="R99" s="28">
        <f t="shared" ref="R99:R117" si="60">(EXP(-$H$44))*R98+((1-(EXP(-$H$44)))/$H$44)*$C$42</f>
        <v>216.64177758676254</v>
      </c>
      <c r="S99" s="28">
        <f t="shared" ref="S99:S117" si="61">(EXP(-$I$44))*S98+((1-(EXP(-$I$44)))/$I$44)*$C$42</f>
        <v>284.7356432864953</v>
      </c>
      <c r="T99" s="28">
        <f t="shared" ref="T99:T117" si="62">(EXP(-$J$44))*T98+((1-(EXP(-$J$44)))/$J$44)*$C$42</f>
        <v>186.52564029025322</v>
      </c>
      <c r="U99" s="29">
        <v>0</v>
      </c>
      <c r="V99" s="449">
        <f t="shared" si="23"/>
        <v>1242.2395949570546</v>
      </c>
      <c r="Y99" s="84" t="s">
        <v>1039</v>
      </c>
      <c r="Z99" s="469">
        <f>Z97-Z98</f>
        <v>3799.3151101206313</v>
      </c>
      <c r="AA99" s="469">
        <f t="shared" ref="AA99" si="63">AA97-AA98</f>
        <v>94846.930723588957</v>
      </c>
      <c r="AB99" s="469">
        <f>AB97-AB98</f>
        <v>0.35860177873473731</v>
      </c>
      <c r="AC99" s="469">
        <f>AC97-AC98</f>
        <v>-11878.613119546048</v>
      </c>
      <c r="AD99" s="469">
        <f t="shared" ref="AD99:AE99" si="64">AD97-AD98</f>
        <v>-16234.587614419972</v>
      </c>
      <c r="AE99" s="469">
        <f t="shared" si="64"/>
        <v>-6871.666155959334</v>
      </c>
      <c r="AF99" s="469">
        <f>SUM(AC99:AE99)</f>
        <v>-34984.866889925353</v>
      </c>
      <c r="AG99" s="28" t="s">
        <v>49</v>
      </c>
    </row>
    <row r="100" spans="2:33" s="28" customFormat="1">
      <c r="B100" s="83">
        <v>53</v>
      </c>
      <c r="C100" s="28">
        <f t="shared" si="49"/>
        <v>0</v>
      </c>
      <c r="D100" s="28">
        <f t="shared" si="50"/>
        <v>0</v>
      </c>
      <c r="E100" s="84">
        <v>0</v>
      </c>
      <c r="F100" s="28">
        <f t="shared" si="51"/>
        <v>0</v>
      </c>
      <c r="G100" s="28">
        <f t="shared" si="52"/>
        <v>0</v>
      </c>
      <c r="H100" s="28">
        <f t="shared" si="53"/>
        <v>0</v>
      </c>
      <c r="I100" s="28">
        <f t="shared" si="54"/>
        <v>0</v>
      </c>
      <c r="J100" s="28">
        <f t="shared" si="55"/>
        <v>0</v>
      </c>
      <c r="K100" s="29">
        <v>0</v>
      </c>
      <c r="M100" s="83">
        <f t="shared" si="56"/>
        <v>324.38492003979394</v>
      </c>
      <c r="N100" s="28">
        <f t="shared" si="57"/>
        <v>114.31368618385584</v>
      </c>
      <c r="O100" s="84">
        <v>0</v>
      </c>
      <c r="P100" s="28">
        <f t="shared" si="58"/>
        <v>37.109559238839182</v>
      </c>
      <c r="Q100" s="28">
        <f t="shared" si="59"/>
        <v>36.446888538145615</v>
      </c>
      <c r="R100" s="28">
        <f t="shared" si="60"/>
        <v>171.94869282074379</v>
      </c>
      <c r="S100" s="28">
        <f t="shared" si="61"/>
        <v>273.97942318365415</v>
      </c>
      <c r="T100" s="28">
        <f t="shared" si="62"/>
        <v>185.09460555460754</v>
      </c>
      <c r="U100" s="29">
        <v>0</v>
      </c>
      <c r="V100" s="449">
        <f t="shared" si="23"/>
        <v>1143.2777755596401</v>
      </c>
      <c r="AB100" s="467"/>
      <c r="AF100" s="467">
        <f>AF99*44/12</f>
        <v>-128277.84526305964</v>
      </c>
      <c r="AG100" s="28" t="s">
        <v>1040</v>
      </c>
    </row>
    <row r="101" spans="2:33" s="28" customFormat="1">
      <c r="B101" s="83">
        <v>54</v>
      </c>
      <c r="C101" s="28">
        <f t="shared" si="49"/>
        <v>0</v>
      </c>
      <c r="D101" s="28">
        <f t="shared" si="50"/>
        <v>0</v>
      </c>
      <c r="E101" s="84">
        <v>0</v>
      </c>
      <c r="F101" s="28">
        <f t="shared" si="51"/>
        <v>0</v>
      </c>
      <c r="G101" s="28">
        <f t="shared" si="52"/>
        <v>0</v>
      </c>
      <c r="H101" s="28">
        <f t="shared" si="53"/>
        <v>0</v>
      </c>
      <c r="I101" s="28">
        <f t="shared" si="54"/>
        <v>0</v>
      </c>
      <c r="J101" s="28">
        <f t="shared" si="55"/>
        <v>0</v>
      </c>
      <c r="K101" s="29">
        <v>0</v>
      </c>
      <c r="M101" s="83">
        <f t="shared" si="56"/>
        <v>316.97595822663044</v>
      </c>
      <c r="N101" s="28">
        <f t="shared" si="57"/>
        <v>110.41974237830055</v>
      </c>
      <c r="O101" s="84">
        <v>0</v>
      </c>
      <c r="P101" s="28">
        <f t="shared" si="58"/>
        <v>26.240420984627082</v>
      </c>
      <c r="Q101" s="28">
        <f t="shared" si="59"/>
        <v>25.771842038473022</v>
      </c>
      <c r="R101" s="28">
        <f t="shared" si="60"/>
        <v>136.47576793410275</v>
      </c>
      <c r="S101" s="28">
        <f t="shared" si="61"/>
        <v>263.62953180582042</v>
      </c>
      <c r="T101" s="28">
        <f t="shared" si="62"/>
        <v>183.67454979435331</v>
      </c>
      <c r="U101" s="29">
        <v>0</v>
      </c>
      <c r="V101" s="449">
        <f t="shared" si="23"/>
        <v>1063.1878131623075</v>
      </c>
    </row>
    <row r="102" spans="2:33" s="28" customFormat="1">
      <c r="B102" s="83">
        <v>55</v>
      </c>
      <c r="C102" s="28">
        <f t="shared" si="49"/>
        <v>0</v>
      </c>
      <c r="D102" s="28">
        <f t="shared" si="50"/>
        <v>0</v>
      </c>
      <c r="E102" s="84">
        <v>0</v>
      </c>
      <c r="F102" s="28">
        <f t="shared" si="51"/>
        <v>0</v>
      </c>
      <c r="G102" s="28">
        <f t="shared" si="52"/>
        <v>0</v>
      </c>
      <c r="H102" s="28">
        <f t="shared" si="53"/>
        <v>0</v>
      </c>
      <c r="I102" s="28">
        <f t="shared" si="54"/>
        <v>0</v>
      </c>
      <c r="J102" s="28">
        <f t="shared" si="55"/>
        <v>0</v>
      </c>
      <c r="K102" s="29">
        <v>0</v>
      </c>
      <c r="M102" s="83">
        <f t="shared" si="56"/>
        <v>309.73621733514904</v>
      </c>
      <c r="N102" s="28">
        <f t="shared" si="57"/>
        <v>106.65844059372284</v>
      </c>
      <c r="O102" s="84">
        <v>0</v>
      </c>
      <c r="P102" s="28">
        <f t="shared" si="58"/>
        <v>18.554779619419595</v>
      </c>
      <c r="Q102" s="28">
        <f t="shared" si="59"/>
        <v>18.223444269072811</v>
      </c>
      <c r="R102" s="28">
        <f t="shared" si="60"/>
        <v>108.32088879338129</v>
      </c>
      <c r="S102" s="28">
        <f t="shared" si="61"/>
        <v>253.67061961280359</v>
      </c>
      <c r="T102" s="28">
        <f t="shared" si="62"/>
        <v>182.26538877820138</v>
      </c>
      <c r="U102" s="29">
        <v>0</v>
      </c>
      <c r="V102" s="449">
        <f t="shared" si="23"/>
        <v>997.4297790017506</v>
      </c>
    </row>
    <row r="103" spans="2:33" s="28" customFormat="1">
      <c r="B103" s="83">
        <v>56</v>
      </c>
      <c r="C103" s="28">
        <f t="shared" si="49"/>
        <v>0</v>
      </c>
      <c r="D103" s="28">
        <f t="shared" si="50"/>
        <v>0</v>
      </c>
      <c r="E103" s="84">
        <v>0</v>
      </c>
      <c r="F103" s="28">
        <f t="shared" si="51"/>
        <v>0</v>
      </c>
      <c r="G103" s="28">
        <f t="shared" si="52"/>
        <v>0</v>
      </c>
      <c r="H103" s="28">
        <f t="shared" si="53"/>
        <v>0</v>
      </c>
      <c r="I103" s="28">
        <f t="shared" si="54"/>
        <v>0</v>
      </c>
      <c r="J103" s="28">
        <f t="shared" si="55"/>
        <v>0</v>
      </c>
      <c r="K103" s="29">
        <v>0</v>
      </c>
      <c r="M103" s="83">
        <f t="shared" si="56"/>
        <v>302.66183235415696</v>
      </c>
      <c r="N103" s="28">
        <f t="shared" si="57"/>
        <v>103.02526255594937</v>
      </c>
      <c r="O103" s="84">
        <v>0</v>
      </c>
      <c r="P103" s="28">
        <f t="shared" si="58"/>
        <v>13.120210492313543</v>
      </c>
      <c r="Q103" s="28">
        <f t="shared" si="59"/>
        <v>12.885921019236513</v>
      </c>
      <c r="R103" s="28">
        <f t="shared" si="60"/>
        <v>85.974346410371908</v>
      </c>
      <c r="S103" s="28">
        <f t="shared" si="61"/>
        <v>244.08791691114706</v>
      </c>
      <c r="T103" s="28">
        <f t="shared" si="62"/>
        <v>180.86703892108955</v>
      </c>
      <c r="U103" s="29">
        <v>0</v>
      </c>
      <c r="V103" s="449">
        <f t="shared" si="23"/>
        <v>942.62252866426502</v>
      </c>
    </row>
    <row r="104" spans="2:33" s="28" customFormat="1">
      <c r="B104" s="83">
        <v>57</v>
      </c>
      <c r="C104" s="28">
        <f t="shared" si="49"/>
        <v>0</v>
      </c>
      <c r="D104" s="28">
        <f t="shared" si="50"/>
        <v>0</v>
      </c>
      <c r="E104" s="84">
        <v>0</v>
      </c>
      <c r="F104" s="28">
        <f t="shared" si="51"/>
        <v>0</v>
      </c>
      <c r="G104" s="28">
        <f t="shared" si="52"/>
        <v>0</v>
      </c>
      <c r="H104" s="28">
        <f t="shared" si="53"/>
        <v>0</v>
      </c>
      <c r="I104" s="28">
        <f t="shared" si="54"/>
        <v>0</v>
      </c>
      <c r="J104" s="28">
        <f t="shared" si="55"/>
        <v>0</v>
      </c>
      <c r="K104" s="29">
        <v>0</v>
      </c>
      <c r="M104" s="83">
        <f t="shared" si="56"/>
        <v>295.74902654943907</v>
      </c>
      <c r="N104" s="28">
        <f t="shared" si="57"/>
        <v>99.515843899812083</v>
      </c>
      <c r="O104" s="84">
        <v>0</v>
      </c>
      <c r="P104" s="28">
        <f t="shared" si="58"/>
        <v>9.2773898097097973</v>
      </c>
      <c r="Q104" s="28">
        <f t="shared" si="59"/>
        <v>9.1117221345364072</v>
      </c>
      <c r="R104" s="28">
        <f t="shared" si="60"/>
        <v>68.237883967051388</v>
      </c>
      <c r="S104" s="28">
        <f t="shared" si="61"/>
        <v>234.86721194974322</v>
      </c>
      <c r="T104" s="28">
        <f t="shared" si="62"/>
        <v>179.47941727922466</v>
      </c>
      <c r="U104" s="29">
        <v>0</v>
      </c>
      <c r="V104" s="449">
        <f t="shared" si="23"/>
        <v>896.23849558951667</v>
      </c>
    </row>
    <row r="105" spans="2:33" s="28" customFormat="1">
      <c r="B105" s="83">
        <v>58</v>
      </c>
      <c r="C105" s="28">
        <f t="shared" si="49"/>
        <v>0</v>
      </c>
      <c r="D105" s="28">
        <f t="shared" si="50"/>
        <v>0</v>
      </c>
      <c r="E105" s="84">
        <v>0</v>
      </c>
      <c r="F105" s="28">
        <f t="shared" si="51"/>
        <v>0</v>
      </c>
      <c r="G105" s="28">
        <f t="shared" si="52"/>
        <v>0</v>
      </c>
      <c r="H105" s="28">
        <f t="shared" si="53"/>
        <v>0</v>
      </c>
      <c r="I105" s="28">
        <f t="shared" si="54"/>
        <v>0</v>
      </c>
      <c r="J105" s="28">
        <f t="shared" si="55"/>
        <v>0</v>
      </c>
      <c r="K105" s="29">
        <v>0</v>
      </c>
      <c r="M105" s="83">
        <f t="shared" si="56"/>
        <v>288.99410944750883</v>
      </c>
      <c r="N105" s="28">
        <f t="shared" si="57"/>
        <v>96.125968926442468</v>
      </c>
      <c r="O105" s="84">
        <v>0</v>
      </c>
      <c r="P105" s="28">
        <f t="shared" si="58"/>
        <v>6.5601052461567715</v>
      </c>
      <c r="Q105" s="28">
        <f t="shared" si="59"/>
        <v>6.4429605096182572</v>
      </c>
      <c r="R105" s="28">
        <f t="shared" si="60"/>
        <v>54.160444396690657</v>
      </c>
      <c r="S105" s="28">
        <f t="shared" si="61"/>
        <v>225.99482984291234</v>
      </c>
      <c r="T105" s="28">
        <f t="shared" si="62"/>
        <v>178.10244154516286</v>
      </c>
      <c r="U105" s="29">
        <v>0</v>
      </c>
      <c r="V105" s="449">
        <f t="shared" si="23"/>
        <v>856.38085991449213</v>
      </c>
    </row>
    <row r="106" spans="2:33" s="28" customFormat="1">
      <c r="B106" s="83">
        <v>59</v>
      </c>
      <c r="C106" s="28">
        <f t="shared" si="49"/>
        <v>0</v>
      </c>
      <c r="D106" s="28">
        <f t="shared" si="50"/>
        <v>0</v>
      </c>
      <c r="E106" s="84">
        <v>0</v>
      </c>
      <c r="F106" s="28">
        <f t="shared" si="51"/>
        <v>0</v>
      </c>
      <c r="G106" s="28">
        <f t="shared" si="52"/>
        <v>0</v>
      </c>
      <c r="H106" s="28">
        <f t="shared" si="53"/>
        <v>0</v>
      </c>
      <c r="I106" s="28">
        <f t="shared" si="54"/>
        <v>0</v>
      </c>
      <c r="J106" s="28">
        <f t="shared" si="55"/>
        <v>0</v>
      </c>
      <c r="K106" s="29">
        <v>0</v>
      </c>
      <c r="M106" s="83">
        <f t="shared" si="56"/>
        <v>282.39347486541072</v>
      </c>
      <c r="N106" s="28">
        <f t="shared" si="57"/>
        <v>92.851565539151622</v>
      </c>
      <c r="O106" s="84">
        <v>0</v>
      </c>
      <c r="P106" s="28">
        <f t="shared" si="58"/>
        <v>4.6386949048548987</v>
      </c>
      <c r="Q106" s="28">
        <f t="shared" si="59"/>
        <v>4.5558610672682036</v>
      </c>
      <c r="R106" s="28">
        <f t="shared" si="60"/>
        <v>42.987173205185968</v>
      </c>
      <c r="S106" s="28">
        <f t="shared" si="61"/>
        <v>217.45761228968658</v>
      </c>
      <c r="T106" s="28">
        <f t="shared" si="62"/>
        <v>176.73603004292741</v>
      </c>
      <c r="U106" s="29">
        <v>0</v>
      </c>
      <c r="V106" s="449">
        <f t="shared" si="23"/>
        <v>821.62041191448543</v>
      </c>
    </row>
    <row r="107" spans="2:33" s="28" customFormat="1">
      <c r="B107" s="83">
        <v>60</v>
      </c>
      <c r="C107" s="28">
        <f t="shared" si="49"/>
        <v>0</v>
      </c>
      <c r="D107" s="28">
        <f t="shared" si="50"/>
        <v>0</v>
      </c>
      <c r="E107" s="84">
        <v>0</v>
      </c>
      <c r="F107" s="28">
        <f t="shared" si="51"/>
        <v>0</v>
      </c>
      <c r="G107" s="28">
        <f t="shared" si="52"/>
        <v>0</v>
      </c>
      <c r="H107" s="28">
        <f t="shared" si="53"/>
        <v>0</v>
      </c>
      <c r="I107" s="28">
        <f t="shared" si="54"/>
        <v>0</v>
      </c>
      <c r="J107" s="28">
        <f t="shared" si="55"/>
        <v>0</v>
      </c>
      <c r="K107" s="29">
        <v>0</v>
      </c>
      <c r="M107" s="83">
        <f t="shared" si="56"/>
        <v>275.94359898552176</v>
      </c>
      <c r="N107" s="28">
        <f t="shared" si="57"/>
        <v>89.688700351812827</v>
      </c>
      <c r="O107" s="84">
        <v>0</v>
      </c>
      <c r="P107" s="28">
        <f t="shared" si="58"/>
        <v>3.2800526230783857</v>
      </c>
      <c r="Q107" s="28">
        <f t="shared" si="59"/>
        <v>3.2214802548091286</v>
      </c>
      <c r="R107" s="28">
        <f t="shared" si="60"/>
        <v>34.118941983525701</v>
      </c>
      <c r="S107" s="28">
        <f t="shared" si="61"/>
        <v>209.24289805922163</v>
      </c>
      <c r="T107" s="28">
        <f t="shared" si="62"/>
        <v>175.38010172316405</v>
      </c>
      <c r="U107" s="29">
        <v>0</v>
      </c>
      <c r="V107" s="449">
        <f t="shared" si="23"/>
        <v>790.87577398113353</v>
      </c>
    </row>
    <row r="108" spans="2:33" s="28" customFormat="1">
      <c r="B108" s="83">
        <v>61</v>
      </c>
      <c r="C108" s="28">
        <f t="shared" si="49"/>
        <v>0</v>
      </c>
      <c r="D108" s="28">
        <f t="shared" si="50"/>
        <v>0</v>
      </c>
      <c r="E108" s="84">
        <v>0</v>
      </c>
      <c r="F108" s="28">
        <f t="shared" si="51"/>
        <v>0</v>
      </c>
      <c r="G108" s="28">
        <f t="shared" si="52"/>
        <v>0</v>
      </c>
      <c r="H108" s="28">
        <f t="shared" si="53"/>
        <v>0</v>
      </c>
      <c r="I108" s="28">
        <f t="shared" si="54"/>
        <v>0</v>
      </c>
      <c r="J108" s="28">
        <f t="shared" si="55"/>
        <v>0</v>
      </c>
      <c r="K108" s="29">
        <v>0</v>
      </c>
      <c r="M108" s="83">
        <f t="shared" si="56"/>
        <v>269.64103847432466</v>
      </c>
      <c r="N108" s="28">
        <f t="shared" si="57"/>
        <v>86.633573963870589</v>
      </c>
      <c r="O108" s="84">
        <v>0</v>
      </c>
      <c r="P108" s="28">
        <f t="shared" si="58"/>
        <v>2.3193474524274493</v>
      </c>
      <c r="Q108" s="28">
        <f t="shared" si="59"/>
        <v>2.2779305336341018</v>
      </c>
      <c r="R108" s="28">
        <f t="shared" si="60"/>
        <v>27.080222198345336</v>
      </c>
      <c r="S108" s="28">
        <f t="shared" si="61"/>
        <v>201.33850421339471</v>
      </c>
      <c r="T108" s="28">
        <f t="shared" si="62"/>
        <v>174.03457615833349</v>
      </c>
      <c r="U108" s="29">
        <v>0</v>
      </c>
      <c r="V108" s="449">
        <f t="shared" si="23"/>
        <v>763.32519299433034</v>
      </c>
    </row>
    <row r="109" spans="2:33" s="28" customFormat="1">
      <c r="B109" s="83">
        <v>62</v>
      </c>
      <c r="C109" s="28">
        <f t="shared" si="49"/>
        <v>0</v>
      </c>
      <c r="D109" s="28">
        <f t="shared" si="50"/>
        <v>0</v>
      </c>
      <c r="E109" s="84">
        <v>0</v>
      </c>
      <c r="F109" s="28">
        <f t="shared" si="51"/>
        <v>0</v>
      </c>
      <c r="G109" s="28">
        <f t="shared" si="52"/>
        <v>0</v>
      </c>
      <c r="H109" s="28">
        <f t="shared" si="53"/>
        <v>0</v>
      </c>
      <c r="I109" s="28">
        <f t="shared" si="54"/>
        <v>0</v>
      </c>
      <c r="J109" s="28">
        <f t="shared" si="55"/>
        <v>0</v>
      </c>
      <c r="K109" s="29">
        <v>0</v>
      </c>
      <c r="M109" s="83">
        <f t="shared" si="56"/>
        <v>263.48242864414834</v>
      </c>
      <c r="N109" s="28">
        <f t="shared" si="57"/>
        <v>83.682516396300244</v>
      </c>
      <c r="O109" s="84">
        <v>0</v>
      </c>
      <c r="P109" s="28">
        <f t="shared" si="58"/>
        <v>1.6400263115391929</v>
      </c>
      <c r="Q109" s="28">
        <f t="shared" si="59"/>
        <v>1.6107401274045643</v>
      </c>
      <c r="R109" s="28">
        <f t="shared" si="60"/>
        <v>21.493586602592988</v>
      </c>
      <c r="S109" s="28">
        <f t="shared" si="61"/>
        <v>193.73270803874067</v>
      </c>
      <c r="T109" s="28">
        <f t="shared" si="62"/>
        <v>172.69937353794091</v>
      </c>
      <c r="U109" s="29">
        <v>0</v>
      </c>
      <c r="V109" s="449">
        <f t="shared" si="23"/>
        <v>738.34137965866682</v>
      </c>
    </row>
    <row r="110" spans="2:33" s="28" customFormat="1">
      <c r="B110" s="83">
        <v>63</v>
      </c>
      <c r="C110" s="28">
        <f t="shared" si="49"/>
        <v>0</v>
      </c>
      <c r="D110" s="28">
        <f t="shared" si="50"/>
        <v>0</v>
      </c>
      <c r="E110" s="84">
        <v>0</v>
      </c>
      <c r="F110" s="28">
        <f t="shared" si="51"/>
        <v>0</v>
      </c>
      <c r="G110" s="28">
        <f t="shared" si="52"/>
        <v>0</v>
      </c>
      <c r="H110" s="28">
        <f t="shared" si="53"/>
        <v>0</v>
      </c>
      <c r="I110" s="28">
        <f t="shared" si="54"/>
        <v>0</v>
      </c>
      <c r="J110" s="28">
        <f t="shared" si="55"/>
        <v>0</v>
      </c>
      <c r="K110" s="29">
        <v>0</v>
      </c>
      <c r="M110" s="83">
        <f t="shared" si="56"/>
        <v>257.46448165689446</v>
      </c>
      <c r="N110" s="28">
        <f t="shared" si="57"/>
        <v>80.831982683035463</v>
      </c>
      <c r="O110" s="84">
        <v>0</v>
      </c>
      <c r="P110" s="28">
        <f t="shared" si="58"/>
        <v>1.1596737262137247</v>
      </c>
      <c r="Q110" s="28">
        <f t="shared" si="59"/>
        <v>1.1389652668170509</v>
      </c>
      <c r="R110" s="28">
        <f t="shared" si="60"/>
        <v>17.059470991762854</v>
      </c>
      <c r="S110" s="28">
        <f t="shared" si="61"/>
        <v>186.41422966093023</v>
      </c>
      <c r="T110" s="28">
        <f t="shared" si="62"/>
        <v>171.37441466380184</v>
      </c>
      <c r="U110" s="29">
        <v>0</v>
      </c>
      <c r="V110" s="449">
        <f t="shared" si="23"/>
        <v>715.44321864945562</v>
      </c>
    </row>
    <row r="111" spans="2:33" s="28" customFormat="1">
      <c r="B111" s="83">
        <v>64</v>
      </c>
      <c r="C111" s="28">
        <f t="shared" si="49"/>
        <v>0</v>
      </c>
      <c r="D111" s="28">
        <f t="shared" si="50"/>
        <v>0</v>
      </c>
      <c r="E111" s="84">
        <v>0</v>
      </c>
      <c r="F111" s="28">
        <f t="shared" si="51"/>
        <v>0</v>
      </c>
      <c r="G111" s="28">
        <f t="shared" si="52"/>
        <v>0</v>
      </c>
      <c r="H111" s="28">
        <f t="shared" si="53"/>
        <v>0</v>
      </c>
      <c r="I111" s="28">
        <f t="shared" si="54"/>
        <v>0</v>
      </c>
      <c r="J111" s="28">
        <f t="shared" si="55"/>
        <v>0</v>
      </c>
      <c r="K111" s="29">
        <v>0</v>
      </c>
      <c r="M111" s="83">
        <f t="shared" si="56"/>
        <v>251.58398476879049</v>
      </c>
      <c r="N111" s="28">
        <f t="shared" si="57"/>
        <v>78.078548612567971</v>
      </c>
      <c r="O111" s="84">
        <v>0</v>
      </c>
      <c r="P111" s="28">
        <f t="shared" si="58"/>
        <v>0.82001315576959644</v>
      </c>
      <c r="Q111" s="28">
        <f t="shared" si="59"/>
        <v>0.80537006370228215</v>
      </c>
      <c r="R111" s="28">
        <f t="shared" si="60"/>
        <v>13.54011109917267</v>
      </c>
      <c r="S111" s="28">
        <f t="shared" si="61"/>
        <v>179.37221531600665</v>
      </c>
      <c r="T111" s="28">
        <f t="shared" si="62"/>
        <v>170.05962094534456</v>
      </c>
      <c r="U111" s="29">
        <v>0</v>
      </c>
      <c r="V111" s="449">
        <f t="shared" si="23"/>
        <v>694.2598639613542</v>
      </c>
    </row>
    <row r="112" spans="2:33" s="28" customFormat="1">
      <c r="B112" s="83">
        <v>65</v>
      </c>
      <c r="C112" s="28">
        <f t="shared" si="49"/>
        <v>0</v>
      </c>
      <c r="D112" s="28">
        <f t="shared" si="50"/>
        <v>0</v>
      </c>
      <c r="E112" s="84">
        <v>0</v>
      </c>
      <c r="F112" s="28">
        <f t="shared" si="51"/>
        <v>0</v>
      </c>
      <c r="G112" s="28">
        <f t="shared" si="52"/>
        <v>0</v>
      </c>
      <c r="H112" s="28">
        <f t="shared" si="53"/>
        <v>0</v>
      </c>
      <c r="I112" s="28">
        <f t="shared" si="54"/>
        <v>0</v>
      </c>
      <c r="J112" s="28">
        <f t="shared" si="55"/>
        <v>0</v>
      </c>
      <c r="K112" s="29">
        <v>0</v>
      </c>
      <c r="M112" s="83">
        <f t="shared" si="56"/>
        <v>245.83779861523311</v>
      </c>
      <c r="N112" s="28">
        <f t="shared" si="57"/>
        <v>75.418906614603998</v>
      </c>
      <c r="O112" s="84">
        <v>0</v>
      </c>
      <c r="P112" s="28">
        <f t="shared" si="58"/>
        <v>0.57983686310686233</v>
      </c>
      <c r="Q112" s="28">
        <f t="shared" si="59"/>
        <v>0.56948263340852545</v>
      </c>
      <c r="R112" s="28">
        <f t="shared" si="60"/>
        <v>10.746793301296496</v>
      </c>
      <c r="S112" s="28">
        <f t="shared" si="61"/>
        <v>172.59622125357066</v>
      </c>
      <c r="T112" s="28">
        <f t="shared" si="62"/>
        <v>168.75491439494843</v>
      </c>
      <c r="U112" s="29">
        <v>0</v>
      </c>
      <c r="V112" s="449">
        <f t="shared" ref="V112:V146" si="65">SUM(M112:U112)</f>
        <v>674.50395367616807</v>
      </c>
    </row>
    <row r="113" spans="2:22" s="28" customFormat="1">
      <c r="B113" s="83">
        <v>66</v>
      </c>
      <c r="C113" s="28">
        <f t="shared" si="49"/>
        <v>0</v>
      </c>
      <c r="D113" s="28">
        <f t="shared" si="50"/>
        <v>0</v>
      </c>
      <c r="E113" s="84">
        <v>0</v>
      </c>
      <c r="F113" s="28">
        <f t="shared" si="51"/>
        <v>0</v>
      </c>
      <c r="G113" s="28">
        <f t="shared" si="52"/>
        <v>0</v>
      </c>
      <c r="H113" s="28">
        <f t="shared" si="53"/>
        <v>0</v>
      </c>
      <c r="I113" s="28">
        <f t="shared" si="54"/>
        <v>0</v>
      </c>
      <c r="J113" s="28">
        <f t="shared" si="55"/>
        <v>0</v>
      </c>
      <c r="K113" s="29">
        <v>0</v>
      </c>
      <c r="M113" s="83">
        <f t="shared" si="56"/>
        <v>240.22285553480569</v>
      </c>
      <c r="N113" s="28">
        <f t="shared" si="57"/>
        <v>72.849861786836343</v>
      </c>
      <c r="O113" s="84">
        <v>0</v>
      </c>
      <c r="P113" s="28">
        <f t="shared" si="58"/>
        <v>0.41000657788479822</v>
      </c>
      <c r="Q113" s="28">
        <f t="shared" si="59"/>
        <v>0.40268503185114107</v>
      </c>
      <c r="R113" s="28">
        <f t="shared" si="60"/>
        <v>8.5297354958814289</v>
      </c>
      <c r="S113" s="28">
        <f t="shared" si="61"/>
        <v>166.07619824804155</v>
      </c>
      <c r="T113" s="28">
        <f t="shared" si="62"/>
        <v>167.46021762331802</v>
      </c>
      <c r="U113" s="29">
        <v>0</v>
      </c>
      <c r="V113" s="449">
        <f t="shared" si="65"/>
        <v>655.95156029861903</v>
      </c>
    </row>
    <row r="114" spans="2:22" s="28" customFormat="1">
      <c r="B114" s="83">
        <v>67</v>
      </c>
      <c r="C114" s="28">
        <f t="shared" si="49"/>
        <v>0</v>
      </c>
      <c r="D114" s="28">
        <f t="shared" si="50"/>
        <v>0</v>
      </c>
      <c r="E114" s="84">
        <v>0</v>
      </c>
      <c r="F114" s="28">
        <f t="shared" si="51"/>
        <v>0</v>
      </c>
      <c r="G114" s="28">
        <f t="shared" si="52"/>
        <v>0</v>
      </c>
      <c r="H114" s="28">
        <f t="shared" si="53"/>
        <v>0</v>
      </c>
      <c r="I114" s="28">
        <f t="shared" si="54"/>
        <v>0</v>
      </c>
      <c r="J114" s="28">
        <f t="shared" si="55"/>
        <v>0</v>
      </c>
      <c r="K114" s="29">
        <v>0</v>
      </c>
      <c r="M114" s="83">
        <f t="shared" si="56"/>
        <v>234.73615793157515</v>
      </c>
      <c r="N114" s="28">
        <f t="shared" si="57"/>
        <v>70.368328057059088</v>
      </c>
      <c r="O114" s="84">
        <v>0</v>
      </c>
      <c r="P114" s="28">
        <f t="shared" si="58"/>
        <v>0.28991843155343117</v>
      </c>
      <c r="Q114" s="28">
        <f t="shared" si="59"/>
        <v>0.28474131670426273</v>
      </c>
      <c r="R114" s="28">
        <f t="shared" si="60"/>
        <v>6.7700555495863366</v>
      </c>
      <c r="S114" s="28">
        <f t="shared" si="61"/>
        <v>159.80247669502324</v>
      </c>
      <c r="T114" s="28">
        <f t="shared" si="62"/>
        <v>166.17545383489275</v>
      </c>
      <c r="U114" s="29">
        <v>0</v>
      </c>
      <c r="V114" s="449">
        <f t="shared" si="65"/>
        <v>638.42713181639419</v>
      </c>
    </row>
    <row r="115" spans="2:22" s="28" customFormat="1">
      <c r="B115" s="83">
        <v>68</v>
      </c>
      <c r="C115" s="28">
        <f t="shared" si="49"/>
        <v>0</v>
      </c>
      <c r="D115" s="28">
        <f t="shared" si="50"/>
        <v>0</v>
      </c>
      <c r="E115" s="84">
        <v>0</v>
      </c>
      <c r="F115" s="28">
        <f t="shared" si="51"/>
        <v>0</v>
      </c>
      <c r="G115" s="28">
        <f t="shared" si="52"/>
        <v>0</v>
      </c>
      <c r="H115" s="28">
        <f t="shared" si="53"/>
        <v>0</v>
      </c>
      <c r="I115" s="28">
        <f t="shared" si="54"/>
        <v>0</v>
      </c>
      <c r="J115" s="28">
        <f t="shared" si="55"/>
        <v>0</v>
      </c>
      <c r="K115" s="29">
        <v>0</v>
      </c>
      <c r="M115" s="83">
        <f t="shared" si="56"/>
        <v>229.37477667479413</v>
      </c>
      <c r="N115" s="28">
        <f t="shared" si="57"/>
        <v>67.971324476014871</v>
      </c>
      <c r="O115" s="84">
        <v>0</v>
      </c>
      <c r="P115" s="28">
        <f t="shared" si="58"/>
        <v>0.20500328894239911</v>
      </c>
      <c r="Q115" s="28">
        <f t="shared" si="59"/>
        <v>0.20134251592557054</v>
      </c>
      <c r="R115" s="28">
        <f t="shared" si="60"/>
        <v>5.3733966506482496</v>
      </c>
      <c r="S115" s="28">
        <f t="shared" si="61"/>
        <v>153.76575227067246</v>
      </c>
      <c r="T115" s="28">
        <f t="shared" si="62"/>
        <v>164.90054682329171</v>
      </c>
      <c r="U115" s="29">
        <v>0</v>
      </c>
      <c r="V115" s="449">
        <f t="shared" si="65"/>
        <v>621.79214270028933</v>
      </c>
    </row>
    <row r="116" spans="2:22" s="28" customFormat="1">
      <c r="B116" s="83">
        <v>69</v>
      </c>
      <c r="C116" s="28">
        <f t="shared" si="49"/>
        <v>0</v>
      </c>
      <c r="D116" s="28">
        <f t="shared" si="50"/>
        <v>0</v>
      </c>
      <c r="E116" s="84">
        <v>0</v>
      </c>
      <c r="F116" s="28">
        <f t="shared" si="51"/>
        <v>0</v>
      </c>
      <c r="G116" s="28">
        <f t="shared" si="52"/>
        <v>0</v>
      </c>
      <c r="H116" s="28">
        <f t="shared" si="53"/>
        <v>0</v>
      </c>
      <c r="I116" s="28">
        <f t="shared" si="54"/>
        <v>0</v>
      </c>
      <c r="J116" s="28">
        <f t="shared" si="55"/>
        <v>0</v>
      </c>
      <c r="K116" s="29">
        <v>0</v>
      </c>
      <c r="M116" s="83">
        <f t="shared" si="56"/>
        <v>224.13584953515405</v>
      </c>
      <c r="N116" s="28">
        <f t="shared" si="57"/>
        <v>65.655971636521315</v>
      </c>
      <c r="O116" s="84">
        <v>0</v>
      </c>
      <c r="P116" s="28">
        <f t="shared" si="58"/>
        <v>0.14495921577671558</v>
      </c>
      <c r="Q116" s="28">
        <f t="shared" si="59"/>
        <v>0.14237065835213136</v>
      </c>
      <c r="R116" s="28">
        <f t="shared" si="60"/>
        <v>4.2648677479407162</v>
      </c>
      <c r="S116" s="28">
        <f t="shared" si="61"/>
        <v>147.95707213280107</v>
      </c>
      <c r="T116" s="28">
        <f t="shared" si="62"/>
        <v>163.63542096679342</v>
      </c>
      <c r="U116" s="29">
        <v>0</v>
      </c>
      <c r="V116" s="449">
        <f t="shared" si="65"/>
        <v>605.93651189333946</v>
      </c>
    </row>
    <row r="117" spans="2:22" s="28" customFormat="1">
      <c r="B117" s="83">
        <v>70</v>
      </c>
      <c r="C117" s="28">
        <f t="shared" si="49"/>
        <v>0</v>
      </c>
      <c r="D117" s="28">
        <f t="shared" si="50"/>
        <v>0</v>
      </c>
      <c r="E117" s="84">
        <v>0</v>
      </c>
      <c r="F117" s="28">
        <f t="shared" si="51"/>
        <v>0</v>
      </c>
      <c r="G117" s="28">
        <f t="shared" si="52"/>
        <v>0</v>
      </c>
      <c r="H117" s="28">
        <f t="shared" si="53"/>
        <v>0</v>
      </c>
      <c r="I117" s="28">
        <f t="shared" si="54"/>
        <v>0</v>
      </c>
      <c r="J117" s="28">
        <f t="shared" si="55"/>
        <v>0</v>
      </c>
      <c r="K117" s="29">
        <v>0</v>
      </c>
      <c r="M117" s="83">
        <f t="shared" si="56"/>
        <v>219.01657965675403</v>
      </c>
      <c r="N117" s="28">
        <f t="shared" si="57"/>
        <v>63.419488214575189</v>
      </c>
      <c r="O117" s="84">
        <v>0</v>
      </c>
      <c r="P117" s="28">
        <f t="shared" si="58"/>
        <v>0.10250164447119955</v>
      </c>
      <c r="Q117" s="28">
        <f t="shared" si="59"/>
        <v>0.10067125796278527</v>
      </c>
      <c r="R117" s="28">
        <f t="shared" si="60"/>
        <v>3.3850277747931696</v>
      </c>
      <c r="S117" s="28">
        <f t="shared" si="61"/>
        <v>142.36782164324765</v>
      </c>
      <c r="T117" s="28">
        <f t="shared" si="62"/>
        <v>162.38000122385031</v>
      </c>
      <c r="U117" s="29">
        <v>0</v>
      </c>
      <c r="V117" s="449">
        <f t="shared" si="65"/>
        <v>590.77209141565436</v>
      </c>
    </row>
    <row r="118" spans="2:22" s="111" customFormat="1">
      <c r="B118" s="116">
        <v>71</v>
      </c>
      <c r="C118" s="111">
        <f t="shared" si="49"/>
        <v>0</v>
      </c>
      <c r="D118" s="111">
        <f t="shared" si="50"/>
        <v>0</v>
      </c>
      <c r="E118" s="111">
        <v>0</v>
      </c>
      <c r="F118" s="111">
        <f t="shared" si="51"/>
        <v>0</v>
      </c>
      <c r="G118" s="111">
        <f t="shared" si="52"/>
        <v>0</v>
      </c>
      <c r="H118" s="111">
        <f t="shared" si="53"/>
        <v>0</v>
      </c>
      <c r="I118" s="111">
        <f t="shared" si="54"/>
        <v>0</v>
      </c>
      <c r="J118" s="111">
        <f t="shared" si="55"/>
        <v>0</v>
      </c>
      <c r="K118" s="180">
        <v>0</v>
      </c>
      <c r="M118" s="239">
        <f>(EXP(-$C$44))*M117+((1-(EXP(-$C$44)))/$C$44)*Q31</f>
        <v>214.01423406397026</v>
      </c>
      <c r="N118" s="183">
        <f>(EXP(-$D$44))*N117+((1-(EXP(-$D$44)))/$D$44)*Q32</f>
        <v>61.259187628279271</v>
      </c>
      <c r="O118" s="111">
        <v>0</v>
      </c>
      <c r="P118" s="183">
        <f>(EXP(-$F$44))*P117+((1-(EXP(-$F$44)))/$F$44)*Q34</f>
        <v>7.2479607888357792E-2</v>
      </c>
      <c r="Q118" s="183">
        <f>(EXP(-$F$44))*Q117+((1-(EXP(-$F$44)))/$F$44)*Q35</f>
        <v>7.1185329176065681E-2</v>
      </c>
      <c r="R118" s="183">
        <f>(EXP(-$H$44))*R117+((1-(EXP(-$H$44)))/$H$44)*Q36</f>
        <v>2.6866983253241257</v>
      </c>
      <c r="S118" s="183">
        <f>(EXP(-$I$44))*S117+((1-(EXP(-$I$44)))/$I$44)*Q37</f>
        <v>136.98971159182707</v>
      </c>
      <c r="T118" s="183">
        <f>(EXP(-$J$44))*T117+((1-(EXP(-$J$44)))/$J$44)*Q38</f>
        <v>161.13421312863764</v>
      </c>
      <c r="U118" s="180">
        <v>0</v>
      </c>
      <c r="V118" s="456">
        <f t="shared" si="65"/>
        <v>576.2277096751028</v>
      </c>
    </row>
    <row r="119" spans="2:22" s="28" customFormat="1">
      <c r="B119" s="83">
        <v>72</v>
      </c>
      <c r="C119" s="28">
        <f t="shared" si="49"/>
        <v>0</v>
      </c>
      <c r="D119" s="28">
        <f t="shared" si="50"/>
        <v>0</v>
      </c>
      <c r="E119" s="84">
        <v>0</v>
      </c>
      <c r="F119" s="28">
        <f t="shared" si="51"/>
        <v>0</v>
      </c>
      <c r="G119" s="28">
        <f t="shared" si="52"/>
        <v>0</v>
      </c>
      <c r="H119" s="28">
        <f t="shared" si="53"/>
        <v>0</v>
      </c>
      <c r="I119" s="28">
        <f t="shared" si="54"/>
        <v>0</v>
      </c>
      <c r="J119" s="28">
        <f t="shared" si="55"/>
        <v>0</v>
      </c>
      <c r="K119" s="29">
        <v>0</v>
      </c>
      <c r="M119" s="83">
        <f t="shared" ref="M119" si="66">(EXP(-$C$44))*M118+((1-(EXP(-$C$44)))/$C$44)*$C$42</f>
        <v>209.1261422024285</v>
      </c>
      <c r="N119" s="28">
        <f t="shared" ref="N119" si="67">(EXP(-$D$44))*N118+((1-(EXP(-$D$44)))/$D$44)*$C$42</f>
        <v>59.1724748105784</v>
      </c>
      <c r="O119" s="84">
        <v>0</v>
      </c>
      <c r="P119" s="28">
        <f t="shared" ref="P119" si="68">(EXP(-$F$44))*P118+((1-(EXP(-$F$44)))/$F$44)*$C$42</f>
        <v>5.1250822235599777E-2</v>
      </c>
      <c r="Q119" s="28">
        <f t="shared" ref="Q119" si="69">(EXP(-$F$44))*Q118+((1-(EXP(-$F$44)))/$F$44)*$C$42</f>
        <v>5.0335628981392634E-2</v>
      </c>
      <c r="R119" s="28">
        <f t="shared" ref="R119" si="70">(EXP(-$H$44))*R118+((1-(EXP(-$H$44)))/$H$44)*$C$42</f>
        <v>2.1324338739703586</v>
      </c>
      <c r="S119" s="28">
        <f t="shared" ref="S119" si="71">(EXP(-$I$44))*S118+((1-(EXP(-$I$44)))/$I$44)*$C$42</f>
        <v>131.81476590291021</v>
      </c>
      <c r="T119" s="28">
        <f t="shared" ref="T119" si="72">(EXP(-$J$44))*T118+((1-(EXP(-$J$44)))/$J$44)*$C$42</f>
        <v>159.89798278663642</v>
      </c>
      <c r="U119" s="29">
        <v>0</v>
      </c>
      <c r="V119" s="449">
        <f t="shared" si="65"/>
        <v>562.24538602774078</v>
      </c>
    </row>
    <row r="120" spans="2:22" s="28" customFormat="1">
      <c r="B120" s="83">
        <v>73</v>
      </c>
      <c r="C120" s="28">
        <f t="shared" si="49"/>
        <v>0</v>
      </c>
      <c r="D120" s="28">
        <f t="shared" si="50"/>
        <v>0</v>
      </c>
      <c r="E120" s="84">
        <v>0</v>
      </c>
      <c r="F120" s="28">
        <f t="shared" si="51"/>
        <v>0</v>
      </c>
      <c r="G120" s="28">
        <f t="shared" si="52"/>
        <v>0</v>
      </c>
      <c r="H120" s="28">
        <f t="shared" si="53"/>
        <v>0</v>
      </c>
      <c r="I120" s="28">
        <f t="shared" si="54"/>
        <v>0</v>
      </c>
      <c r="J120" s="28">
        <f t="shared" si="55"/>
        <v>0</v>
      </c>
      <c r="K120" s="29">
        <v>0</v>
      </c>
      <c r="M120" s="83">
        <f t="shared" ref="M120:M146" si="73">(EXP(-$C$44))*M119+((1-(EXP(-$C$44)))/$C$44)*$C$42</f>
        <v>204.34969451330065</v>
      </c>
      <c r="N120" s="28">
        <f t="shared" ref="N120:N146" si="74">(EXP(-$D$44))*N119+((1-(EXP(-$D$44)))/$D$44)*$C$42</f>
        <v>57.156843091927996</v>
      </c>
      <c r="O120" s="84">
        <v>0</v>
      </c>
      <c r="P120" s="28">
        <f t="shared" ref="P120:P146" si="75">(EXP(-$F$44))*P119+((1-(EXP(-$F$44)))/$F$44)*$C$42</f>
        <v>3.6239803944178896E-2</v>
      </c>
      <c r="Q120" s="28">
        <f t="shared" ref="Q120:Q146" si="76">(EXP(-$F$44))*Q119+((1-(EXP(-$F$44)))/$F$44)*$C$42</f>
        <v>3.5592664588032841E-2</v>
      </c>
      <c r="R120" s="28">
        <f t="shared" ref="R120:R146" si="77">(EXP(-$H$44))*R119+((1-(EXP(-$H$44)))/$H$44)*$C$42</f>
        <v>1.692513887396585</v>
      </c>
      <c r="S120" s="28">
        <f t="shared" ref="S120:S146" si="78">(EXP(-$I$44))*S119+((1-(EXP(-$I$44)))/$I$44)*$C$42</f>
        <v>126.8353098064018</v>
      </c>
      <c r="T120" s="28">
        <f t="shared" ref="T120:T146" si="79">(EXP(-$J$44))*T119+((1-(EXP(-$J$44)))/$J$44)*$C$42</f>
        <v>158.67123687025042</v>
      </c>
      <c r="U120" s="29">
        <v>0</v>
      </c>
      <c r="V120" s="449">
        <f t="shared" si="65"/>
        <v>548.77743063780963</v>
      </c>
    </row>
    <row r="121" spans="2:22" s="28" customFormat="1">
      <c r="B121" s="83">
        <v>74</v>
      </c>
      <c r="C121" s="28">
        <f t="shared" si="49"/>
        <v>0</v>
      </c>
      <c r="D121" s="28">
        <f t="shared" si="50"/>
        <v>0</v>
      </c>
      <c r="E121" s="84">
        <v>0</v>
      </c>
      <c r="F121" s="28">
        <f t="shared" si="51"/>
        <v>0</v>
      </c>
      <c r="G121" s="28">
        <f t="shared" si="52"/>
        <v>0</v>
      </c>
      <c r="H121" s="28">
        <f t="shared" si="53"/>
        <v>0</v>
      </c>
      <c r="I121" s="28">
        <f t="shared" si="54"/>
        <v>0</v>
      </c>
      <c r="J121" s="28">
        <f t="shared" si="55"/>
        <v>0</v>
      </c>
      <c r="K121" s="29">
        <v>0</v>
      </c>
      <c r="M121" s="83">
        <f t="shared" si="73"/>
        <v>199.68234104016466</v>
      </c>
      <c r="N121" s="28">
        <f t="shared" si="74"/>
        <v>55.209871189150348</v>
      </c>
      <c r="O121" s="84">
        <v>0</v>
      </c>
      <c r="P121" s="28">
        <f t="shared" si="75"/>
        <v>2.5625411117799889E-2</v>
      </c>
      <c r="Q121" s="28">
        <f t="shared" si="76"/>
        <v>2.5167814490696317E-2</v>
      </c>
      <c r="R121" s="28">
        <f t="shared" si="77"/>
        <v>1.3433491626620631</v>
      </c>
      <c r="S121" s="28">
        <f t="shared" si="78"/>
        <v>122.04395845557353</v>
      </c>
      <c r="T121" s="28">
        <f t="shared" si="79"/>
        <v>157.45390261445664</v>
      </c>
      <c r="U121" s="29">
        <v>0</v>
      </c>
      <c r="V121" s="449">
        <f t="shared" si="65"/>
        <v>535.78421568761576</v>
      </c>
    </row>
    <row r="122" spans="2:22" s="28" customFormat="1">
      <c r="B122" s="83">
        <v>75</v>
      </c>
      <c r="C122" s="28">
        <f t="shared" si="49"/>
        <v>0</v>
      </c>
      <c r="D122" s="28">
        <f t="shared" si="50"/>
        <v>0</v>
      </c>
      <c r="E122" s="84">
        <v>0</v>
      </c>
      <c r="F122" s="28">
        <f t="shared" si="51"/>
        <v>0</v>
      </c>
      <c r="G122" s="28">
        <f t="shared" si="52"/>
        <v>0</v>
      </c>
      <c r="H122" s="28">
        <f t="shared" si="53"/>
        <v>0</v>
      </c>
      <c r="I122" s="28">
        <f t="shared" si="54"/>
        <v>0</v>
      </c>
      <c r="J122" s="28">
        <f t="shared" si="55"/>
        <v>0</v>
      </c>
      <c r="K122" s="29">
        <v>0</v>
      </c>
      <c r="M122" s="83">
        <f t="shared" si="73"/>
        <v>195.12159006768363</v>
      </c>
      <c r="N122" s="28">
        <f t="shared" si="74"/>
        <v>53.329220296861486</v>
      </c>
      <c r="O122" s="84">
        <v>0</v>
      </c>
      <c r="P122" s="28">
        <f t="shared" si="75"/>
        <v>1.8119901972089448E-2</v>
      </c>
      <c r="Q122" s="28">
        <f t="shared" si="76"/>
        <v>1.779633229401642E-2</v>
      </c>
      <c r="R122" s="28">
        <f t="shared" si="77"/>
        <v>1.0662169369851795</v>
      </c>
      <c r="S122" s="28">
        <f t="shared" si="78"/>
        <v>117.43360597487161</v>
      </c>
      <c r="T122" s="28">
        <f t="shared" si="79"/>
        <v>156.24590781248926</v>
      </c>
      <c r="U122" s="29">
        <v>0</v>
      </c>
      <c r="V122" s="449">
        <f t="shared" si="65"/>
        <v>523.23245732315729</v>
      </c>
    </row>
    <row r="123" spans="2:22" s="28" customFormat="1">
      <c r="B123" s="83">
        <v>76</v>
      </c>
      <c r="C123" s="28">
        <f t="shared" si="49"/>
        <v>0</v>
      </c>
      <c r="D123" s="28">
        <f t="shared" si="50"/>
        <v>0</v>
      </c>
      <c r="E123" s="84">
        <v>0</v>
      </c>
      <c r="F123" s="28">
        <f t="shared" si="51"/>
        <v>0</v>
      </c>
      <c r="G123" s="28">
        <f t="shared" si="52"/>
        <v>0</v>
      </c>
      <c r="H123" s="28">
        <f t="shared" si="53"/>
        <v>0</v>
      </c>
      <c r="I123" s="28">
        <f t="shared" si="54"/>
        <v>0</v>
      </c>
      <c r="J123" s="28">
        <f t="shared" si="55"/>
        <v>0</v>
      </c>
      <c r="K123" s="29">
        <v>0</v>
      </c>
      <c r="M123" s="83">
        <f t="shared" si="73"/>
        <v>190.66500679137761</v>
      </c>
      <c r="N123" s="28">
        <f t="shared" si="74"/>
        <v>51.512631277974748</v>
      </c>
      <c r="O123" s="84">
        <v>0</v>
      </c>
      <c r="P123" s="28">
        <f t="shared" si="75"/>
        <v>1.2812705558899944E-2</v>
      </c>
      <c r="Q123" s="28">
        <f t="shared" si="76"/>
        <v>1.2583907245348159E-2</v>
      </c>
      <c r="R123" s="28">
        <f t="shared" si="77"/>
        <v>0.84625694369829274</v>
      </c>
      <c r="S123" s="28">
        <f t="shared" si="78"/>
        <v>112.99741492145617</v>
      </c>
      <c r="T123" s="28">
        <f t="shared" si="79"/>
        <v>155.04718081155667</v>
      </c>
      <c r="U123" s="29">
        <v>0</v>
      </c>
      <c r="V123" s="449">
        <f t="shared" si="65"/>
        <v>511.09388735886773</v>
      </c>
    </row>
    <row r="124" spans="2:22" s="28" customFormat="1">
      <c r="B124" s="83">
        <v>77</v>
      </c>
      <c r="C124" s="28">
        <f t="shared" si="49"/>
        <v>0</v>
      </c>
      <c r="D124" s="28">
        <f t="shared" si="50"/>
        <v>0</v>
      </c>
      <c r="E124" s="84">
        <v>0</v>
      </c>
      <c r="F124" s="28">
        <f t="shared" si="51"/>
        <v>0</v>
      </c>
      <c r="G124" s="28">
        <f t="shared" si="52"/>
        <v>0</v>
      </c>
      <c r="H124" s="28">
        <f t="shared" si="53"/>
        <v>0</v>
      </c>
      <c r="I124" s="28">
        <f t="shared" si="54"/>
        <v>0</v>
      </c>
      <c r="J124" s="28">
        <f t="shared" si="55"/>
        <v>0</v>
      </c>
      <c r="K124" s="29">
        <v>0</v>
      </c>
      <c r="M124" s="83">
        <f t="shared" si="73"/>
        <v>186.31021201777781</v>
      </c>
      <c r="N124" s="28">
        <f t="shared" si="74"/>
        <v>49.757921949906105</v>
      </c>
      <c r="O124" s="84">
        <v>0</v>
      </c>
      <c r="P124" s="28">
        <f t="shared" si="75"/>
        <v>9.0599509860447239E-3</v>
      </c>
      <c r="Q124" s="28">
        <f t="shared" si="76"/>
        <v>8.8981661470082102E-3</v>
      </c>
      <c r="R124" s="28">
        <f t="shared" si="77"/>
        <v>0.67167458133103164</v>
      </c>
      <c r="S124" s="28">
        <f t="shared" si="78"/>
        <v>108.72880614484329</v>
      </c>
      <c r="T124" s="28">
        <f t="shared" si="79"/>
        <v>153.85765050859129</v>
      </c>
      <c r="U124" s="29">
        <v>0</v>
      </c>
      <c r="V124" s="449">
        <f t="shared" si="65"/>
        <v>499.34422331958262</v>
      </c>
    </row>
    <row r="125" spans="2:22" s="28" customFormat="1">
      <c r="B125" s="83">
        <v>78</v>
      </c>
      <c r="C125" s="28">
        <f t="shared" si="49"/>
        <v>0</v>
      </c>
      <c r="D125" s="28">
        <f t="shared" si="50"/>
        <v>0</v>
      </c>
      <c r="E125" s="84">
        <v>0</v>
      </c>
      <c r="F125" s="28">
        <f t="shared" si="51"/>
        <v>0</v>
      </c>
      <c r="G125" s="28">
        <f t="shared" si="52"/>
        <v>0</v>
      </c>
      <c r="H125" s="28">
        <f t="shared" si="53"/>
        <v>0</v>
      </c>
      <c r="I125" s="28">
        <f t="shared" si="54"/>
        <v>0</v>
      </c>
      <c r="J125" s="28">
        <f t="shared" si="55"/>
        <v>0</v>
      </c>
      <c r="K125" s="29">
        <v>0</v>
      </c>
      <c r="M125" s="83">
        <f t="shared" si="73"/>
        <v>182.05488089426944</v>
      </c>
      <c r="N125" s="28">
        <f t="shared" si="74"/>
        <v>48.062984463221298</v>
      </c>
      <c r="O125" s="84">
        <v>0</v>
      </c>
      <c r="P125" s="28">
        <f t="shared" si="75"/>
        <v>6.4063527794499722E-3</v>
      </c>
      <c r="Q125" s="28">
        <f t="shared" si="76"/>
        <v>6.2919536226740793E-3</v>
      </c>
      <c r="R125" s="28">
        <f t="shared" si="77"/>
        <v>0.53310846849258986</v>
      </c>
      <c r="S125" s="28">
        <f t="shared" si="78"/>
        <v>104.62144902961082</v>
      </c>
      <c r="T125" s="28">
        <f t="shared" si="79"/>
        <v>152.67724634603212</v>
      </c>
      <c r="U125" s="29">
        <v>0</v>
      </c>
      <c r="V125" s="449">
        <f t="shared" si="65"/>
        <v>487.96236750802842</v>
      </c>
    </row>
    <row r="126" spans="2:22" s="28" customFormat="1">
      <c r="B126" s="83">
        <v>79</v>
      </c>
      <c r="C126" s="28">
        <f t="shared" si="49"/>
        <v>0</v>
      </c>
      <c r="D126" s="28">
        <f t="shared" si="50"/>
        <v>0</v>
      </c>
      <c r="E126" s="84">
        <v>0</v>
      </c>
      <c r="F126" s="28">
        <f t="shared" si="51"/>
        <v>0</v>
      </c>
      <c r="G126" s="28">
        <f t="shared" si="52"/>
        <v>0</v>
      </c>
      <c r="H126" s="28">
        <f t="shared" si="53"/>
        <v>0</v>
      </c>
      <c r="I126" s="28">
        <f t="shared" si="54"/>
        <v>0</v>
      </c>
      <c r="J126" s="28">
        <f t="shared" si="55"/>
        <v>0</v>
      </c>
      <c r="K126" s="29">
        <v>0</v>
      </c>
      <c r="M126" s="83">
        <f t="shared" si="73"/>
        <v>177.89674166794472</v>
      </c>
      <c r="N126" s="28">
        <f t="shared" si="74"/>
        <v>46.425782769575868</v>
      </c>
      <c r="O126" s="84">
        <v>0</v>
      </c>
      <c r="P126" s="28">
        <f t="shared" si="75"/>
        <v>4.529975493022362E-3</v>
      </c>
      <c r="Q126" s="28">
        <f t="shared" si="76"/>
        <v>4.4490830735041051E-3</v>
      </c>
      <c r="R126" s="28">
        <f t="shared" si="77"/>
        <v>0.42312847184914648</v>
      </c>
      <c r="S126" s="28">
        <f t="shared" si="78"/>
        <v>100.66925210669736</v>
      </c>
      <c r="T126" s="28">
        <f t="shared" si="79"/>
        <v>151.50589830763954</v>
      </c>
      <c r="U126" s="29">
        <v>0</v>
      </c>
      <c r="V126" s="449">
        <f t="shared" si="65"/>
        <v>476.92978238227317</v>
      </c>
    </row>
    <row r="127" spans="2:22" s="28" customFormat="1">
      <c r="B127" s="83">
        <v>80</v>
      </c>
      <c r="C127" s="28">
        <f t="shared" si="49"/>
        <v>0</v>
      </c>
      <c r="D127" s="28">
        <f t="shared" si="50"/>
        <v>0</v>
      </c>
      <c r="E127" s="84">
        <v>0</v>
      </c>
      <c r="F127" s="28">
        <f t="shared" si="51"/>
        <v>0</v>
      </c>
      <c r="G127" s="28">
        <f t="shared" si="52"/>
        <v>0</v>
      </c>
      <c r="H127" s="28">
        <f t="shared" si="53"/>
        <v>0</v>
      </c>
      <c r="I127" s="28">
        <f t="shared" si="54"/>
        <v>0</v>
      </c>
      <c r="J127" s="28">
        <f t="shared" si="55"/>
        <v>0</v>
      </c>
      <c r="K127" s="29">
        <v>0</v>
      </c>
      <c r="M127" s="83">
        <f t="shared" si="73"/>
        <v>173.83357447280406</v>
      </c>
      <c r="N127" s="28">
        <f t="shared" si="74"/>
        <v>44.844350175906463</v>
      </c>
      <c r="O127" s="84">
        <v>0</v>
      </c>
      <c r="P127" s="28">
        <f t="shared" si="75"/>
        <v>3.2031763897249861E-3</v>
      </c>
      <c r="Q127" s="28">
        <f t="shared" si="76"/>
        <v>3.1459768113370396E-3</v>
      </c>
      <c r="R127" s="28">
        <f t="shared" si="77"/>
        <v>0.33583729066551593</v>
      </c>
      <c r="S127" s="28">
        <f t="shared" si="78"/>
        <v>96.866354019370334</v>
      </c>
      <c r="T127" s="28">
        <f t="shared" si="79"/>
        <v>150.34353691434231</v>
      </c>
      <c r="U127" s="29">
        <v>0</v>
      </c>
      <c r="V127" s="449">
        <f t="shared" si="65"/>
        <v>466.23000202628975</v>
      </c>
    </row>
    <row r="128" spans="2:22" s="28" customFormat="1">
      <c r="B128" s="83">
        <v>81</v>
      </c>
      <c r="C128" s="28">
        <f t="shared" si="49"/>
        <v>0</v>
      </c>
      <c r="D128" s="28">
        <f t="shared" si="50"/>
        <v>0</v>
      </c>
      <c r="E128" s="84">
        <v>0</v>
      </c>
      <c r="F128" s="28">
        <f t="shared" si="51"/>
        <v>0</v>
      </c>
      <c r="G128" s="28">
        <f t="shared" si="52"/>
        <v>0</v>
      </c>
      <c r="H128" s="28">
        <f t="shared" si="53"/>
        <v>0</v>
      </c>
      <c r="I128" s="28">
        <f t="shared" si="54"/>
        <v>0</v>
      </c>
      <c r="J128" s="28">
        <f t="shared" si="55"/>
        <v>0</v>
      </c>
      <c r="K128" s="29">
        <v>0</v>
      </c>
      <c r="M128" s="83">
        <f t="shared" si="73"/>
        <v>169.86321014465736</v>
      </c>
      <c r="N128" s="28">
        <f t="shared" si="74"/>
        <v>43.316786981935344</v>
      </c>
      <c r="O128" s="84">
        <v>0</v>
      </c>
      <c r="P128" s="28">
        <f t="shared" si="75"/>
        <v>2.264987746511181E-3</v>
      </c>
      <c r="Q128" s="28">
        <f t="shared" si="76"/>
        <v>2.2245415367520525E-3</v>
      </c>
      <c r="R128" s="28">
        <f t="shared" si="77"/>
        <v>0.26655423424629499</v>
      </c>
      <c r="S128" s="28">
        <f t="shared" si="78"/>
        <v>93.207114830465116</v>
      </c>
      <c r="T128" s="28">
        <f t="shared" si="79"/>
        <v>149.19009322011635</v>
      </c>
      <c r="U128" s="29">
        <v>0</v>
      </c>
      <c r="V128" s="449">
        <f t="shared" si="65"/>
        <v>455.84824894070374</v>
      </c>
    </row>
    <row r="129" spans="2:27" s="28" customFormat="1">
      <c r="B129" s="83">
        <v>82</v>
      </c>
      <c r="C129" s="28">
        <f t="shared" si="49"/>
        <v>0</v>
      </c>
      <c r="D129" s="28">
        <f t="shared" si="50"/>
        <v>0</v>
      </c>
      <c r="E129" s="84">
        <v>0</v>
      </c>
      <c r="F129" s="28">
        <f t="shared" si="51"/>
        <v>0</v>
      </c>
      <c r="G129" s="28">
        <f t="shared" si="52"/>
        <v>0</v>
      </c>
      <c r="H129" s="28">
        <f t="shared" si="53"/>
        <v>0</v>
      </c>
      <c r="I129" s="28">
        <f t="shared" si="54"/>
        <v>0</v>
      </c>
      <c r="J129" s="28">
        <f t="shared" si="55"/>
        <v>0</v>
      </c>
      <c r="K129" s="29">
        <v>0</v>
      </c>
      <c r="M129" s="83">
        <f t="shared" si="73"/>
        <v>165.98352906309307</v>
      </c>
      <c r="N129" s="28">
        <f t="shared" si="74"/>
        <v>41.841258198150172</v>
      </c>
      <c r="O129" s="84">
        <v>0</v>
      </c>
      <c r="P129" s="28">
        <f t="shared" si="75"/>
        <v>1.601588194862493E-3</v>
      </c>
      <c r="Q129" s="28">
        <f t="shared" si="76"/>
        <v>1.5729884056685198E-3</v>
      </c>
      <c r="R129" s="28">
        <f t="shared" si="77"/>
        <v>0.21156423592457327</v>
      </c>
      <c r="S129" s="28">
        <f t="shared" si="78"/>
        <v>89.686107658003323</v>
      </c>
      <c r="T129" s="28">
        <f t="shared" si="79"/>
        <v>148.04549880789514</v>
      </c>
      <c r="U129" s="29">
        <v>0</v>
      </c>
      <c r="V129" s="449">
        <f t="shared" si="65"/>
        <v>445.77113253966684</v>
      </c>
    </row>
    <row r="130" spans="2:27" s="28" customFormat="1">
      <c r="B130" s="83">
        <v>83</v>
      </c>
      <c r="C130" s="28">
        <f t="shared" si="49"/>
        <v>0</v>
      </c>
      <c r="D130" s="28">
        <f t="shared" si="50"/>
        <v>0</v>
      </c>
      <c r="E130" s="84">
        <v>0</v>
      </c>
      <c r="F130" s="28">
        <f t="shared" si="51"/>
        <v>0</v>
      </c>
      <c r="G130" s="28">
        <f t="shared" si="52"/>
        <v>0</v>
      </c>
      <c r="H130" s="28">
        <f t="shared" si="53"/>
        <v>0</v>
      </c>
      <c r="I130" s="28">
        <f t="shared" si="54"/>
        <v>0</v>
      </c>
      <c r="J130" s="28">
        <f t="shared" si="55"/>
        <v>0</v>
      </c>
      <c r="K130" s="29">
        <v>0</v>
      </c>
      <c r="M130" s="83">
        <f t="shared" si="73"/>
        <v>162.19246001989677</v>
      </c>
      <c r="N130" s="28">
        <f t="shared" si="74"/>
        <v>40.415991341517774</v>
      </c>
      <c r="O130" s="84">
        <v>0</v>
      </c>
      <c r="P130" s="28">
        <f t="shared" si="75"/>
        <v>1.1324938732555905E-3</v>
      </c>
      <c r="Q130" s="28">
        <f t="shared" si="76"/>
        <v>1.1122707683760263E-3</v>
      </c>
      <c r="R130" s="28">
        <f t="shared" si="77"/>
        <v>0.16791864533275799</v>
      </c>
      <c r="S130" s="28">
        <f t="shared" si="78"/>
        <v>86.298110626785331</v>
      </c>
      <c r="T130" s="28">
        <f t="shared" si="79"/>
        <v>146.90968578551164</v>
      </c>
      <c r="U130" s="29">
        <v>0</v>
      </c>
      <c r="V130" s="449">
        <f t="shared" si="65"/>
        <v>435.98641118368596</v>
      </c>
    </row>
    <row r="131" spans="2:27" s="28" customFormat="1">
      <c r="B131" s="83">
        <v>84</v>
      </c>
      <c r="C131" s="28">
        <f t="shared" si="49"/>
        <v>0</v>
      </c>
      <c r="D131" s="28">
        <f t="shared" si="50"/>
        <v>0</v>
      </c>
      <c r="E131" s="84">
        <v>0</v>
      </c>
      <c r="F131" s="28">
        <f t="shared" si="51"/>
        <v>0</v>
      </c>
      <c r="G131" s="28">
        <f t="shared" si="52"/>
        <v>0</v>
      </c>
      <c r="H131" s="28">
        <f t="shared" si="53"/>
        <v>0</v>
      </c>
      <c r="I131" s="28">
        <f t="shared" si="54"/>
        <v>0</v>
      </c>
      <c r="J131" s="28">
        <f t="shared" si="55"/>
        <v>0</v>
      </c>
      <c r="K131" s="29">
        <v>0</v>
      </c>
      <c r="M131" s="83">
        <f t="shared" si="73"/>
        <v>158.48797911331502</v>
      </c>
      <c r="N131" s="28">
        <f t="shared" si="74"/>
        <v>39.039274306284021</v>
      </c>
      <c r="O131" s="84">
        <v>0</v>
      </c>
      <c r="P131" s="28">
        <f t="shared" si="75"/>
        <v>8.0079409743124652E-4</v>
      </c>
      <c r="Q131" s="28">
        <f t="shared" si="76"/>
        <v>7.8649420283425991E-4</v>
      </c>
      <c r="R131" s="28">
        <f t="shared" si="77"/>
        <v>0.13327711712314752</v>
      </c>
      <c r="S131" s="28">
        <f t="shared" si="78"/>
        <v>83.038099124020775</v>
      </c>
      <c r="T131" s="28">
        <f t="shared" si="79"/>
        <v>145.78258678167111</v>
      </c>
      <c r="U131" s="29">
        <v>0</v>
      </c>
      <c r="V131" s="449">
        <f t="shared" si="65"/>
        <v>426.48280373071435</v>
      </c>
    </row>
    <row r="132" spans="2:27" s="28" customFormat="1">
      <c r="B132" s="83">
        <v>85</v>
      </c>
      <c r="C132" s="28">
        <f t="shared" si="49"/>
        <v>0</v>
      </c>
      <c r="D132" s="28">
        <f t="shared" si="50"/>
        <v>0</v>
      </c>
      <c r="E132" s="84">
        <v>0</v>
      </c>
      <c r="F132" s="28">
        <f t="shared" si="51"/>
        <v>0</v>
      </c>
      <c r="G132" s="28">
        <f t="shared" si="52"/>
        <v>0</v>
      </c>
      <c r="H132" s="28">
        <f t="shared" si="53"/>
        <v>0</v>
      </c>
      <c r="I132" s="28">
        <f t="shared" si="54"/>
        <v>0</v>
      </c>
      <c r="J132" s="28">
        <f t="shared" si="55"/>
        <v>0</v>
      </c>
      <c r="K132" s="29">
        <v>0</v>
      </c>
      <c r="M132" s="83">
        <f t="shared" si="73"/>
        <v>154.86810866757432</v>
      </c>
      <c r="N132" s="28">
        <f t="shared" si="74"/>
        <v>37.709453307302034</v>
      </c>
      <c r="O132" s="84">
        <v>0</v>
      </c>
      <c r="P132" s="28">
        <f t="shared" si="75"/>
        <v>5.6624693662779525E-4</v>
      </c>
      <c r="Q132" s="28">
        <f t="shared" si="76"/>
        <v>5.5613538418801314E-4</v>
      </c>
      <c r="R132" s="28">
        <f t="shared" si="77"/>
        <v>0.10578211796228666</v>
      </c>
      <c r="S132" s="28">
        <f t="shared" si="78"/>
        <v>79.901238347511622</v>
      </c>
      <c r="T132" s="28">
        <f t="shared" si="79"/>
        <v>144.66413494195504</v>
      </c>
      <c r="U132" s="29">
        <v>0</v>
      </c>
      <c r="V132" s="449">
        <f t="shared" si="65"/>
        <v>417.24983976462613</v>
      </c>
    </row>
    <row r="133" spans="2:27" s="28" customFormat="1">
      <c r="B133" s="83">
        <v>86</v>
      </c>
      <c r="C133" s="28">
        <f t="shared" si="49"/>
        <v>0</v>
      </c>
      <c r="D133" s="28">
        <f t="shared" si="50"/>
        <v>0</v>
      </c>
      <c r="E133" s="84">
        <v>0</v>
      </c>
      <c r="F133" s="28">
        <f t="shared" si="51"/>
        <v>0</v>
      </c>
      <c r="G133" s="28">
        <f t="shared" si="52"/>
        <v>0</v>
      </c>
      <c r="H133" s="28">
        <f t="shared" si="53"/>
        <v>0</v>
      </c>
      <c r="I133" s="28">
        <f t="shared" si="54"/>
        <v>0</v>
      </c>
      <c r="J133" s="28">
        <f t="shared" si="55"/>
        <v>0</v>
      </c>
      <c r="K133" s="29">
        <v>0</v>
      </c>
      <c r="M133" s="83">
        <f t="shared" si="73"/>
        <v>151.33091617707828</v>
      </c>
      <c r="N133" s="28">
        <f t="shared" si="74"/>
        <v>36.424930893418207</v>
      </c>
      <c r="O133" s="84">
        <v>0</v>
      </c>
      <c r="P133" s="28">
        <f t="shared" si="75"/>
        <v>4.0039704871562326E-4</v>
      </c>
      <c r="Q133" s="28">
        <f t="shared" si="76"/>
        <v>3.9324710141712995E-4</v>
      </c>
      <c r="R133" s="28">
        <f t="shared" si="77"/>
        <v>8.395932266637901E-2</v>
      </c>
      <c r="S133" s="28">
        <f t="shared" si="78"/>
        <v>76.882876135336232</v>
      </c>
      <c r="T133" s="28">
        <f t="shared" si="79"/>
        <v>143.55426392485558</v>
      </c>
      <c r="U133" s="29">
        <v>0</v>
      </c>
      <c r="V133" s="449">
        <f t="shared" si="65"/>
        <v>408.27774009750476</v>
      </c>
    </row>
    <row r="134" spans="2:27" s="28" customFormat="1">
      <c r="B134" s="83">
        <v>87</v>
      </c>
      <c r="C134" s="28">
        <f t="shared" si="49"/>
        <v>0</v>
      </c>
      <c r="D134" s="28">
        <f t="shared" si="50"/>
        <v>0</v>
      </c>
      <c r="E134" s="84">
        <v>0</v>
      </c>
      <c r="F134" s="28">
        <f t="shared" si="51"/>
        <v>0</v>
      </c>
      <c r="G134" s="28">
        <f t="shared" si="52"/>
        <v>0</v>
      </c>
      <c r="H134" s="28">
        <f t="shared" si="53"/>
        <v>0</v>
      </c>
      <c r="I134" s="28">
        <f t="shared" si="54"/>
        <v>0</v>
      </c>
      <c r="J134" s="28">
        <f t="shared" si="55"/>
        <v>0</v>
      </c>
      <c r="K134" s="29">
        <v>0</v>
      </c>
      <c r="M134" s="83">
        <f t="shared" si="73"/>
        <v>147.87451327471933</v>
      </c>
      <c r="N134" s="28">
        <f t="shared" si="74"/>
        <v>35.18416402852958</v>
      </c>
      <c r="O134" s="84">
        <v>0</v>
      </c>
      <c r="P134" s="28">
        <f t="shared" si="75"/>
        <v>2.8312346831389762E-4</v>
      </c>
      <c r="Q134" s="28">
        <f t="shared" si="76"/>
        <v>2.7806769209400657E-4</v>
      </c>
      <c r="R134" s="28">
        <f t="shared" si="77"/>
        <v>6.6638558561573774E-2</v>
      </c>
      <c r="S134" s="28">
        <f t="shared" si="78"/>
        <v>73.978536066400537</v>
      </c>
      <c r="T134" s="28">
        <f t="shared" si="79"/>
        <v>142.4529078978405</v>
      </c>
      <c r="U134" s="29">
        <v>0</v>
      </c>
      <c r="V134" s="449">
        <f t="shared" si="65"/>
        <v>399.55732101721196</v>
      </c>
    </row>
    <row r="135" spans="2:27" s="28" customFormat="1">
      <c r="B135" s="83">
        <v>88</v>
      </c>
      <c r="C135" s="28">
        <f t="shared" si="49"/>
        <v>0</v>
      </c>
      <c r="D135" s="28">
        <f t="shared" si="50"/>
        <v>0</v>
      </c>
      <c r="E135" s="84">
        <v>0</v>
      </c>
      <c r="F135" s="28">
        <f t="shared" si="51"/>
        <v>0</v>
      </c>
      <c r="G135" s="28">
        <f t="shared" si="52"/>
        <v>0</v>
      </c>
      <c r="H135" s="28">
        <f t="shared" si="53"/>
        <v>0</v>
      </c>
      <c r="I135" s="28">
        <f t="shared" si="54"/>
        <v>0</v>
      </c>
      <c r="J135" s="28">
        <f t="shared" si="55"/>
        <v>0</v>
      </c>
      <c r="K135" s="29">
        <v>0</v>
      </c>
      <c r="M135" s="83">
        <f t="shared" si="73"/>
        <v>144.49705472375422</v>
      </c>
      <c r="N135" s="28">
        <f t="shared" si="74"/>
        <v>33.985662238007471</v>
      </c>
      <c r="O135" s="84">
        <v>0</v>
      </c>
      <c r="P135" s="28">
        <f t="shared" si="75"/>
        <v>2.0019852435781163E-4</v>
      </c>
      <c r="Q135" s="28">
        <f t="shared" si="76"/>
        <v>1.9662355070856498E-4</v>
      </c>
      <c r="R135" s="28">
        <f t="shared" si="77"/>
        <v>5.2891058981143338E-2</v>
      </c>
      <c r="S135" s="28">
        <f t="shared" si="78"/>
        <v>71.183910821623826</v>
      </c>
      <c r="T135" s="28">
        <f t="shared" si="79"/>
        <v>141.36000153344833</v>
      </c>
      <c r="U135" s="29">
        <v>0</v>
      </c>
      <c r="V135" s="449">
        <f t="shared" si="65"/>
        <v>391.0799171978901</v>
      </c>
    </row>
    <row r="136" spans="2:27" s="28" customFormat="1">
      <c r="B136" s="83">
        <v>89</v>
      </c>
      <c r="C136" s="28">
        <f t="shared" si="49"/>
        <v>0</v>
      </c>
      <c r="D136" s="28">
        <f t="shared" si="50"/>
        <v>0</v>
      </c>
      <c r="E136" s="84">
        <v>0</v>
      </c>
      <c r="F136" s="28">
        <f t="shared" si="51"/>
        <v>0</v>
      </c>
      <c r="G136" s="28">
        <f t="shared" si="52"/>
        <v>0</v>
      </c>
      <c r="H136" s="28">
        <f t="shared" si="53"/>
        <v>0</v>
      </c>
      <c r="I136" s="28">
        <f t="shared" si="54"/>
        <v>0</v>
      </c>
      <c r="J136" s="28">
        <f t="shared" si="55"/>
        <v>0</v>
      </c>
      <c r="K136" s="29">
        <v>0</v>
      </c>
      <c r="M136" s="83">
        <f t="shared" si="73"/>
        <v>141.19673743270516</v>
      </c>
      <c r="N136" s="28">
        <f t="shared" si="74"/>
        <v>32.827985818260686</v>
      </c>
      <c r="O136" s="84">
        <v>0</v>
      </c>
      <c r="P136" s="28">
        <f t="shared" si="75"/>
        <v>1.4156173415694881E-4</v>
      </c>
      <c r="Q136" s="28">
        <f t="shared" si="76"/>
        <v>1.3903384604700328E-4</v>
      </c>
      <c r="R136" s="28">
        <f t="shared" si="77"/>
        <v>4.1979661333189512E-2</v>
      </c>
      <c r="S136" s="28">
        <f t="shared" si="78"/>
        <v>68.494855795913537</v>
      </c>
      <c r="T136" s="28">
        <f t="shared" si="79"/>
        <v>140.27548000541333</v>
      </c>
      <c r="U136" s="29">
        <v>0</v>
      </c>
      <c r="V136" s="449">
        <f t="shared" si="65"/>
        <v>382.83731930920612</v>
      </c>
    </row>
    <row r="137" spans="2:27" s="28" customFormat="1">
      <c r="B137" s="83">
        <v>90</v>
      </c>
      <c r="C137" s="28">
        <f t="shared" si="49"/>
        <v>0</v>
      </c>
      <c r="D137" s="28">
        <f t="shared" si="50"/>
        <v>0</v>
      </c>
      <c r="E137" s="84">
        <v>0</v>
      </c>
      <c r="F137" s="28">
        <f t="shared" si="51"/>
        <v>0</v>
      </c>
      <c r="G137" s="28">
        <f t="shared" si="52"/>
        <v>0</v>
      </c>
      <c r="H137" s="28">
        <f t="shared" si="53"/>
        <v>0</v>
      </c>
      <c r="I137" s="28">
        <f t="shared" si="54"/>
        <v>0</v>
      </c>
      <c r="J137" s="28">
        <f t="shared" si="55"/>
        <v>0</v>
      </c>
      <c r="K137" s="29">
        <v>0</v>
      </c>
      <c r="M137" s="83">
        <f t="shared" si="73"/>
        <v>137.97179949276068</v>
      </c>
      <c r="N137" s="28">
        <f t="shared" si="74"/>
        <v>31.709744107287619</v>
      </c>
      <c r="O137" s="84">
        <v>0</v>
      </c>
      <c r="P137" s="28">
        <f t="shared" si="75"/>
        <v>1.0009926217890581E-4</v>
      </c>
      <c r="Q137" s="28">
        <f t="shared" si="76"/>
        <v>9.8311775354282489E-5</v>
      </c>
      <c r="R137" s="28">
        <f t="shared" si="77"/>
        <v>3.3319279280786894E-2</v>
      </c>
      <c r="S137" s="28">
        <f t="shared" si="78"/>
        <v>65.907382951455105</v>
      </c>
      <c r="T137" s="28">
        <f t="shared" si="79"/>
        <v>139.19927898482041</v>
      </c>
      <c r="U137" s="29">
        <v>0</v>
      </c>
      <c r="V137" s="449">
        <f t="shared" si="65"/>
        <v>374.82172322664212</v>
      </c>
    </row>
    <row r="138" spans="2:27" s="28" customFormat="1">
      <c r="B138" s="83">
        <v>91</v>
      </c>
      <c r="C138" s="28">
        <f t="shared" si="49"/>
        <v>0</v>
      </c>
      <c r="D138" s="28">
        <f t="shared" si="50"/>
        <v>0</v>
      </c>
      <c r="E138" s="84">
        <v>0</v>
      </c>
      <c r="F138" s="28">
        <f t="shared" si="51"/>
        <v>0</v>
      </c>
      <c r="G138" s="28">
        <f t="shared" si="52"/>
        <v>0</v>
      </c>
      <c r="H138" s="28">
        <f t="shared" si="53"/>
        <v>0</v>
      </c>
      <c r="I138" s="28">
        <f t="shared" si="54"/>
        <v>0</v>
      </c>
      <c r="J138" s="28">
        <f t="shared" si="55"/>
        <v>0</v>
      </c>
      <c r="K138" s="29">
        <v>0</v>
      </c>
      <c r="M138" s="83">
        <f t="shared" si="73"/>
        <v>134.82051923716213</v>
      </c>
      <c r="N138" s="28">
        <f t="shared" si="74"/>
        <v>30.629593814139657</v>
      </c>
      <c r="O138" s="84">
        <v>0</v>
      </c>
      <c r="P138" s="28">
        <f t="shared" si="75"/>
        <v>7.0780867078474406E-5</v>
      </c>
      <c r="Q138" s="28">
        <f t="shared" si="76"/>
        <v>6.9516923023501642E-5</v>
      </c>
      <c r="R138" s="28">
        <f t="shared" si="77"/>
        <v>2.6445529490571676E-2</v>
      </c>
      <c r="S138" s="28">
        <f t="shared" si="78"/>
        <v>63.417654903200898</v>
      </c>
      <c r="T138" s="28">
        <f t="shared" si="79"/>
        <v>138.13133463628935</v>
      </c>
      <c r="U138" s="29">
        <v>0</v>
      </c>
      <c r="V138" s="449">
        <f t="shared" si="65"/>
        <v>367.02568841807272</v>
      </c>
    </row>
    <row r="139" spans="2:27" s="28" customFormat="1">
      <c r="B139" s="83">
        <v>92</v>
      </c>
      <c r="C139" s="28">
        <f t="shared" si="49"/>
        <v>0</v>
      </c>
      <c r="D139" s="28">
        <f t="shared" si="50"/>
        <v>0</v>
      </c>
      <c r="E139" s="84">
        <v>0</v>
      </c>
      <c r="F139" s="28">
        <f t="shared" si="51"/>
        <v>0</v>
      </c>
      <c r="G139" s="28">
        <f t="shared" si="52"/>
        <v>0</v>
      </c>
      <c r="H139" s="28">
        <f t="shared" si="53"/>
        <v>0</v>
      </c>
      <c r="I139" s="28">
        <f t="shared" si="54"/>
        <v>0</v>
      </c>
      <c r="J139" s="28">
        <f t="shared" si="55"/>
        <v>0</v>
      </c>
      <c r="K139" s="29">
        <v>0</v>
      </c>
      <c r="M139" s="83">
        <f t="shared" si="73"/>
        <v>131.741214322074</v>
      </c>
      <c r="N139" s="28">
        <f t="shared" si="74"/>
        <v>29.586237405289221</v>
      </c>
      <c r="O139" s="84">
        <v>0</v>
      </c>
      <c r="P139" s="28">
        <f t="shared" si="75"/>
        <v>5.0049631089452907E-5</v>
      </c>
      <c r="Q139" s="28">
        <f t="shared" si="76"/>
        <v>4.9155887677141244E-5</v>
      </c>
      <c r="R139" s="28">
        <f t="shared" si="77"/>
        <v>2.0989830666594763E-2</v>
      </c>
      <c r="S139" s="28">
        <f t="shared" si="78"/>
        <v>61.021979227786765</v>
      </c>
      <c r="T139" s="28">
        <f t="shared" si="79"/>
        <v>137.0715836141884</v>
      </c>
      <c r="U139" s="29">
        <v>0</v>
      </c>
      <c r="V139" s="449">
        <f t="shared" si="65"/>
        <v>359.4421036055237</v>
      </c>
    </row>
    <row r="140" spans="2:27" s="28" customFormat="1">
      <c r="B140" s="83">
        <v>93</v>
      </c>
      <c r="C140" s="28">
        <f t="shared" si="49"/>
        <v>0</v>
      </c>
      <c r="D140" s="28">
        <f t="shared" si="50"/>
        <v>0</v>
      </c>
      <c r="E140" s="84">
        <v>0</v>
      </c>
      <c r="F140" s="28">
        <f t="shared" si="51"/>
        <v>0</v>
      </c>
      <c r="G140" s="28">
        <f t="shared" si="52"/>
        <v>0</v>
      </c>
      <c r="H140" s="28">
        <f t="shared" si="53"/>
        <v>0</v>
      </c>
      <c r="I140" s="28">
        <f t="shared" si="54"/>
        <v>0</v>
      </c>
      <c r="J140" s="28">
        <f t="shared" si="55"/>
        <v>0</v>
      </c>
      <c r="K140" s="29">
        <v>0</v>
      </c>
      <c r="M140" s="83">
        <f t="shared" si="73"/>
        <v>128.73224082844706</v>
      </c>
      <c r="N140" s="28">
        <f t="shared" si="74"/>
        <v>28.578421545964019</v>
      </c>
      <c r="O140" s="84">
        <v>0</v>
      </c>
      <c r="P140" s="28">
        <f t="shared" si="75"/>
        <v>3.5390433539237203E-5</v>
      </c>
      <c r="Q140" s="28">
        <f t="shared" si="76"/>
        <v>3.4758461511750821E-5</v>
      </c>
      <c r="R140" s="28">
        <f t="shared" si="77"/>
        <v>1.665963964039345E-2</v>
      </c>
      <c r="S140" s="28">
        <f t="shared" si="78"/>
        <v>58.716802987435806</v>
      </c>
      <c r="T140" s="28">
        <f t="shared" si="79"/>
        <v>136.01996305887693</v>
      </c>
      <c r="U140" s="29">
        <v>0</v>
      </c>
      <c r="V140" s="449">
        <f t="shared" si="65"/>
        <v>352.06415820925929</v>
      </c>
    </row>
    <row r="141" spans="2:27" s="28" customFormat="1">
      <c r="B141" s="83">
        <v>94</v>
      </c>
      <c r="C141" s="28">
        <f t="shared" si="49"/>
        <v>0</v>
      </c>
      <c r="D141" s="28">
        <f t="shared" si="50"/>
        <v>0</v>
      </c>
      <c r="E141" s="84">
        <v>0</v>
      </c>
      <c r="F141" s="28">
        <f t="shared" si="51"/>
        <v>0</v>
      </c>
      <c r="G141" s="28">
        <f t="shared" si="52"/>
        <v>0</v>
      </c>
      <c r="H141" s="28">
        <f t="shared" si="53"/>
        <v>0</v>
      </c>
      <c r="I141" s="28">
        <f t="shared" si="54"/>
        <v>0</v>
      </c>
      <c r="J141" s="28">
        <f t="shared" si="55"/>
        <v>0</v>
      </c>
      <c r="K141" s="29">
        <v>0</v>
      </c>
      <c r="M141" s="83">
        <f t="shared" si="73"/>
        <v>125.79199238439507</v>
      </c>
      <c r="N141" s="28">
        <f t="shared" si="74"/>
        <v>27.604935594575196</v>
      </c>
      <c r="O141" s="84">
        <v>0</v>
      </c>
      <c r="P141" s="28">
        <f t="shared" si="75"/>
        <v>2.5024815544726454E-5</v>
      </c>
      <c r="Q141" s="28">
        <f t="shared" si="76"/>
        <v>2.4577943838570622E-5</v>
      </c>
      <c r="R141" s="28">
        <f t="shared" si="77"/>
        <v>1.3222764745285841E-2</v>
      </c>
      <c r="S141" s="28">
        <f t="shared" si="78"/>
        <v>56.498707460728085</v>
      </c>
      <c r="T141" s="28">
        <f t="shared" si="79"/>
        <v>134.97641059297678</v>
      </c>
      <c r="U141" s="29">
        <v>0</v>
      </c>
      <c r="V141" s="449">
        <f t="shared" si="65"/>
        <v>344.88531840017981</v>
      </c>
    </row>
    <row r="142" spans="2:27" s="28" customFormat="1">
      <c r="B142" s="83">
        <v>95</v>
      </c>
      <c r="C142" s="28">
        <f t="shared" si="49"/>
        <v>0</v>
      </c>
      <c r="D142" s="28">
        <f t="shared" si="50"/>
        <v>0</v>
      </c>
      <c r="E142" s="84">
        <v>0</v>
      </c>
      <c r="F142" s="28">
        <f t="shared" si="51"/>
        <v>0</v>
      </c>
      <c r="G142" s="28">
        <f t="shared" si="52"/>
        <v>0</v>
      </c>
      <c r="H142" s="28">
        <f t="shared" si="53"/>
        <v>0</v>
      </c>
      <c r="I142" s="28">
        <f t="shared" si="54"/>
        <v>0</v>
      </c>
      <c r="J142" s="28">
        <f t="shared" si="55"/>
        <v>0</v>
      </c>
      <c r="K142" s="29">
        <v>0</v>
      </c>
      <c r="M142" s="83">
        <f t="shared" si="73"/>
        <v>122.91889930761639</v>
      </c>
      <c r="N142" s="28">
        <f t="shared" si="74"/>
        <v>26.664610148430764</v>
      </c>
      <c r="O142" s="84">
        <v>0</v>
      </c>
      <c r="P142" s="28">
        <f t="shared" si="75"/>
        <v>1.7695216769618601E-5</v>
      </c>
      <c r="Q142" s="28">
        <f t="shared" si="76"/>
        <v>1.7379230755875411E-5</v>
      </c>
      <c r="R142" s="28">
        <f t="shared" si="77"/>
        <v>1.0494915333297383E-2</v>
      </c>
      <c r="S142" s="28">
        <f t="shared" si="78"/>
        <v>54.364403072421645</v>
      </c>
      <c r="T142" s="28">
        <f t="shared" si="79"/>
        <v>133.94086431767246</v>
      </c>
      <c r="U142" s="29">
        <v>0</v>
      </c>
      <c r="V142" s="449">
        <f t="shared" si="65"/>
        <v>337.89930683592212</v>
      </c>
      <c r="AA142" s="84"/>
    </row>
    <row r="143" spans="2:27" s="28" customFormat="1">
      <c r="B143" s="83">
        <v>96</v>
      </c>
      <c r="C143" s="28">
        <f t="shared" si="49"/>
        <v>0</v>
      </c>
      <c r="D143" s="28">
        <f t="shared" si="50"/>
        <v>0</v>
      </c>
      <c r="E143" s="84">
        <v>0</v>
      </c>
      <c r="F143" s="28">
        <f t="shared" si="51"/>
        <v>0</v>
      </c>
      <c r="G143" s="28">
        <f t="shared" si="52"/>
        <v>0</v>
      </c>
      <c r="H143" s="28">
        <f t="shared" si="53"/>
        <v>0</v>
      </c>
      <c r="I143" s="28">
        <f t="shared" si="54"/>
        <v>0</v>
      </c>
      <c r="J143" s="28">
        <f t="shared" si="55"/>
        <v>0</v>
      </c>
      <c r="K143" s="29">
        <v>0</v>
      </c>
      <c r="M143" s="83">
        <f t="shared" si="73"/>
        <v>120.11142776740267</v>
      </c>
      <c r="N143" s="28">
        <f t="shared" si="74"/>
        <v>25.756315638987395</v>
      </c>
      <c r="O143" s="84">
        <v>0</v>
      </c>
      <c r="P143" s="28">
        <f t="shared" si="75"/>
        <v>1.2512407772363227E-5</v>
      </c>
      <c r="Q143" s="28">
        <f t="shared" si="76"/>
        <v>1.2288971919285311E-5</v>
      </c>
      <c r="R143" s="28">
        <f t="shared" si="77"/>
        <v>8.329819820196727E-3</v>
      </c>
      <c r="S143" s="28">
        <f t="shared" si="78"/>
        <v>52.310724514805408</v>
      </c>
      <c r="T143" s="28">
        <f t="shared" si="79"/>
        <v>132.91326280903948</v>
      </c>
      <c r="U143" s="29">
        <v>0</v>
      </c>
      <c r="V143" s="449">
        <f t="shared" si="65"/>
        <v>331.10008535143487</v>
      </c>
    </row>
    <row r="144" spans="2:27" s="28" customFormat="1">
      <c r="B144" s="83">
        <v>97</v>
      </c>
      <c r="C144" s="28">
        <f t="shared" si="49"/>
        <v>0</v>
      </c>
      <c r="D144" s="28">
        <f t="shared" si="50"/>
        <v>0</v>
      </c>
      <c r="E144" s="84">
        <v>0</v>
      </c>
      <c r="F144" s="28">
        <f t="shared" si="51"/>
        <v>0</v>
      </c>
      <c r="G144" s="28">
        <f t="shared" si="52"/>
        <v>0</v>
      </c>
      <c r="H144" s="28">
        <f t="shared" si="53"/>
        <v>0</v>
      </c>
      <c r="I144" s="28">
        <f t="shared" si="54"/>
        <v>0</v>
      </c>
      <c r="J144" s="28">
        <f t="shared" si="55"/>
        <v>0</v>
      </c>
      <c r="K144" s="29">
        <v>0</v>
      </c>
      <c r="M144" s="83">
        <f t="shared" si="73"/>
        <v>117.3680789657874</v>
      </c>
      <c r="N144" s="28">
        <f t="shared" si="74"/>
        <v>24.878960974953074</v>
      </c>
      <c r="O144" s="84">
        <v>0</v>
      </c>
      <c r="P144" s="28">
        <f t="shared" si="75"/>
        <v>8.8476083848093007E-6</v>
      </c>
      <c r="Q144" s="28">
        <f t="shared" si="76"/>
        <v>8.6896153779377053E-6</v>
      </c>
      <c r="R144" s="28">
        <f t="shared" si="77"/>
        <v>6.6113823726429216E-3</v>
      </c>
      <c r="S144" s="28">
        <f t="shared" si="78"/>
        <v>50.334626053348678</v>
      </c>
      <c r="T144" s="28">
        <f t="shared" si="79"/>
        <v>131.89354511440101</v>
      </c>
      <c r="U144" s="29">
        <v>0</v>
      </c>
      <c r="V144" s="449">
        <f t="shared" si="65"/>
        <v>324.48184002808659</v>
      </c>
    </row>
    <row r="145" spans="1:28" s="28" customFormat="1">
      <c r="B145" s="83">
        <v>98</v>
      </c>
      <c r="C145" s="28">
        <f t="shared" si="49"/>
        <v>0</v>
      </c>
      <c r="D145" s="28">
        <f t="shared" si="50"/>
        <v>0</v>
      </c>
      <c r="E145" s="84">
        <v>0</v>
      </c>
      <c r="F145" s="28">
        <f t="shared" si="51"/>
        <v>0</v>
      </c>
      <c r="G145" s="28">
        <f t="shared" si="52"/>
        <v>0</v>
      </c>
      <c r="H145" s="28">
        <f t="shared" si="53"/>
        <v>0</v>
      </c>
      <c r="I145" s="28">
        <f t="shared" si="54"/>
        <v>0</v>
      </c>
      <c r="J145" s="28">
        <f t="shared" si="55"/>
        <v>0</v>
      </c>
      <c r="K145" s="29">
        <v>0</v>
      </c>
      <c r="M145" s="83">
        <f t="shared" si="73"/>
        <v>114.6873883373969</v>
      </c>
      <c r="N145" s="28">
        <f t="shared" si="74"/>
        <v>24.03149223161067</v>
      </c>
      <c r="O145" s="84">
        <v>0</v>
      </c>
      <c r="P145" s="28">
        <f t="shared" si="75"/>
        <v>6.2562038861816134E-6</v>
      </c>
      <c r="Q145" s="28">
        <f t="shared" si="76"/>
        <v>6.1444859596426555E-6</v>
      </c>
      <c r="R145" s="28">
        <f t="shared" si="77"/>
        <v>5.2474576666486925E-3</v>
      </c>
      <c r="S145" s="28">
        <f t="shared" si="78"/>
        <v>48.433177009685167</v>
      </c>
      <c r="T145" s="28">
        <f t="shared" si="79"/>
        <v>130.88165074871245</v>
      </c>
      <c r="U145" s="29">
        <v>0</v>
      </c>
      <c r="V145" s="449">
        <f t="shared" si="65"/>
        <v>318.03896818576169</v>
      </c>
    </row>
    <row r="146" spans="1:28" s="28" customFormat="1">
      <c r="A146" s="204"/>
      <c r="B146" s="83">
        <v>99</v>
      </c>
      <c r="C146" s="28">
        <f t="shared" si="49"/>
        <v>0</v>
      </c>
      <c r="D146" s="28">
        <f t="shared" si="50"/>
        <v>0</v>
      </c>
      <c r="E146" s="84">
        <v>0</v>
      </c>
      <c r="F146" s="28">
        <f t="shared" si="51"/>
        <v>0</v>
      </c>
      <c r="G146" s="28">
        <f t="shared" si="52"/>
        <v>0</v>
      </c>
      <c r="H146" s="28">
        <f t="shared" si="53"/>
        <v>0</v>
      </c>
      <c r="I146" s="28">
        <f t="shared" si="54"/>
        <v>0</v>
      </c>
      <c r="J146" s="28">
        <f t="shared" si="55"/>
        <v>0</v>
      </c>
      <c r="K146" s="29">
        <v>0</v>
      </c>
      <c r="M146" s="83">
        <f t="shared" si="73"/>
        <v>112.06792476757686</v>
      </c>
      <c r="N146" s="28">
        <f t="shared" si="74"/>
        <v>23.212891384787955</v>
      </c>
      <c r="O146" s="84">
        <v>0</v>
      </c>
      <c r="P146" s="28">
        <f t="shared" si="75"/>
        <v>4.4238041924046504E-6</v>
      </c>
      <c r="Q146" s="28">
        <f t="shared" si="76"/>
        <v>4.3448076889688526E-6</v>
      </c>
      <c r="R146" s="28">
        <f t="shared" si="77"/>
        <v>4.1649099100983644E-3</v>
      </c>
      <c r="S146" s="28">
        <f t="shared" si="78"/>
        <v>46.603557415232558</v>
      </c>
      <c r="T146" s="28">
        <f t="shared" si="79"/>
        <v>129.87751969097366</v>
      </c>
      <c r="U146" s="29">
        <v>0</v>
      </c>
      <c r="V146" s="449">
        <f t="shared" si="65"/>
        <v>311.766066937093</v>
      </c>
    </row>
    <row r="147" spans="1:28" s="111" customFormat="1" ht="15" thickBot="1">
      <c r="B147" s="181">
        <v>100</v>
      </c>
      <c r="C147" s="183">
        <f>(EXP(-$C$44))*C146+((1-(EXP(-$C$44)))/$C$44)*M31</f>
        <v>0</v>
      </c>
      <c r="D147" s="198">
        <f>(EXP(-$D$44))*D146+((1-(EXP(-$D$44)))/$D$44)*M32</f>
        <v>0</v>
      </c>
      <c r="E147" s="121">
        <v>0</v>
      </c>
      <c r="F147" s="198">
        <f>(EXP(-$F$44))*F146+((1-(EXP(-$F$44)))/$F$44)*M34</f>
        <v>0</v>
      </c>
      <c r="G147" s="198">
        <f>(EXP(-$F$44))*G146+((1-(EXP(-$F$44)))/$F$44)*M35</f>
        <v>0</v>
      </c>
      <c r="H147" s="198">
        <f>(EXP(-$H$44))*H146+((1-(EXP(-$H$44)))/$H$44)*M36</f>
        <v>0</v>
      </c>
      <c r="I147" s="198">
        <f>(EXP(-$I$44))*I146+((1-(EXP(-$I$44)))/$I$44)*M37</f>
        <v>0</v>
      </c>
      <c r="J147" s="198">
        <f>(EXP(-$J$44))*J146+((1-(EXP(-$J$44)))/$J$44)*M38</f>
        <v>0</v>
      </c>
      <c r="K147" s="182">
        <v>0</v>
      </c>
      <c r="M147" s="240">
        <f>(EXP(-$C$44))*M146+((1-(EXP(-$C$44)))/$C$44)*O31</f>
        <v>109.50828982837685</v>
      </c>
      <c r="N147" s="198">
        <f>(EXP(-$D$44))*N146+((1-(EXP(-$D$44)))/$D$44)*O32</f>
        <v>22.422175087953253</v>
      </c>
      <c r="O147" s="121">
        <v>0</v>
      </c>
      <c r="P147" s="198">
        <f>(EXP(-$F$44))*P146+((1-(EXP(-$F$44)))/$F$44)*O34</f>
        <v>3.1281019430908067E-6</v>
      </c>
      <c r="Q147" s="198">
        <f>(EXP(-$F$44))*Q146+((1-(EXP(-$F$44)))/$F$44)*O35</f>
        <v>3.0722429798213278E-6</v>
      </c>
      <c r="R147" s="198">
        <f>(EXP(-$H$44))*R146+((1-(EXP(-$H$44)))/$H$44)*O36</f>
        <v>3.3056911863214617E-3</v>
      </c>
      <c r="S147" s="198">
        <f>(EXP(-$I$44))*S146+((1-(EXP(-$I$44)))/$I$44)*O37</f>
        <v>44.843053829001661</v>
      </c>
      <c r="T147" s="198">
        <f>(EXP(-$J$44))*T146+((1-(EXP(-$J$44)))/$J$44)*O38</f>
        <v>128.88109238066889</v>
      </c>
      <c r="U147" s="182">
        <v>0</v>
      </c>
      <c r="V147" s="455">
        <f>SUM(M147:U147)</f>
        <v>305.65792301753186</v>
      </c>
    </row>
    <row r="148" spans="1:28">
      <c r="C148" s="9" t="s">
        <v>8</v>
      </c>
      <c r="M148" s="9" t="s">
        <v>13</v>
      </c>
      <c r="V148" s="28"/>
      <c r="W148" s="28"/>
      <c r="X148" s="28"/>
      <c r="Y148" s="28"/>
      <c r="Z148" s="28"/>
      <c r="AA148" s="28"/>
      <c r="AB148" s="28"/>
    </row>
    <row r="149" spans="1:28">
      <c r="C149" s="153" t="s">
        <v>360</v>
      </c>
      <c r="D149" s="141">
        <f>1000000*(C147+D147+E147+G147+H147+I147+J147+K147)</f>
        <v>0</v>
      </c>
      <c r="E149" t="s">
        <v>367</v>
      </c>
      <c r="M149" s="153" t="s">
        <v>360</v>
      </c>
      <c r="N149" s="151">
        <f>1000000*(M147+N147+O147+Q147+R147+S147+T147+U147)</f>
        <v>305657919.88942993</v>
      </c>
      <c r="O149" t="s">
        <v>367</v>
      </c>
      <c r="P149" s="186">
        <f>AVERAGE(V97:V147)*1000000*44/12</f>
        <v>2230219345.4008451</v>
      </c>
      <c r="V149" s="28"/>
      <c r="W149" s="28"/>
      <c r="X149" s="28"/>
      <c r="Y149" s="28"/>
      <c r="Z149" s="28"/>
      <c r="AA149" s="28"/>
      <c r="AB149" s="28"/>
    </row>
    <row r="150" spans="1:28">
      <c r="C150" s="153" t="s">
        <v>361</v>
      </c>
      <c r="D150" s="141">
        <f>1000000*F147</f>
        <v>0</v>
      </c>
      <c r="E150" t="s">
        <v>367</v>
      </c>
      <c r="M150" s="153" t="s">
        <v>361</v>
      </c>
      <c r="N150" s="151">
        <f>1000000*P147</f>
        <v>3.1281019430908068</v>
      </c>
      <c r="O150" t="s">
        <v>367</v>
      </c>
    </row>
    <row r="151" spans="1:28">
      <c r="C151" s="153" t="s">
        <v>461</v>
      </c>
      <c r="D151" s="214">
        <f>1000000*(L40+M40)</f>
        <v>0</v>
      </c>
      <c r="E151" t="s">
        <v>367</v>
      </c>
      <c r="M151" s="153" t="s">
        <v>461</v>
      </c>
      <c r="N151" s="186">
        <f>1000000*(N40+O40+P40+Q40)</f>
        <v>1491526061.6273727</v>
      </c>
      <c r="O151" t="s">
        <v>367</v>
      </c>
    </row>
    <row r="152" spans="1:28">
      <c r="C152" s="153" t="s">
        <v>460</v>
      </c>
      <c r="D152" s="214">
        <f>1000000*(L41+M41)</f>
        <v>0</v>
      </c>
      <c r="E152" t="s">
        <v>367</v>
      </c>
      <c r="M152" s="153" t="s">
        <v>460</v>
      </c>
      <c r="N152" s="186">
        <f>1000000*(N41+O41+P41+Q41)</f>
        <v>124198668.00524841</v>
      </c>
      <c r="O152" t="s">
        <v>367</v>
      </c>
    </row>
    <row r="153" spans="1:28">
      <c r="C153" s="153" t="s">
        <v>366</v>
      </c>
      <c r="D153" s="140">
        <f>D151-D149</f>
        <v>0</v>
      </c>
      <c r="E153" t="s">
        <v>367</v>
      </c>
      <c r="M153" s="153" t="s">
        <v>366</v>
      </c>
      <c r="N153" s="220">
        <f>N151-N149</f>
        <v>1185868141.7379427</v>
      </c>
      <c r="O153" t="s">
        <v>367</v>
      </c>
    </row>
    <row r="154" spans="1:28">
      <c r="C154" s="153" t="s">
        <v>368</v>
      </c>
      <c r="D154" s="214">
        <f>D152-D150</f>
        <v>0</v>
      </c>
      <c r="E154" t="s">
        <v>367</v>
      </c>
      <c r="M154" s="153" t="s">
        <v>368</v>
      </c>
      <c r="N154" s="186">
        <f>N152-N150</f>
        <v>124198664.87714647</v>
      </c>
      <c r="O154" t="s">
        <v>367</v>
      </c>
    </row>
    <row r="155" spans="1:28">
      <c r="C155" s="153" t="s">
        <v>458</v>
      </c>
      <c r="D155" s="214">
        <f>material_flow!$B$105*material_flow!$G$105*HWP!D153</f>
        <v>0</v>
      </c>
      <c r="E155" t="s">
        <v>367</v>
      </c>
      <c r="F155" s="141">
        <f>material_flow!$B$46*((HWP!D155/C_model!$R$107)*(1+C_model!$R$110))/(material_flow!$B$45*1000)</f>
        <v>0</v>
      </c>
      <c r="G155" t="s">
        <v>584</v>
      </c>
      <c r="M155" s="153" t="s">
        <v>458</v>
      </c>
      <c r="N155" s="186">
        <f>material_flow!$B$105*material_flow!$G$105*HWP!N153</f>
        <v>756763345.27875078</v>
      </c>
      <c r="O155" t="s">
        <v>367</v>
      </c>
      <c r="P155" s="73">
        <f>material_flow!$B$46*((HWP!N155/C_model!$R$107)*(1+C_model!$R$110)/(material_flow!$B$45*1000))</f>
        <v>1791870.157613782</v>
      </c>
      <c r="Q155" t="s">
        <v>584</v>
      </c>
    </row>
    <row r="156" spans="1:28">
      <c r="C156" s="153"/>
      <c r="D156" s="214"/>
      <c r="F156" s="141">
        <f>D155/(C_model!$R$107*(1-20%))</f>
        <v>0</v>
      </c>
      <c r="G156" t="s">
        <v>785</v>
      </c>
      <c r="M156" s="153"/>
      <c r="N156" s="186"/>
      <c r="P156" s="73">
        <f>N155/(C_model!$R$107*(1-20%))</f>
        <v>1893802165.3622391</v>
      </c>
      <c r="Q156" t="s">
        <v>785</v>
      </c>
    </row>
    <row r="157" spans="1:28">
      <c r="C157" s="153" t="s">
        <v>824</v>
      </c>
      <c r="D157" s="141">
        <f>material_flow!$B$105*material_flow!$G$106*HWP!D153</f>
        <v>0</v>
      </c>
      <c r="E157" t="s">
        <v>367</v>
      </c>
      <c r="F157" s="141">
        <f>D157*44/12</f>
        <v>0</v>
      </c>
      <c r="G157" t="s">
        <v>352</v>
      </c>
      <c r="M157" s="153" t="s">
        <v>824</v>
      </c>
      <c r="N157" s="151">
        <f>material_flow!$B$105*material_flow!$G$106*HWP!N153</f>
        <v>189020961.26677364</v>
      </c>
      <c r="O157" t="s">
        <v>367</v>
      </c>
      <c r="P157" s="270">
        <f>N157*44/12</f>
        <v>693076857.97817004</v>
      </c>
      <c r="Q157" t="s">
        <v>352</v>
      </c>
    </row>
    <row r="158" spans="1:28">
      <c r="C158" s="153" t="s">
        <v>824</v>
      </c>
      <c r="D158" s="141">
        <f>D157/C_model!$R$107</f>
        <v>0</v>
      </c>
      <c r="E158" t="s">
        <v>447</v>
      </c>
      <c r="F158" s="214"/>
      <c r="M158" s="153" t="s">
        <v>824</v>
      </c>
      <c r="N158" s="151">
        <f>N157/C_model!$R$107</f>
        <v>378420342.87642372</v>
      </c>
      <c r="O158" t="s">
        <v>447</v>
      </c>
    </row>
    <row r="159" spans="1:28">
      <c r="C159" s="153" t="s">
        <v>825</v>
      </c>
      <c r="D159" s="141">
        <f>D158*material_flow!B51</f>
        <v>0</v>
      </c>
      <c r="E159" s="5" t="s">
        <v>393</v>
      </c>
      <c r="F159" s="214"/>
      <c r="M159" s="153" t="s">
        <v>500</v>
      </c>
      <c r="N159" s="151">
        <f>N158*material_flow!B51</f>
        <v>2775334794.6556916</v>
      </c>
      <c r="O159" s="5" t="s">
        <v>393</v>
      </c>
    </row>
    <row r="160" spans="1:28">
      <c r="C160" s="153" t="s">
        <v>459</v>
      </c>
      <c r="D160" s="214">
        <f>material_flow!$B$109*HWP!D154</f>
        <v>0</v>
      </c>
      <c r="E160" t="s">
        <v>367</v>
      </c>
      <c r="F160" s="141">
        <f>0.5*D160*(1+C_model!$R$110)/(C_model!$R$107*material_flow!$B$48)</f>
        <v>0</v>
      </c>
      <c r="G160" t="s">
        <v>586</v>
      </c>
      <c r="M160" s="153" t="s">
        <v>459</v>
      </c>
      <c r="N160" s="186">
        <f>material_flow!$B$109*HWP!N154</f>
        <v>124093295.51152505</v>
      </c>
      <c r="O160" t="s">
        <v>367</v>
      </c>
      <c r="P160" s="73">
        <f>0.5*N160*(1+C_model!$R$110)/(C_model!$R$107*material_flow!$B$48)</f>
        <v>85177723.216834024</v>
      </c>
      <c r="Q160" t="s">
        <v>586</v>
      </c>
    </row>
    <row r="161" spans="1:17">
      <c r="C161" s="153"/>
      <c r="D161" s="214"/>
      <c r="F161" s="141">
        <f>0.5*D160*(1+C_model!$R$110)/(C_model!$R$107*material_flow!$B$49)</f>
        <v>0</v>
      </c>
      <c r="G161" t="s">
        <v>587</v>
      </c>
      <c r="M161" s="153"/>
      <c r="N161" s="186"/>
      <c r="P161" s="73">
        <f>0.5*N160*(1+C_model!$R$110)/(C_model!$R$107*material_flow!$B$49)</f>
        <v>95399050.002854094</v>
      </c>
      <c r="Q161" t="s">
        <v>587</v>
      </c>
    </row>
    <row r="162" spans="1:17">
      <c r="C162" s="153" t="s">
        <v>597</v>
      </c>
      <c r="D162" s="141">
        <f>(material_flow!$B$107*material_flow!$G$107*HWP!D153)</f>
        <v>0</v>
      </c>
      <c r="E162" t="s">
        <v>367</v>
      </c>
      <c r="F162" s="141">
        <f>D162*44/12</f>
        <v>0</v>
      </c>
      <c r="G162" t="s">
        <v>352</v>
      </c>
      <c r="M162" s="153" t="s">
        <v>597</v>
      </c>
      <c r="N162" s="151">
        <f>(material_flow!$B$107*material_flow!$G$107*HWP!N153)</f>
        <v>231307702.50883338</v>
      </c>
      <c r="O162" t="s">
        <v>367</v>
      </c>
      <c r="P162" s="271">
        <f>N162*44/12</f>
        <v>848128242.53238904</v>
      </c>
      <c r="Q162" t="s">
        <v>352</v>
      </c>
    </row>
    <row r="163" spans="1:17">
      <c r="C163" s="153"/>
      <c r="D163" s="141">
        <f>D162/C_model!$R$107/(1-20%)</f>
        <v>0</v>
      </c>
      <c r="E163" t="s">
        <v>591</v>
      </c>
      <c r="F163" s="141">
        <f>D162/C_model!$R$107/material_flow!$B$52</f>
        <v>0</v>
      </c>
      <c r="G163" t="s">
        <v>730</v>
      </c>
      <c r="M163" s="153"/>
      <c r="N163" s="270">
        <f>N162/C_model!$R$107/(1-20%)</f>
        <v>578848104.37645996</v>
      </c>
      <c r="O163" t="s">
        <v>591</v>
      </c>
      <c r="P163" s="271">
        <f>N162/C_model!$R$107/material_flow!$B$52</f>
        <v>6633599276.1542282</v>
      </c>
      <c r="Q163" t="s">
        <v>730</v>
      </c>
    </row>
    <row r="164" spans="1:17">
      <c r="C164" s="153" t="s">
        <v>598</v>
      </c>
      <c r="D164" s="141">
        <f>(material_flow!$B$110*material_flow!$G$110*HWP!D154)</f>
        <v>0</v>
      </c>
      <c r="E164" t="s">
        <v>367</v>
      </c>
      <c r="F164" s="141">
        <f>D164*44/12</f>
        <v>0</v>
      </c>
      <c r="G164" t="s">
        <v>352</v>
      </c>
      <c r="M164" s="153" t="s">
        <v>598</v>
      </c>
      <c r="N164" s="151">
        <f>(material_flow!$B$110*material_flow!$G$110*HWP!N154)</f>
        <v>9577.3183367244874</v>
      </c>
      <c r="O164" t="s">
        <v>367</v>
      </c>
      <c r="P164" s="271">
        <f>N164*44/12</f>
        <v>35116.833901323123</v>
      </c>
      <c r="Q164" t="s">
        <v>352</v>
      </c>
    </row>
    <row r="165" spans="1:17">
      <c r="C165" s="153"/>
      <c r="D165" s="142">
        <f>(D164/C_model!$R$107*(1+C_model!$R$110))/material_flow!$B$48</f>
        <v>0</v>
      </c>
      <c r="E165" t="s">
        <v>171</v>
      </c>
      <c r="F165" s="140"/>
      <c r="M165" s="153"/>
      <c r="N165" s="272">
        <f>(N164/C_model!$R$107*(1+C_model!$R$110))/material_flow!$B$48</f>
        <v>13147.755760411137</v>
      </c>
      <c r="O165" t="s">
        <v>171</v>
      </c>
      <c r="P165" s="461"/>
    </row>
    <row r="166" spans="1:17">
      <c r="C166" s="153" t="s">
        <v>593</v>
      </c>
      <c r="D166" s="140">
        <f>(material_flow!$B$107*material_flow!$G$108*HWP!D153)</f>
        <v>0</v>
      </c>
      <c r="E166" s="5" t="s">
        <v>367</v>
      </c>
      <c r="F166" s="140">
        <f>D166*44/12</f>
        <v>0</v>
      </c>
      <c r="G166" t="s">
        <v>352</v>
      </c>
      <c r="M166" s="153" t="s">
        <v>593</v>
      </c>
      <c r="N166" s="152">
        <f>(material_flow!$B$107*material_flow!$G$108*HWP!N153)</f>
        <v>8776132.6835846398</v>
      </c>
      <c r="O166" s="5" t="s">
        <v>367</v>
      </c>
      <c r="P166" s="220">
        <f>N166*44/12</f>
        <v>32179153.173143681</v>
      </c>
      <c r="Q166" t="s">
        <v>352</v>
      </c>
    </row>
    <row r="167" spans="1:17">
      <c r="C167" s="153" t="s">
        <v>594</v>
      </c>
      <c r="D167" s="141">
        <f>D166/C_model!$R$107/(1-20%)</f>
        <v>0</v>
      </c>
      <c r="E167" s="5" t="s">
        <v>171</v>
      </c>
      <c r="F167" s="140"/>
      <c r="M167" s="153" t="s">
        <v>594</v>
      </c>
      <c r="N167" s="270">
        <f>N166/C_model!$R$107/(1-20%)</f>
        <v>21962294.00296456</v>
      </c>
      <c r="O167" s="5" t="s">
        <v>171</v>
      </c>
      <c r="P167" s="220"/>
    </row>
    <row r="168" spans="1:17">
      <c r="C168" s="153" t="s">
        <v>595</v>
      </c>
      <c r="D168" s="214">
        <f>material_flow!$B$110*material_flow!$G$111*HWP!D154</f>
        <v>0</v>
      </c>
      <c r="E168" s="5" t="s">
        <v>367</v>
      </c>
      <c r="F168" s="140">
        <f>D168*44/12</f>
        <v>0</v>
      </c>
      <c r="G168" t="s">
        <v>352</v>
      </c>
      <c r="M168" s="153" t="s">
        <v>595</v>
      </c>
      <c r="N168" s="152">
        <f>material_flow!$B$110*material_flow!$G$111*HWP!N154</f>
        <v>95792.047284684362</v>
      </c>
      <c r="O168" s="5" t="s">
        <v>367</v>
      </c>
      <c r="P168" s="220">
        <f>N168*44/12</f>
        <v>351237.5067105093</v>
      </c>
      <c r="Q168" t="s">
        <v>352</v>
      </c>
    </row>
    <row r="169" spans="1:17">
      <c r="C169" s="153" t="s">
        <v>596</v>
      </c>
      <c r="D169" s="142">
        <f>(D168/C_model!$R$107*(1+C_model!$R$110))/material_flow!$B$48</f>
        <v>0</v>
      </c>
      <c r="E169" s="5" t="s">
        <v>171</v>
      </c>
      <c r="F169" s="140"/>
      <c r="M169" s="153" t="s">
        <v>596</v>
      </c>
      <c r="N169" s="272">
        <f>(N168/C_model!$R$107*(1+C_model!$R$110))/material_flow!$B$48</f>
        <v>131503.45401586869</v>
      </c>
      <c r="O169" s="5" t="s">
        <v>171</v>
      </c>
      <c r="P169" s="220"/>
    </row>
    <row r="170" spans="1:17">
      <c r="M170" s="153"/>
      <c r="N170" s="152"/>
      <c r="O170" s="5"/>
      <c r="P170" s="220"/>
    </row>
    <row r="171" spans="1:17">
      <c r="A171" s="9" t="s">
        <v>353</v>
      </c>
    </row>
    <row r="172" spans="1:17">
      <c r="A172" s="9"/>
    </row>
    <row r="173" spans="1:17" s="28" customFormat="1">
      <c r="A173" s="206"/>
    </row>
    <row r="174" spans="1:17" s="28" customFormat="1" ht="15" thickBot="1"/>
    <row r="175" spans="1:17" s="28" customFormat="1" ht="15" thickBot="1">
      <c r="B175" s="19"/>
      <c r="C175" s="146" t="s">
        <v>8</v>
      </c>
      <c r="D175" s="56"/>
      <c r="E175" s="56"/>
      <c r="F175" s="57"/>
      <c r="G175" s="20" t="s">
        <v>13</v>
      </c>
      <c r="H175" s="56"/>
      <c r="I175" s="56"/>
      <c r="J175" s="57"/>
    </row>
    <row r="176" spans="1:17">
      <c r="B176" s="208" t="s">
        <v>333</v>
      </c>
      <c r="C176" s="83" t="s">
        <v>161</v>
      </c>
      <c r="D176" s="28" t="s">
        <v>350</v>
      </c>
      <c r="E176" s="28" t="s">
        <v>349</v>
      </c>
      <c r="F176" s="29" t="s">
        <v>350</v>
      </c>
      <c r="G176" s="28" t="s">
        <v>161</v>
      </c>
      <c r="H176" s="28" t="s">
        <v>350</v>
      </c>
      <c r="I176" s="28" t="s">
        <v>349</v>
      </c>
      <c r="J176" s="29" t="s">
        <v>350</v>
      </c>
      <c r="K176" s="450" t="s">
        <v>49</v>
      </c>
    </row>
    <row r="177" spans="2:11">
      <c r="B177" s="83">
        <v>0</v>
      </c>
      <c r="C177" s="83"/>
      <c r="D177" s="28"/>
      <c r="E177" s="28"/>
      <c r="F177" s="29"/>
      <c r="G177" s="28"/>
      <c r="H177" s="28"/>
      <c r="I177" s="28"/>
      <c r="J177" s="29"/>
      <c r="K177" s="451">
        <f>G177+I177</f>
        <v>0</v>
      </c>
    </row>
    <row r="178" spans="2:11">
      <c r="B178" s="83">
        <v>1</v>
      </c>
      <c r="C178" s="83"/>
      <c r="D178" s="28"/>
      <c r="E178" s="28"/>
      <c r="F178" s="29"/>
      <c r="G178" s="28"/>
      <c r="H178" s="28"/>
      <c r="I178" s="28"/>
      <c r="J178" s="29"/>
      <c r="K178" s="451">
        <f t="shared" ref="K178:K241" si="80">G178+I178</f>
        <v>0</v>
      </c>
    </row>
    <row r="179" spans="2:11">
      <c r="B179" s="83">
        <v>2</v>
      </c>
      <c r="C179" s="83"/>
      <c r="D179" s="28"/>
      <c r="E179" s="28"/>
      <c r="F179" s="29"/>
      <c r="G179" s="28"/>
      <c r="H179" s="28"/>
      <c r="I179" s="28"/>
      <c r="J179" s="29"/>
      <c r="K179" s="451">
        <f t="shared" si="80"/>
        <v>0</v>
      </c>
    </row>
    <row r="180" spans="2:11">
      <c r="B180" s="83">
        <v>3</v>
      </c>
      <c r="C180" s="83"/>
      <c r="D180" s="28"/>
      <c r="E180" s="28"/>
      <c r="F180" s="29"/>
      <c r="G180" s="28"/>
      <c r="H180" s="28"/>
      <c r="I180" s="28"/>
      <c r="J180" s="29"/>
      <c r="K180" s="451">
        <f t="shared" si="80"/>
        <v>0</v>
      </c>
    </row>
    <row r="181" spans="2:11">
      <c r="B181" s="83">
        <v>4</v>
      </c>
      <c r="C181" s="83"/>
      <c r="D181" s="28"/>
      <c r="E181" s="28"/>
      <c r="F181" s="29"/>
      <c r="G181" s="28"/>
      <c r="H181" s="28"/>
      <c r="I181" s="28"/>
      <c r="J181" s="29"/>
      <c r="K181" s="451">
        <f t="shared" si="80"/>
        <v>0</v>
      </c>
    </row>
    <row r="182" spans="2:11">
      <c r="B182" s="83">
        <v>5</v>
      </c>
      <c r="C182" s="83"/>
      <c r="D182" s="28"/>
      <c r="E182" s="28"/>
      <c r="F182" s="29"/>
      <c r="G182" s="28"/>
      <c r="H182" s="28"/>
      <c r="I182" s="28"/>
      <c r="J182" s="29"/>
      <c r="K182" s="451">
        <f t="shared" si="80"/>
        <v>0</v>
      </c>
    </row>
    <row r="183" spans="2:11">
      <c r="B183" s="83">
        <v>6</v>
      </c>
      <c r="C183" s="83"/>
      <c r="D183" s="28"/>
      <c r="E183" s="28"/>
      <c r="F183" s="29"/>
      <c r="G183" s="28"/>
      <c r="H183" s="28"/>
      <c r="I183" s="28"/>
      <c r="J183" s="29"/>
      <c r="K183" s="451">
        <f t="shared" si="80"/>
        <v>0</v>
      </c>
    </row>
    <row r="184" spans="2:11">
      <c r="B184" s="83">
        <v>7</v>
      </c>
      <c r="C184" s="83"/>
      <c r="D184" s="28"/>
      <c r="E184" s="28"/>
      <c r="F184" s="29"/>
      <c r="G184" s="28"/>
      <c r="H184" s="28"/>
      <c r="I184" s="28"/>
      <c r="J184" s="29"/>
      <c r="K184" s="451">
        <f t="shared" si="80"/>
        <v>0</v>
      </c>
    </row>
    <row r="185" spans="2:11">
      <c r="B185" s="83">
        <v>8</v>
      </c>
      <c r="C185" s="83"/>
      <c r="D185" s="28"/>
      <c r="E185" s="28"/>
      <c r="F185" s="29"/>
      <c r="G185" s="28"/>
      <c r="H185" s="28"/>
      <c r="I185" s="28"/>
      <c r="J185" s="29"/>
      <c r="K185" s="451">
        <f t="shared" si="80"/>
        <v>0</v>
      </c>
    </row>
    <row r="186" spans="2:11">
      <c r="B186" s="83">
        <v>9</v>
      </c>
      <c r="C186" s="83"/>
      <c r="D186" s="28"/>
      <c r="E186" s="28"/>
      <c r="F186" s="29"/>
      <c r="G186" s="28"/>
      <c r="H186" s="28"/>
      <c r="I186" s="28"/>
      <c r="J186" s="29"/>
      <c r="K186" s="451">
        <f t="shared" si="80"/>
        <v>0</v>
      </c>
    </row>
    <row r="187" spans="2:11">
      <c r="B187" s="83">
        <v>10</v>
      </c>
      <c r="C187" s="83"/>
      <c r="D187" s="28"/>
      <c r="E187" s="28"/>
      <c r="F187" s="29"/>
      <c r="G187" s="28"/>
      <c r="H187" s="28"/>
      <c r="I187" s="28"/>
      <c r="J187" s="29"/>
      <c r="K187" s="451">
        <f t="shared" si="80"/>
        <v>0</v>
      </c>
    </row>
    <row r="188" spans="2:11">
      <c r="B188" s="83">
        <v>11</v>
      </c>
      <c r="C188" s="83"/>
      <c r="D188" s="28"/>
      <c r="E188" s="28"/>
      <c r="F188" s="29"/>
      <c r="G188" s="28"/>
      <c r="H188" s="28"/>
      <c r="I188" s="28"/>
      <c r="J188" s="29"/>
      <c r="K188" s="451">
        <f t="shared" si="80"/>
        <v>0</v>
      </c>
    </row>
    <row r="189" spans="2:11">
      <c r="B189" s="83">
        <v>12</v>
      </c>
      <c r="C189" s="83"/>
      <c r="D189" s="28"/>
      <c r="E189" s="28"/>
      <c r="F189" s="29"/>
      <c r="G189" s="28"/>
      <c r="H189" s="28"/>
      <c r="I189" s="28"/>
      <c r="J189" s="29"/>
      <c r="K189" s="451">
        <f t="shared" si="80"/>
        <v>0</v>
      </c>
    </row>
    <row r="190" spans="2:11">
      <c r="B190" s="83">
        <v>13</v>
      </c>
      <c r="C190" s="83"/>
      <c r="D190" s="28"/>
      <c r="E190" s="28"/>
      <c r="F190" s="29"/>
      <c r="G190" s="28"/>
      <c r="H190" s="28"/>
      <c r="I190" s="28"/>
      <c r="J190" s="29"/>
      <c r="K190" s="451">
        <f t="shared" si="80"/>
        <v>0</v>
      </c>
    </row>
    <row r="191" spans="2:11">
      <c r="B191" s="83">
        <v>14</v>
      </c>
      <c r="C191" s="83"/>
      <c r="D191" s="28"/>
      <c r="E191" s="28"/>
      <c r="F191" s="29"/>
      <c r="G191" s="28"/>
      <c r="H191" s="28"/>
      <c r="I191" s="28"/>
      <c r="J191" s="29"/>
      <c r="K191" s="451">
        <f t="shared" si="80"/>
        <v>0</v>
      </c>
    </row>
    <row r="192" spans="2:11">
      <c r="B192" s="83">
        <v>15</v>
      </c>
      <c r="C192" s="83"/>
      <c r="D192" s="28"/>
      <c r="E192" s="28"/>
      <c r="F192" s="29"/>
      <c r="G192" s="28"/>
      <c r="H192" s="28"/>
      <c r="I192" s="28"/>
      <c r="J192" s="29"/>
      <c r="K192" s="451">
        <f t="shared" si="80"/>
        <v>0</v>
      </c>
    </row>
    <row r="193" spans="2:11">
      <c r="B193" s="83">
        <v>16</v>
      </c>
      <c r="C193" s="83"/>
      <c r="D193" s="28"/>
      <c r="E193" s="28"/>
      <c r="F193" s="29"/>
      <c r="G193" s="28"/>
      <c r="H193" s="28"/>
      <c r="I193" s="28"/>
      <c r="J193" s="29"/>
      <c r="K193" s="451">
        <f t="shared" si="80"/>
        <v>0</v>
      </c>
    </row>
    <row r="194" spans="2:11">
      <c r="B194" s="83">
        <v>17</v>
      </c>
      <c r="C194" s="83"/>
      <c r="D194" s="28"/>
      <c r="E194" s="28"/>
      <c r="F194" s="29"/>
      <c r="G194" s="28"/>
      <c r="H194" s="28"/>
      <c r="I194" s="28"/>
      <c r="J194" s="29"/>
      <c r="K194" s="451">
        <f t="shared" si="80"/>
        <v>0</v>
      </c>
    </row>
    <row r="195" spans="2:11">
      <c r="B195" s="83">
        <v>18</v>
      </c>
      <c r="C195" s="83"/>
      <c r="D195" s="28"/>
      <c r="E195" s="28"/>
      <c r="F195" s="29"/>
      <c r="G195" s="28"/>
      <c r="H195" s="28"/>
      <c r="I195" s="28"/>
      <c r="J195" s="29"/>
      <c r="K195" s="451">
        <f t="shared" si="80"/>
        <v>0</v>
      </c>
    </row>
    <row r="196" spans="2:11">
      <c r="B196" s="83">
        <v>19</v>
      </c>
      <c r="C196" s="83"/>
      <c r="D196" s="28"/>
      <c r="E196" s="28"/>
      <c r="F196" s="29"/>
      <c r="G196" s="28"/>
      <c r="H196" s="28"/>
      <c r="I196" s="28"/>
      <c r="J196" s="29"/>
      <c r="K196" s="451">
        <f t="shared" si="80"/>
        <v>0</v>
      </c>
    </row>
    <row r="197" spans="2:11">
      <c r="B197" s="83">
        <v>20</v>
      </c>
      <c r="C197" s="83"/>
      <c r="D197" s="28"/>
      <c r="E197" s="28"/>
      <c r="F197" s="29"/>
      <c r="G197" s="28"/>
      <c r="H197" s="28"/>
      <c r="I197" s="28"/>
      <c r="J197" s="29"/>
      <c r="K197" s="451">
        <f t="shared" si="80"/>
        <v>0</v>
      </c>
    </row>
    <row r="198" spans="2:11" s="179" customFormat="1">
      <c r="B198" s="116">
        <v>21</v>
      </c>
      <c r="C198" s="116"/>
      <c r="D198" s="111"/>
      <c r="E198" s="111"/>
      <c r="F198" s="184"/>
      <c r="G198" s="111"/>
      <c r="H198" s="183"/>
      <c r="I198" s="111"/>
      <c r="J198" s="184"/>
      <c r="K198" s="454">
        <f t="shared" si="80"/>
        <v>0</v>
      </c>
    </row>
    <row r="199" spans="2:11">
      <c r="B199" s="83">
        <v>22</v>
      </c>
      <c r="C199" s="83"/>
      <c r="D199" s="28"/>
      <c r="E199" s="28"/>
      <c r="F199" s="29"/>
      <c r="G199" s="236">
        <f>(EXP(-$C$44))*G198+((1-(EXP(-$C$44)))/$C$44)*H199</f>
        <v>0</v>
      </c>
      <c r="H199" s="236">
        <f>(M68-M69+(N68-N69)+(Q68-Q69)+(R68-R69)+(S68-S69)+(T68-T69))*material_flow!$B$105*material_flow!$G$105</f>
        <v>0</v>
      </c>
      <c r="I199" s="236">
        <f>(EXP(-$F$44))*I198+((1-(EXP(-$F$44)))/$F$44)*J199</f>
        <v>0</v>
      </c>
      <c r="J199" s="237">
        <f>(P68-P69)*material_flow!$B$107</f>
        <v>0</v>
      </c>
      <c r="K199" s="452">
        <f>G199+I199</f>
        <v>0</v>
      </c>
    </row>
    <row r="200" spans="2:11">
      <c r="B200" s="83">
        <v>23</v>
      </c>
      <c r="C200" s="83"/>
      <c r="D200" s="28"/>
      <c r="E200" s="28"/>
      <c r="F200" s="29"/>
      <c r="G200" s="236">
        <f>(EXP(-$C$44))*G199+((1-(EXP(-$C$44)))/$C$44)*H200</f>
        <v>0</v>
      </c>
      <c r="H200" s="236">
        <f>(M69-M70+(N69-N70)+(Q69-Q70)+(R69-R70)+(S69-S70)+(T69-T70))*material_flow!$B$105*material_flow!$G$105</f>
        <v>0</v>
      </c>
      <c r="I200" s="236">
        <f t="shared" ref="I200:I263" si="81">(EXP(-$F$44))*I199+((1-(EXP(-$F$44)))/$F$44)*J200</f>
        <v>0</v>
      </c>
      <c r="J200" s="237">
        <f>(P69-P70)*material_flow!$B$107</f>
        <v>0</v>
      </c>
      <c r="K200" s="451">
        <f t="shared" si="80"/>
        <v>0</v>
      </c>
    </row>
    <row r="201" spans="2:11">
      <c r="B201" s="83">
        <v>24</v>
      </c>
      <c r="C201" s="83"/>
      <c r="D201" s="28"/>
      <c r="E201" s="28"/>
      <c r="F201" s="29"/>
      <c r="G201" s="236">
        <f t="shared" ref="G201:G263" si="82">(EXP(-$C$44))*G200+((1-(EXP(-$C$44)))/$C$44)*H201</f>
        <v>0</v>
      </c>
      <c r="H201" s="236">
        <f>(M70-M71+(N70-N71)+(Q70-Q71)+(R70-R71)+(S70-S71)+(T70-T71))*material_flow!$B$105*material_flow!$G$105</f>
        <v>0</v>
      </c>
      <c r="I201" s="236">
        <f t="shared" si="81"/>
        <v>0</v>
      </c>
      <c r="J201" s="237">
        <f>(P70-P71)*material_flow!$B$107</f>
        <v>0</v>
      </c>
      <c r="K201" s="451">
        <f t="shared" si="80"/>
        <v>0</v>
      </c>
    </row>
    <row r="202" spans="2:11">
      <c r="B202" s="83">
        <v>25</v>
      </c>
      <c r="C202" s="83"/>
      <c r="D202" s="28"/>
      <c r="E202" s="28"/>
      <c r="F202" s="29"/>
      <c r="G202" s="236">
        <f t="shared" si="82"/>
        <v>0</v>
      </c>
      <c r="H202" s="236">
        <f>(M71-M72+(N71-N72)+(Q71-Q72)+(R71-R72)+(S71-S72)+(T71-T72))*material_flow!$B$105*material_flow!$G$105</f>
        <v>0</v>
      </c>
      <c r="I202" s="236">
        <f t="shared" si="81"/>
        <v>0</v>
      </c>
      <c r="J202" s="237">
        <f>(P71-P72)*material_flow!$B$107</f>
        <v>0</v>
      </c>
      <c r="K202" s="451">
        <f t="shared" si="80"/>
        <v>0</v>
      </c>
    </row>
    <row r="203" spans="2:11">
      <c r="B203" s="83">
        <v>26</v>
      </c>
      <c r="C203" s="83"/>
      <c r="D203" s="28"/>
      <c r="E203" s="28"/>
      <c r="F203" s="29"/>
      <c r="G203" s="236">
        <f t="shared" si="82"/>
        <v>0</v>
      </c>
      <c r="H203" s="236">
        <f>(M72-M73+(N72-N73)+(Q72-Q73)+(R72-R73)+(S72-S73)+(T72-T73))*material_flow!$B$105*material_flow!$G$105</f>
        <v>0</v>
      </c>
      <c r="I203" s="236">
        <f t="shared" si="81"/>
        <v>0</v>
      </c>
      <c r="J203" s="237">
        <f>(P72-P73)*material_flow!$B$107</f>
        <v>0</v>
      </c>
      <c r="K203" s="451">
        <f t="shared" si="80"/>
        <v>0</v>
      </c>
    </row>
    <row r="204" spans="2:11">
      <c r="B204" s="83">
        <v>27</v>
      </c>
      <c r="C204" s="83"/>
      <c r="D204" s="28"/>
      <c r="E204" s="28"/>
      <c r="F204" s="29"/>
      <c r="G204" s="236">
        <f t="shared" si="82"/>
        <v>0</v>
      </c>
      <c r="H204" s="236">
        <f>(M73-M74+(N73-N74)+(Q73-Q74)+(R73-R74)+(S73-S74)+(T73-T74))*material_flow!$B$105*material_flow!$G$105</f>
        <v>0</v>
      </c>
      <c r="I204" s="236">
        <f t="shared" si="81"/>
        <v>0</v>
      </c>
      <c r="J204" s="237">
        <f>(P73-P74)*material_flow!$B$107</f>
        <v>0</v>
      </c>
      <c r="K204" s="451">
        <f t="shared" si="80"/>
        <v>0</v>
      </c>
    </row>
    <row r="205" spans="2:11">
      <c r="B205" s="83">
        <v>28</v>
      </c>
      <c r="C205" s="83"/>
      <c r="D205" s="28"/>
      <c r="E205" s="28"/>
      <c r="F205" s="29"/>
      <c r="G205" s="236">
        <f t="shared" si="82"/>
        <v>0</v>
      </c>
      <c r="H205" s="236">
        <f>(M74-M75+(N74-N75)+(Q74-Q75)+(R74-R75)+(S74-S75)+(T74-T75))*material_flow!$B$105*material_flow!$G$105</f>
        <v>0</v>
      </c>
      <c r="I205" s="236">
        <f t="shared" si="81"/>
        <v>0</v>
      </c>
      <c r="J205" s="237">
        <f>(P74-P75)*material_flow!$B$107</f>
        <v>0</v>
      </c>
      <c r="K205" s="451">
        <f t="shared" si="80"/>
        <v>0</v>
      </c>
    </row>
    <row r="206" spans="2:11">
      <c r="B206" s="83">
        <v>29</v>
      </c>
      <c r="C206" s="83"/>
      <c r="D206" s="28"/>
      <c r="E206" s="28"/>
      <c r="F206" s="29"/>
      <c r="G206" s="236">
        <f t="shared" si="82"/>
        <v>0</v>
      </c>
      <c r="H206" s="236">
        <f>(M75-M76+(N75-N76)+(Q75-Q76)+(R75-R76)+(S75-S76)+(T75-T76))*material_flow!$B$105*material_flow!$G$105</f>
        <v>0</v>
      </c>
      <c r="I206" s="236">
        <f t="shared" si="81"/>
        <v>0</v>
      </c>
      <c r="J206" s="237">
        <f>(P75-P76)*material_flow!$B$107</f>
        <v>0</v>
      </c>
      <c r="K206" s="451">
        <f t="shared" si="80"/>
        <v>0</v>
      </c>
    </row>
    <row r="207" spans="2:11">
      <c r="B207" s="83">
        <v>30</v>
      </c>
      <c r="C207" s="83"/>
      <c r="D207" s="28"/>
      <c r="E207" s="28"/>
      <c r="F207" s="29"/>
      <c r="G207" s="236">
        <f t="shared" si="82"/>
        <v>0</v>
      </c>
      <c r="H207" s="236">
        <f>(M76-M77+(N76-N77)+(Q76-Q77)+(R76-R77)+(S76-S77)+(T76-T77))*material_flow!$B$105*material_flow!$G$105</f>
        <v>0</v>
      </c>
      <c r="I207" s="236">
        <f t="shared" si="81"/>
        <v>0</v>
      </c>
      <c r="J207" s="237">
        <f>(P76-P77)*material_flow!$B$107</f>
        <v>0</v>
      </c>
      <c r="K207" s="451">
        <f t="shared" si="80"/>
        <v>0</v>
      </c>
    </row>
    <row r="208" spans="2:11">
      <c r="B208" s="83">
        <v>31</v>
      </c>
      <c r="C208" s="83"/>
      <c r="D208" s="28"/>
      <c r="E208" s="28"/>
      <c r="F208" s="29"/>
      <c r="G208" s="236">
        <f t="shared" si="82"/>
        <v>0</v>
      </c>
      <c r="H208" s="236">
        <f>(M77-M78+(N77-N78)+(Q77-Q78)+(R77-R78)+(S77-S78)+(T77-T78))*material_flow!$B$105*material_flow!$G$105</f>
        <v>0</v>
      </c>
      <c r="I208" s="236">
        <f t="shared" si="81"/>
        <v>0</v>
      </c>
      <c r="J208" s="237">
        <f>(P77-P78)*material_flow!$B$107</f>
        <v>0</v>
      </c>
      <c r="K208" s="451">
        <f t="shared" si="80"/>
        <v>0</v>
      </c>
    </row>
    <row r="209" spans="1:11">
      <c r="B209" s="83">
        <v>32</v>
      </c>
      <c r="C209" s="83"/>
      <c r="D209" s="28"/>
      <c r="E209" s="28"/>
      <c r="F209" s="29"/>
      <c r="G209" s="236">
        <f t="shared" si="82"/>
        <v>0</v>
      </c>
      <c r="H209" s="236">
        <f>(M78-M79+(N78-N79)+(Q78-Q79)+(R78-R79)+(S78-S79)+(T78-T79))*material_flow!$B$105*material_flow!$G$105</f>
        <v>0</v>
      </c>
      <c r="I209" s="236">
        <f t="shared" si="81"/>
        <v>0</v>
      </c>
      <c r="J209" s="237">
        <f>(P78-P79)*material_flow!$B$107</f>
        <v>0</v>
      </c>
      <c r="K209" s="451">
        <f t="shared" si="80"/>
        <v>0</v>
      </c>
    </row>
    <row r="210" spans="1:11">
      <c r="B210" s="83">
        <v>33</v>
      </c>
      <c r="C210" s="83"/>
      <c r="D210" s="28"/>
      <c r="E210" s="28"/>
      <c r="F210" s="29"/>
      <c r="G210" s="236">
        <f t="shared" si="82"/>
        <v>0</v>
      </c>
      <c r="H210" s="236">
        <f>(M79-M80+(N79-N80)+(Q79-Q80)+(R79-R80)+(S79-S80)+(T79-T80))*material_flow!$B$105*material_flow!$G$105</f>
        <v>0</v>
      </c>
      <c r="I210" s="236">
        <f t="shared" si="81"/>
        <v>0</v>
      </c>
      <c r="J210" s="237">
        <f>(P79-P80)*material_flow!$B$107</f>
        <v>0</v>
      </c>
      <c r="K210" s="451">
        <f t="shared" si="80"/>
        <v>0</v>
      </c>
    </row>
    <row r="211" spans="1:11">
      <c r="B211" s="83">
        <v>34</v>
      </c>
      <c r="C211" s="83"/>
      <c r="D211" s="28"/>
      <c r="E211" s="28"/>
      <c r="F211" s="29"/>
      <c r="G211" s="236">
        <f t="shared" si="82"/>
        <v>0</v>
      </c>
      <c r="H211" s="236">
        <f>(M80-M81+(N80-N81)+(Q80-Q81)+(R80-R81)+(S80-S81)+(T80-T81))*material_flow!$B$105*material_flow!$G$105</f>
        <v>0</v>
      </c>
      <c r="I211" s="236">
        <f t="shared" si="81"/>
        <v>0</v>
      </c>
      <c r="J211" s="237">
        <f>(P80-P81)*material_flow!$B$107</f>
        <v>0</v>
      </c>
      <c r="K211" s="451">
        <f t="shared" si="80"/>
        <v>0</v>
      </c>
    </row>
    <row r="212" spans="1:11">
      <c r="B212" s="83">
        <v>35</v>
      </c>
      <c r="C212" s="83"/>
      <c r="D212" s="28"/>
      <c r="E212" s="28"/>
      <c r="F212" s="29"/>
      <c r="G212" s="236">
        <f t="shared" si="82"/>
        <v>0</v>
      </c>
      <c r="H212" s="236">
        <f>(M81-M82+(N81-N82)+(Q81-Q82)+(R81-R82)+(S81-S82)+(T81-T82))*material_flow!$B$105*material_flow!$G$105</f>
        <v>0</v>
      </c>
      <c r="I212" s="236">
        <f t="shared" si="81"/>
        <v>0</v>
      </c>
      <c r="J212" s="237">
        <f>(P81-P82)*material_flow!$B$107</f>
        <v>0</v>
      </c>
      <c r="K212" s="451">
        <f t="shared" si="80"/>
        <v>0</v>
      </c>
    </row>
    <row r="213" spans="1:11">
      <c r="B213" s="83">
        <v>36</v>
      </c>
      <c r="C213" s="83"/>
      <c r="D213" s="28"/>
      <c r="E213" s="28"/>
      <c r="F213" s="29"/>
      <c r="G213" s="236">
        <f t="shared" si="82"/>
        <v>0</v>
      </c>
      <c r="H213" s="236">
        <f>(M82-M83+(N82-N83)+(Q82-Q83)+(R82-R83)+(S82-S83)+(T82-T83))*material_flow!$B$105*material_flow!$G$105</f>
        <v>0</v>
      </c>
      <c r="I213" s="236">
        <f t="shared" si="81"/>
        <v>0</v>
      </c>
      <c r="J213" s="237">
        <f>(P82-P83)*material_flow!$B$107</f>
        <v>0</v>
      </c>
      <c r="K213" s="451">
        <f t="shared" si="80"/>
        <v>0</v>
      </c>
    </row>
    <row r="214" spans="1:11">
      <c r="B214" s="83">
        <v>37</v>
      </c>
      <c r="C214" s="83"/>
      <c r="D214" s="28"/>
      <c r="E214" s="28"/>
      <c r="F214" s="29"/>
      <c r="G214" s="236">
        <f t="shared" si="82"/>
        <v>0</v>
      </c>
      <c r="H214" s="236">
        <f>(M83-M84+(N83-N84)+(Q83-Q84)+(R83-R84)+(S83-S84)+(T83-T84))*material_flow!$B$105*material_flow!$G$105</f>
        <v>0</v>
      </c>
      <c r="I214" s="236">
        <f t="shared" si="81"/>
        <v>0</v>
      </c>
      <c r="J214" s="237">
        <f>(P83-P84)*material_flow!$B$107</f>
        <v>0</v>
      </c>
      <c r="K214" s="451">
        <f t="shared" si="80"/>
        <v>0</v>
      </c>
    </row>
    <row r="215" spans="1:11">
      <c r="B215" s="83">
        <v>38</v>
      </c>
      <c r="C215" s="83"/>
      <c r="D215" s="28"/>
      <c r="E215" s="28"/>
      <c r="F215" s="29"/>
      <c r="G215" s="236">
        <f t="shared" si="82"/>
        <v>0</v>
      </c>
      <c r="H215" s="236">
        <f>(M84-M85+(N84-N85)+(Q84-Q85)+(R84-R85)+(S84-S85)+(T84-T85))*material_flow!$B$105*material_flow!$G$105</f>
        <v>0</v>
      </c>
      <c r="I215" s="236">
        <f t="shared" si="81"/>
        <v>0</v>
      </c>
      <c r="J215" s="237">
        <f>(P84-P85)*material_flow!$B$107</f>
        <v>0</v>
      </c>
      <c r="K215" s="451">
        <f t="shared" si="80"/>
        <v>0</v>
      </c>
    </row>
    <row r="216" spans="1:11">
      <c r="B216" s="83">
        <v>39</v>
      </c>
      <c r="C216" s="83"/>
      <c r="D216" s="28"/>
      <c r="E216" s="28"/>
      <c r="F216" s="29"/>
      <c r="G216" s="236">
        <f t="shared" si="82"/>
        <v>0</v>
      </c>
      <c r="H216" s="236">
        <f>(M85-M86+(N85-N86)+(Q85-Q86)+(R85-R86)+(S85-S86)+(T85-T86))*material_flow!$B$105*material_flow!$G$105</f>
        <v>0</v>
      </c>
      <c r="I216" s="236">
        <f t="shared" si="81"/>
        <v>0</v>
      </c>
      <c r="J216" s="237">
        <f>(P85-P86)*material_flow!$B$107</f>
        <v>0</v>
      </c>
      <c r="K216" s="451">
        <f t="shared" si="80"/>
        <v>0</v>
      </c>
    </row>
    <row r="217" spans="1:11">
      <c r="B217" s="83">
        <v>40</v>
      </c>
      <c r="C217" s="83"/>
      <c r="D217" s="28"/>
      <c r="E217" s="28"/>
      <c r="F217" s="29"/>
      <c r="G217" s="236">
        <f t="shared" si="82"/>
        <v>0</v>
      </c>
      <c r="H217" s="236">
        <f>(M86-M87+(N86-N87)+(Q86-Q87)+(R86-R87)+(S86-S87)+(T86-T87))*material_flow!$B$105*material_flow!$G$105</f>
        <v>0</v>
      </c>
      <c r="I217" s="236">
        <f t="shared" si="81"/>
        <v>0</v>
      </c>
      <c r="J217" s="237">
        <f>(P86-P87)*material_flow!$B$107</f>
        <v>0</v>
      </c>
      <c r="K217" s="451">
        <f t="shared" si="80"/>
        <v>0</v>
      </c>
    </row>
    <row r="218" spans="1:11">
      <c r="B218" s="83">
        <v>41</v>
      </c>
      <c r="C218" s="83"/>
      <c r="D218" s="28"/>
      <c r="E218" s="28"/>
      <c r="F218" s="29"/>
      <c r="G218" s="236">
        <f t="shared" si="82"/>
        <v>0</v>
      </c>
      <c r="H218" s="236">
        <f>(M87-M88+(N87-N88)+(Q87-Q88)+(R87-R88)+(S87-S88)+(T87-T88))*material_flow!$B$105*material_flow!$G$105</f>
        <v>0</v>
      </c>
      <c r="I218" s="236">
        <f t="shared" si="81"/>
        <v>0</v>
      </c>
      <c r="J218" s="237">
        <f>(P87-P88)*material_flow!$B$107</f>
        <v>0</v>
      </c>
      <c r="K218" s="451">
        <f t="shared" si="80"/>
        <v>0</v>
      </c>
    </row>
    <row r="219" spans="1:11">
      <c r="B219" s="83">
        <v>42</v>
      </c>
      <c r="C219" s="83"/>
      <c r="D219" s="28"/>
      <c r="E219" s="28"/>
      <c r="F219" s="29"/>
      <c r="G219" s="236">
        <f t="shared" si="82"/>
        <v>0</v>
      </c>
      <c r="H219" s="236">
        <f>(M88-M89+(N88-N89)+(Q88-Q89)+(R88-R89)+(S88-S89)+(T88-T89))*material_flow!$B$105*material_flow!$G$105</f>
        <v>0</v>
      </c>
      <c r="I219" s="236">
        <f t="shared" si="81"/>
        <v>0</v>
      </c>
      <c r="J219" s="237">
        <f>(P88-P89)*material_flow!$B$107</f>
        <v>0</v>
      </c>
      <c r="K219" s="451">
        <f t="shared" si="80"/>
        <v>0</v>
      </c>
    </row>
    <row r="220" spans="1:11">
      <c r="B220" s="83">
        <v>43</v>
      </c>
      <c r="C220" s="83"/>
      <c r="D220" s="28"/>
      <c r="E220" s="28"/>
      <c r="F220" s="29"/>
      <c r="G220" s="236">
        <f t="shared" si="82"/>
        <v>0</v>
      </c>
      <c r="H220" s="236">
        <f>(M89-M90+(N89-N90)+(Q89-Q90)+(R89-R90)+(S89-S90)+(T89-T90))*material_flow!$B$105*material_flow!$G$105</f>
        <v>0</v>
      </c>
      <c r="I220" s="236">
        <f t="shared" si="81"/>
        <v>0</v>
      </c>
      <c r="J220" s="237">
        <f>(P89-P90)*material_flow!$B$107</f>
        <v>0</v>
      </c>
      <c r="K220" s="451">
        <f t="shared" si="80"/>
        <v>0</v>
      </c>
    </row>
    <row r="221" spans="1:11">
      <c r="B221" s="83">
        <v>44</v>
      </c>
      <c r="C221" s="83"/>
      <c r="D221" s="28"/>
      <c r="E221" s="28"/>
      <c r="F221" s="29"/>
      <c r="G221" s="236">
        <f t="shared" si="82"/>
        <v>0</v>
      </c>
      <c r="H221" s="236">
        <f>(M90-M91+(N90-N91)+(Q90-Q91)+(R90-R91)+(S90-S91)+(T90-T91))*material_flow!$B$105*material_flow!$G$105</f>
        <v>0</v>
      </c>
      <c r="I221" s="236">
        <f t="shared" si="81"/>
        <v>0</v>
      </c>
      <c r="J221" s="237">
        <f>(P90-P91)*material_flow!$B$107</f>
        <v>0</v>
      </c>
      <c r="K221" s="451">
        <f t="shared" si="80"/>
        <v>0</v>
      </c>
    </row>
    <row r="222" spans="1:11">
      <c r="A222" s="429"/>
      <c r="B222" s="83">
        <v>45</v>
      </c>
      <c r="C222" s="83"/>
      <c r="D222" s="28"/>
      <c r="E222" s="28"/>
      <c r="F222" s="29"/>
      <c r="G222" s="236">
        <f t="shared" si="82"/>
        <v>0</v>
      </c>
      <c r="H222" s="236">
        <f>(M91-M92+(N91-N92)+(Q91-Q92)+(R91-R92)+(S91-S92)+(T91-T92))*material_flow!$B$105*material_flow!$G$105</f>
        <v>0</v>
      </c>
      <c r="I222" s="236">
        <f t="shared" si="81"/>
        <v>0</v>
      </c>
      <c r="J222" s="237">
        <f>(P91-P92)*material_flow!$B$107</f>
        <v>0</v>
      </c>
      <c r="K222" s="451">
        <f t="shared" si="80"/>
        <v>0</v>
      </c>
    </row>
    <row r="223" spans="1:11">
      <c r="B223" s="83">
        <v>46</v>
      </c>
      <c r="C223" s="83"/>
      <c r="D223" s="28"/>
      <c r="E223" s="28"/>
      <c r="F223" s="29"/>
      <c r="G223" s="236">
        <f t="shared" si="82"/>
        <v>0</v>
      </c>
      <c r="H223" s="236">
        <f>(M92-M93+(N92-N93)+(Q92-Q93)+(R92-R93)+(S92-S93)+(T92-T93))*material_flow!$B$105*material_flow!$G$105</f>
        <v>0</v>
      </c>
      <c r="I223" s="236">
        <f t="shared" si="81"/>
        <v>0</v>
      </c>
      <c r="J223" s="237">
        <f>(P92-P93)*material_flow!$B$107</f>
        <v>0</v>
      </c>
      <c r="K223" s="451">
        <f t="shared" si="80"/>
        <v>0</v>
      </c>
    </row>
    <row r="224" spans="1:11">
      <c r="B224" s="83">
        <v>47</v>
      </c>
      <c r="C224" s="83"/>
      <c r="D224" s="28"/>
      <c r="E224" s="28"/>
      <c r="F224" s="29"/>
      <c r="G224" s="236">
        <f t="shared" si="82"/>
        <v>0</v>
      </c>
      <c r="H224" s="236">
        <f>(M93-M94+(N93-N94)+(Q93-Q94)+(R93-R94)+(S93-S94)+(T93-T94))*material_flow!$B$105*material_flow!$G$105</f>
        <v>0</v>
      </c>
      <c r="I224" s="236">
        <f t="shared" si="81"/>
        <v>0</v>
      </c>
      <c r="J224" s="237">
        <f>(P93-P94)*material_flow!$B$107</f>
        <v>0</v>
      </c>
      <c r="K224" s="451">
        <f t="shared" si="80"/>
        <v>0</v>
      </c>
    </row>
    <row r="225" spans="2:11">
      <c r="B225" s="83">
        <v>48</v>
      </c>
      <c r="C225" s="83"/>
      <c r="D225" s="28"/>
      <c r="E225" s="28"/>
      <c r="F225" s="29"/>
      <c r="G225" s="236">
        <f t="shared" si="82"/>
        <v>0</v>
      </c>
      <c r="H225" s="236">
        <f>(M94-M95+(N94-N95)+(Q94-Q95)+(R94-R95)+(S94-S95)+(T94-T95))*material_flow!$B$105*material_flow!$G$105</f>
        <v>0</v>
      </c>
      <c r="I225" s="236">
        <f t="shared" si="81"/>
        <v>0</v>
      </c>
      <c r="J225" s="237">
        <f>(P94-P95)*material_flow!$B$107</f>
        <v>0</v>
      </c>
      <c r="K225" s="451">
        <f t="shared" si="80"/>
        <v>0</v>
      </c>
    </row>
    <row r="226" spans="2:11">
      <c r="B226" s="83">
        <v>49</v>
      </c>
      <c r="C226" s="83"/>
      <c r="D226" s="28"/>
      <c r="E226" s="28"/>
      <c r="F226" s="29"/>
      <c r="G226" s="236">
        <f t="shared" si="82"/>
        <v>0</v>
      </c>
      <c r="H226" s="236">
        <f>(M95-M96+(N95-N96)+(Q95-Q96)+(R95-R96)+(S95-S96)+(T95-T96))*material_flow!$B$105*material_flow!$G$105</f>
        <v>0</v>
      </c>
      <c r="I226" s="236">
        <f t="shared" si="81"/>
        <v>0</v>
      </c>
      <c r="J226" s="237">
        <f>(P95-P96)*material_flow!$B$107</f>
        <v>0</v>
      </c>
      <c r="K226" s="451">
        <f t="shared" si="80"/>
        <v>0</v>
      </c>
    </row>
    <row r="227" spans="2:11" s="179" customFormat="1">
      <c r="B227" s="116">
        <v>50</v>
      </c>
      <c r="C227" s="116"/>
      <c r="D227" s="111"/>
      <c r="E227" s="111"/>
      <c r="F227" s="180"/>
      <c r="G227" s="223">
        <f t="shared" si="82"/>
        <v>0</v>
      </c>
      <c r="H227" s="223">
        <f>H226</f>
        <v>0</v>
      </c>
      <c r="I227" s="223">
        <f t="shared" si="81"/>
        <v>0</v>
      </c>
      <c r="J227" s="238">
        <f>J226</f>
        <v>0</v>
      </c>
      <c r="K227" s="454">
        <f t="shared" si="80"/>
        <v>0</v>
      </c>
    </row>
    <row r="228" spans="2:11">
      <c r="B228" s="83">
        <v>51</v>
      </c>
      <c r="C228" s="83">
        <f>(EXP(-$C$44))*C227+((1-(EXP(-$C$44)))/$C$44)*D228</f>
        <v>0</v>
      </c>
      <c r="D228" s="28">
        <f>($F$26*$D$38*$J$12/1000)+((C97-C98+(D97-D98)+(G97-G98)+(H97-H98)+(I97-I98)+(J97-J98)+$C$42))*material_flow!$B$105*material_flow!$G$105</f>
        <v>0</v>
      </c>
      <c r="E228" s="28">
        <f>(EXP(-$F$44))*E227+((1-(EXP(-$F$44)))/$F$44)*F228</f>
        <v>0</v>
      </c>
      <c r="F228" s="29">
        <f>(F97-F98+$C$42)*material_flow!$B$109</f>
        <v>0</v>
      </c>
      <c r="G228" s="236">
        <f t="shared" si="82"/>
        <v>95.570929091805823</v>
      </c>
      <c r="H228" s="236">
        <f>($F$26*$E$38*$J$14/1000)+(M97-M98+(N97-N98)+(Q97-Q98)+(R97-R98)+(S97-S98)+(T97-T98))*material_flow!$B$105*material_flow!$G$105</f>
        <v>96.679259327010911</v>
      </c>
      <c r="I228" s="236">
        <f t="shared" si="81"/>
        <v>5.2599361951445953</v>
      </c>
      <c r="J228" s="237">
        <f>(P97-P98)*material_flow!$B$107</f>
        <v>6.2239575882974103</v>
      </c>
      <c r="K228" s="451">
        <f t="shared" si="80"/>
        <v>100.83086528695041</v>
      </c>
    </row>
    <row r="229" spans="2:11">
      <c r="B229" s="83">
        <v>52</v>
      </c>
      <c r="C229" s="83">
        <f t="shared" ref="C229:C276" si="83">(EXP(-$C$44))*C228+((1-(EXP(-$C$44)))/$C$44)*D229</f>
        <v>0</v>
      </c>
      <c r="D229" s="28">
        <f>((C98-C99+(D98-D99)+(G98-G99)+(H98-H99)+(I98-I99)+(J98-J99)+$C$42))*material_flow!$B$105*material_flow!$G$105</f>
        <v>0</v>
      </c>
      <c r="E229" s="28">
        <f t="shared" ref="E229:E277" si="84">(EXP(-$F$44))*E228+((1-(EXP(-$F$44)))/$F$44)*F229</f>
        <v>0</v>
      </c>
      <c r="F229" s="29">
        <f>(F98-F99+$C$42)*material_flow!$B$109</f>
        <v>0</v>
      </c>
      <c r="G229" s="236">
        <f t="shared" si="82"/>
        <v>157.86783370057691</v>
      </c>
      <c r="H229" s="236">
        <f>(M98-M99+(N98-N99)+(Q98-Q99)+(R98-R99)+(S98-S99)+(T98-T99))*material_flow!$B$105*material_flow!$G$105</f>
        <v>65.227515346421313</v>
      </c>
      <c r="I229" s="236">
        <f t="shared" si="81"/>
        <v>7.438673104390622</v>
      </c>
      <c r="J229" s="237">
        <f>(P98-P99)*material_flow!$B$107</f>
        <v>4.40100261650257</v>
      </c>
      <c r="K229" s="451">
        <f t="shared" si="80"/>
        <v>165.30650680496754</v>
      </c>
    </row>
    <row r="230" spans="2:11">
      <c r="B230" s="83">
        <v>53</v>
      </c>
      <c r="C230" s="83">
        <f t="shared" si="83"/>
        <v>0</v>
      </c>
      <c r="D230" s="28">
        <f>((C99-C100+(D99-D100)+(G99-G100)+(H99-H100)+(I99-I100)+(J99-J100)+$C$42))*material_flow!$B$105*material_flow!$G$105</f>
        <v>0</v>
      </c>
      <c r="E230" s="28">
        <f t="shared" si="84"/>
        <v>0</v>
      </c>
      <c r="F230" s="29">
        <f>(F99-F100+$C$42)*material_flow!$B$109</f>
        <v>0</v>
      </c>
      <c r="G230" s="236">
        <f t="shared" si="82"/>
        <v>206.99401204155561</v>
      </c>
      <c r="H230" s="236">
        <f>(M99-M100+(N99-N100)+(Q99-Q100)+(R99-R100)+(S99-S100)+(T99-T100))*material_flow!$B$105*material_flow!$G$105</f>
        <v>53.343413095706211</v>
      </c>
      <c r="I230" s="236">
        <f t="shared" si="81"/>
        <v>7.8899042927168948</v>
      </c>
      <c r="J230" s="237">
        <f>(P99-P100)*material_flow!$B$107</f>
        <v>3.1119787941487065</v>
      </c>
      <c r="K230" s="451">
        <f t="shared" si="80"/>
        <v>214.8839163342725</v>
      </c>
    </row>
    <row r="231" spans="2:11">
      <c r="B231" s="83">
        <v>54</v>
      </c>
      <c r="C231" s="83">
        <f t="shared" si="83"/>
        <v>0</v>
      </c>
      <c r="D231" s="28">
        <f>((C100-C101+(D100-D101)+(G100-G101)+(H100-H101)+(I100-I101)+(J100-J101)+$C$42))*material_flow!$B$105*material_flow!$G$105</f>
        <v>0</v>
      </c>
      <c r="E231" s="28">
        <f t="shared" si="84"/>
        <v>0</v>
      </c>
      <c r="F231" s="29">
        <f>(F100-F101+$C$42)*material_flow!$B$109</f>
        <v>0</v>
      </c>
      <c r="G231" s="236">
        <f t="shared" si="82"/>
        <v>245.93322099009006</v>
      </c>
      <c r="H231" s="236">
        <f>(M100-M101+(N100-N101)+(Q100-Q101)+(R100-R101)+(S100-S101)+(T100-T101))*material_flow!$B$105*material_flow!$G$105</f>
        <v>44.173361774209667</v>
      </c>
      <c r="I231" s="236">
        <f t="shared" si="81"/>
        <v>7.4386731043906238</v>
      </c>
      <c r="J231" s="237">
        <f>(P100-P101)*material_flow!$B$107</f>
        <v>2.2005013082512854</v>
      </c>
      <c r="K231" s="451">
        <f t="shared" si="80"/>
        <v>253.37189409448069</v>
      </c>
    </row>
    <row r="232" spans="2:11">
      <c r="B232" s="83">
        <v>55</v>
      </c>
      <c r="C232" s="83">
        <f t="shared" si="83"/>
        <v>0</v>
      </c>
      <c r="D232" s="28">
        <f>((C101-C102+(D101-D102)+(G101-G102)+(H101-H102)+(I101-I102)+(J101-J102)+$C$42))*material_flow!$B$105*material_flow!$G$105</f>
        <v>0</v>
      </c>
      <c r="E232" s="28">
        <f t="shared" si="84"/>
        <v>0</v>
      </c>
      <c r="F232" s="29">
        <f>(F101-F102+$C$42)*material_flow!$B$109</f>
        <v>0</v>
      </c>
      <c r="G232" s="236">
        <f t="shared" si="82"/>
        <v>276.95023002639067</v>
      </c>
      <c r="H232" s="236">
        <f>(M101-M102+(N101-N102)+(Q101-Q102)+(R101-R102)+(S101-S102)+(T101-T102))*material_flow!$B$105*material_flow!$G$105</f>
        <v>37.058975356015523</v>
      </c>
      <c r="I232" s="236">
        <f t="shared" si="81"/>
        <v>6.5749202439307464</v>
      </c>
      <c r="J232" s="237">
        <f>(P101-P102)*material_flow!$B$107</f>
        <v>1.5559893970743532</v>
      </c>
      <c r="K232" s="451">
        <f t="shared" si="80"/>
        <v>283.52515027032143</v>
      </c>
    </row>
    <row r="233" spans="2:11">
      <c r="B233" s="83">
        <v>56</v>
      </c>
      <c r="C233" s="83">
        <f t="shared" si="83"/>
        <v>0</v>
      </c>
      <c r="D233" s="28">
        <f>((C102-C103+(D102-D103)+(G102-G103)+(H102-H103)+(I102-I103)+(J102-J103)+$C$42))*material_flow!$B$105*material_flow!$G$105</f>
        <v>0</v>
      </c>
      <c r="E233" s="28">
        <f t="shared" si="84"/>
        <v>0</v>
      </c>
      <c r="F233" s="29">
        <f>(F102-F103+$C$42)*material_flow!$B$109</f>
        <v>0</v>
      </c>
      <c r="G233" s="236">
        <f t="shared" si="82"/>
        <v>301.77072199732407</v>
      </c>
      <c r="H233" s="236">
        <f>(M102-M103+(N102-N103)+(Q102-Q103)+(R102-R103)+(S102-S103)+(T102-T103))*material_flow!$B$105*material_flow!$G$105</f>
        <v>31.507242738969616</v>
      </c>
      <c r="I233" s="236">
        <f t="shared" si="81"/>
        <v>5.5790048282929678</v>
      </c>
      <c r="J233" s="237">
        <f>(P102-P103)*material_flow!$B$107</f>
        <v>1.1002506541256432</v>
      </c>
      <c r="K233" s="451">
        <f t="shared" si="80"/>
        <v>307.34972682561704</v>
      </c>
    </row>
    <row r="234" spans="2:11">
      <c r="B234" s="83">
        <v>57</v>
      </c>
      <c r="C234" s="83">
        <f t="shared" si="83"/>
        <v>0</v>
      </c>
      <c r="D234" s="28">
        <f>((C103-C104+(D103-D104)+(G103-G104)+(H103-H104)+(I103-I104)+(J103-J104)+$C$42))*material_flow!$B$105*material_flow!$G$105</f>
        <v>0</v>
      </c>
      <c r="E234" s="28">
        <f t="shared" si="84"/>
        <v>0</v>
      </c>
      <c r="F234" s="29">
        <f>(F103-F104+$C$42)*material_flow!$B$109</f>
        <v>0</v>
      </c>
      <c r="G234" s="236">
        <f t="shared" si="82"/>
        <v>321.71477955681445</v>
      </c>
      <c r="H234" s="236">
        <f>(M103-M104+(N103-N104)+(Q103-Q104)+(R103-R104)+(S103-S104)+(T103-T104))*material_flow!$B$105*material_flow!$G$105</f>
        <v>27.147731749426992</v>
      </c>
      <c r="I234" s="236">
        <f t="shared" si="81"/>
        <v>4.6024441707515225</v>
      </c>
      <c r="J234" s="237">
        <f>(P103-P104)*material_flow!$B$107</f>
        <v>0.77799469853717695</v>
      </c>
      <c r="K234" s="451">
        <f t="shared" si="80"/>
        <v>326.31722372756599</v>
      </c>
    </row>
    <row r="235" spans="2:11">
      <c r="B235" s="83">
        <v>58</v>
      </c>
      <c r="C235" s="83">
        <f t="shared" si="83"/>
        <v>0</v>
      </c>
      <c r="D235" s="28">
        <f>((C104-C105+(D104-D105)+(G104-G105)+(H104-H105)+(I104-I105)+(J104-J105)+$C$42))*material_flow!$B$105*material_flow!$G$105</f>
        <v>0</v>
      </c>
      <c r="E235" s="28">
        <f t="shared" si="84"/>
        <v>0</v>
      </c>
      <c r="F235" s="29">
        <f>(F104-F105+$C$42)*material_flow!$B$109</f>
        <v>0</v>
      </c>
      <c r="G235" s="236">
        <f t="shared" si="82"/>
        <v>337.79625875586021</v>
      </c>
      <c r="H235" s="236">
        <f>(M104-M105+(N104-N105)+(Q104-Q105)+(R104-R105)+(S104-S105)+(T104-T105))*material_flow!$B$105*material_flow!$G$105</f>
        <v>23.701164878882079</v>
      </c>
      <c r="I235" s="236">
        <f t="shared" si="81"/>
        <v>3.7193365521953128</v>
      </c>
      <c r="J235" s="237">
        <f>(P104-P105)*material_flow!$B$107</f>
        <v>0.55012532706282158</v>
      </c>
      <c r="K235" s="451">
        <f t="shared" si="80"/>
        <v>341.51559530805554</v>
      </c>
    </row>
    <row r="236" spans="2:11">
      <c r="B236" s="83">
        <v>59</v>
      </c>
      <c r="C236" s="83">
        <f t="shared" si="83"/>
        <v>0</v>
      </c>
      <c r="D236" s="28">
        <f>((C105-C106+(D105-D106)+(G105-G106)+(H105-H106)+(I105-I106)+(J105-J106)+$C$42))*material_flow!$B$105*material_flow!$G$105</f>
        <v>0</v>
      </c>
      <c r="E236" s="28">
        <f t="shared" si="84"/>
        <v>0</v>
      </c>
      <c r="F236" s="29">
        <f>(F105-F106+$C$42)*material_flow!$B$109</f>
        <v>0</v>
      </c>
      <c r="G236" s="236">
        <f t="shared" si="82"/>
        <v>350.79701489743485</v>
      </c>
      <c r="H236" s="236">
        <f>(M105-M106+(N105-N106)+(Q105-Q106)+(R105-R106)+(S105-S106)+(T105-T106))*material_flow!$B$105*material_flow!$G$105</f>
        <v>20.956275929561272</v>
      </c>
      <c r="I236" s="236">
        <f t="shared" si="81"/>
        <v>2.9587141097688368</v>
      </c>
      <c r="J236" s="237">
        <f>(P105-P106)*material_flow!$B$107</f>
        <v>0.38899734926858848</v>
      </c>
      <c r="K236" s="451">
        <f t="shared" si="80"/>
        <v>353.75572900720368</v>
      </c>
    </row>
    <row r="237" spans="2:11">
      <c r="B237" s="83">
        <v>60</v>
      </c>
      <c r="C237" s="83">
        <f t="shared" si="83"/>
        <v>0</v>
      </c>
      <c r="D237" s="28">
        <f>((C106-C107+(D106-D107)+(G106-G107)+(H106-H107)+(I106-I107)+(J106-J107)+$C$42))*material_flow!$B$105*material_flow!$G$105</f>
        <v>0</v>
      </c>
      <c r="E237" s="28">
        <f t="shared" si="84"/>
        <v>0</v>
      </c>
      <c r="F237" s="29">
        <f>(F106-F107+$C$42)*material_flow!$B$109</f>
        <v>0</v>
      </c>
      <c r="G237" s="236">
        <f t="shared" si="82"/>
        <v>361.3225316024679</v>
      </c>
      <c r="H237" s="236">
        <f>(M106-M107+(N106-N107)+(Q106-Q107)+(R106-R107)+(S106-S107)+(T106-T107))*material_flow!$B$105*material_flow!$G$105</f>
        <v>18.752712541077198</v>
      </c>
      <c r="I237" s="236">
        <f t="shared" si="81"/>
        <v>2.3245853451220708</v>
      </c>
      <c r="J237" s="237">
        <f>(P106-P107)*material_flow!$B$107</f>
        <v>0.27506266353141079</v>
      </c>
      <c r="K237" s="451">
        <f t="shared" si="80"/>
        <v>363.64711694758995</v>
      </c>
    </row>
    <row r="238" spans="2:11">
      <c r="B238" s="83">
        <v>61</v>
      </c>
      <c r="C238" s="83">
        <f t="shared" si="83"/>
        <v>0</v>
      </c>
      <c r="D238" s="28">
        <f>((C107-C108+(D107-D108)+(G107-G108)+(H107-H108)+(I107-I108)+(J107-J108)+$C$42))*material_flow!$B$105*material_flow!$G$105</f>
        <v>0</v>
      </c>
      <c r="E238" s="28">
        <f t="shared" si="84"/>
        <v>0</v>
      </c>
      <c r="F238" s="29">
        <f>(F107-F108+$C$42)*material_flow!$B$109</f>
        <v>0</v>
      </c>
      <c r="G238" s="236">
        <f t="shared" si="82"/>
        <v>369.84375329675152</v>
      </c>
      <c r="H238" s="236">
        <f>(M107-M108+(N107-N108)+(Q107-Q108)+(R107-R108)+(S107-S108)+(T107-T108))*material_flow!$B$105*material_flow!$G$105</f>
        <v>16.968364917610355</v>
      </c>
      <c r="I238" s="236">
        <f t="shared" si="81"/>
        <v>1.8081030670809559</v>
      </c>
      <c r="J238" s="237">
        <f>(P107-P108)*material_flow!$B$107</f>
        <v>0.19449867463429424</v>
      </c>
      <c r="K238" s="451">
        <f t="shared" si="80"/>
        <v>371.65185636383245</v>
      </c>
    </row>
    <row r="239" spans="2:11">
      <c r="B239" s="83">
        <v>62</v>
      </c>
      <c r="C239" s="83">
        <f t="shared" si="83"/>
        <v>0</v>
      </c>
      <c r="D239" s="28">
        <f>((C108-C109+(D108-D109)+(G108-G109)+(H108-H109)+(I108-I109)+(J108-J109)+$C$42))*material_flow!$B$105*material_flow!$G$105</f>
        <v>0</v>
      </c>
      <c r="E239" s="28">
        <f t="shared" si="84"/>
        <v>0</v>
      </c>
      <c r="F239" s="29">
        <f>(F108-F109+$C$42)*material_flow!$B$109</f>
        <v>0</v>
      </c>
      <c r="G239" s="236">
        <f t="shared" si="82"/>
        <v>376.7286487171998</v>
      </c>
      <c r="H239" s="236">
        <f>(M108-M109+(N108-N109)+(Q108-Q109)+(R108-R109)+(S108-S109)+(T108-T109))*material_flow!$B$105*material_flow!$G$105</f>
        <v>15.509944294197794</v>
      </c>
      <c r="I239" s="236">
        <f t="shared" si="81"/>
        <v>1.3947512070732426</v>
      </c>
      <c r="J239" s="237">
        <f>(P108-P109)*material_flow!$B$107</f>
        <v>0.13753133176570539</v>
      </c>
      <c r="K239" s="451">
        <f t="shared" si="80"/>
        <v>378.12339992427303</v>
      </c>
    </row>
    <row r="240" spans="2:11">
      <c r="B240" s="83">
        <v>63</v>
      </c>
      <c r="C240" s="83">
        <f t="shared" si="83"/>
        <v>0</v>
      </c>
      <c r="D240" s="28">
        <f>((C109-C110+(D109-D110)+(G109-G110)+(H109-H110)+(I109-I110)+(J109-J110)+$C$42))*material_flow!$B$105*material_flow!$G$105</f>
        <v>0</v>
      </c>
      <c r="E240" s="28">
        <f t="shared" si="84"/>
        <v>0</v>
      </c>
      <c r="F240" s="29">
        <f>(F109-F110+$C$42)*material_flow!$B$109</f>
        <v>0</v>
      </c>
      <c r="G240" s="236">
        <f t="shared" si="82"/>
        <v>382.26610565882066</v>
      </c>
      <c r="H240" s="236">
        <f>(M109-M110+(N109-N110)+(Q109-Q110)+(R109-R110)+(S109-S110)+(T109-T110))*material_flow!$B$105*material_flow!$G$105</f>
        <v>14.305954515158035</v>
      </c>
      <c r="I240" s="236">
        <f t="shared" si="81"/>
        <v>1.0684245396387468</v>
      </c>
      <c r="J240" s="237">
        <f>(P109-P110)*material_flow!$B$107</f>
        <v>9.7249337317147119E-2</v>
      </c>
      <c r="K240" s="451">
        <f t="shared" si="80"/>
        <v>383.33453019845939</v>
      </c>
    </row>
    <row r="241" spans="2:11">
      <c r="B241" s="83">
        <v>64</v>
      </c>
      <c r="C241" s="83">
        <f t="shared" si="83"/>
        <v>0</v>
      </c>
      <c r="D241" s="28">
        <f>((C110-C111+(D110-D111)+(G110-G111)+(H110-H111)+(I110-I111)+(J110-J111)+$C$42))*material_flow!$B$105*material_flow!$G$105</f>
        <v>0</v>
      </c>
      <c r="E241" s="28">
        <f t="shared" si="84"/>
        <v>0</v>
      </c>
      <c r="F241" s="29">
        <f>(F110-F111+$C$42)*material_flow!$B$109</f>
        <v>0</v>
      </c>
      <c r="G241" s="236">
        <f t="shared" si="82"/>
        <v>386.6840795984026</v>
      </c>
      <c r="H241" s="236">
        <f>(M110-M111+(N110-N111)+(Q110-Q111)+(R110-R111)+(S110-S111)+(T110-T111))*material_flow!$B$105*material_flow!$G$105</f>
        <v>13.301431359247264</v>
      </c>
      <c r="I241" s="236">
        <f t="shared" si="81"/>
        <v>0.81360487079272503</v>
      </c>
      <c r="J241" s="237">
        <f>(P110-P111)*material_flow!$B$107</f>
        <v>6.8765665882852697E-2</v>
      </c>
      <c r="K241" s="451">
        <f t="shared" si="80"/>
        <v>387.49768446919535</v>
      </c>
    </row>
    <row r="242" spans="2:11">
      <c r="B242" s="83">
        <v>65</v>
      </c>
      <c r="C242" s="83">
        <f t="shared" si="83"/>
        <v>0</v>
      </c>
      <c r="D242" s="28">
        <f>((C111-C112+(D111-D112)+(G111-G112)+(H111-H112)+(I111-I112)+(J111-J112)+$C$42))*material_flow!$B$105*material_flow!$G$105</f>
        <v>0</v>
      </c>
      <c r="E242" s="28">
        <f t="shared" si="84"/>
        <v>0</v>
      </c>
      <c r="F242" s="29">
        <f>(F111-F112+$C$42)*material_flow!$B$109</f>
        <v>0</v>
      </c>
      <c r="G242" s="236">
        <f t="shared" si="82"/>
        <v>390.16342237854684</v>
      </c>
      <c r="H242" s="236">
        <f>(M111-M112+(N111-N112)+(Q111-Q112)+(R111-R112)+(S111-S112)+(T111-T112))*material_flow!$B$105*material_flow!$G$105</f>
        <v>12.453991824173563</v>
      </c>
      <c r="I242" s="236">
        <f t="shared" si="81"/>
        <v>0.61639877286850797</v>
      </c>
      <c r="J242" s="237">
        <f>(P111-P112)*material_flow!$B$107</f>
        <v>4.862466865857356E-2</v>
      </c>
      <c r="K242" s="451">
        <f t="shared" ref="K242:K276" si="85">G242+I242</f>
        <v>390.77982115141538</v>
      </c>
    </row>
    <row r="243" spans="2:11">
      <c r="B243" s="83">
        <v>66</v>
      </c>
      <c r="C243" s="83">
        <f t="shared" si="83"/>
        <v>0</v>
      </c>
      <c r="D243" s="28">
        <f>((C112-C113+(D112-D113)+(G112-G113)+(H112-H113)+(I112-I113)+(J112-J113)+$C$42))*material_flow!$B$105*material_flow!$G$105</f>
        <v>0</v>
      </c>
      <c r="E243" s="28">
        <f t="shared" si="84"/>
        <v>0</v>
      </c>
      <c r="F243" s="29">
        <f>(F112-F113+$C$42)*material_flow!$B$109</f>
        <v>0</v>
      </c>
      <c r="G243" s="236">
        <f t="shared" si="82"/>
        <v>392.84845233817344</v>
      </c>
      <c r="H243" s="236">
        <f>(M112-M113+(N112-N113)+(Q112-Q113)+(R112-R113)+(S112-S113)+(T112-T113))*material_flow!$B$105*material_flow!$G$105</f>
        <v>11.730857294268452</v>
      </c>
      <c r="I243" s="236">
        <f t="shared" si="81"/>
        <v>0.46491706902441443</v>
      </c>
      <c r="J243" s="237">
        <f>(P112-P113)*material_flow!$B$107</f>
        <v>3.4382832941426349E-2</v>
      </c>
      <c r="K243" s="451">
        <f t="shared" si="85"/>
        <v>393.31336940719785</v>
      </c>
    </row>
    <row r="244" spans="2:11">
      <c r="B244" s="83">
        <v>67</v>
      </c>
      <c r="C244" s="83">
        <f t="shared" si="83"/>
        <v>0</v>
      </c>
      <c r="D244" s="28">
        <f>((C113-C114+(D113-D114)+(G113-G114)+(H113-H114)+(I113-I114)+(J113-J114)+$C$42))*material_flow!$B$105*material_flow!$G$105</f>
        <v>0</v>
      </c>
      <c r="E244" s="28">
        <f t="shared" si="84"/>
        <v>0</v>
      </c>
      <c r="F244" s="29">
        <f>(F113-F114+$C$42)*material_flow!$B$109</f>
        <v>0</v>
      </c>
      <c r="G244" s="236">
        <f t="shared" si="82"/>
        <v>394.85505840925174</v>
      </c>
      <c r="H244" s="236">
        <f>(M113-M114+(N113-N114)+(Q113-Q114)+(R113-R114)+(S113-S114)+(T113-T114))*material_flow!$B$105*material_flow!$G$105</f>
        <v>11.106603130140506</v>
      </c>
      <c r="I244" s="236">
        <f t="shared" si="81"/>
        <v>0.34929263795882126</v>
      </c>
      <c r="J244" s="237">
        <f>(P113-P114)*material_flow!$B$107</f>
        <v>2.431233432928678E-2</v>
      </c>
      <c r="K244" s="451">
        <f t="shared" si="85"/>
        <v>395.20435104721054</v>
      </c>
    </row>
    <row r="245" spans="2:11">
      <c r="B245" s="83">
        <v>68</v>
      </c>
      <c r="C245" s="83">
        <f t="shared" si="83"/>
        <v>0</v>
      </c>
      <c r="D245" s="28">
        <f>((C114-C115+(D114-D115)+(G114-G115)+(H114-H115)+(I114-I115)+(J114-J115)+$C$42))*material_flow!$B$105*material_flow!$G$105</f>
        <v>0</v>
      </c>
      <c r="E245" s="28">
        <f t="shared" si="84"/>
        <v>0</v>
      </c>
      <c r="F245" s="29">
        <f>(F114-F115+$C$42)*material_flow!$B$109</f>
        <v>0</v>
      </c>
      <c r="G245" s="236">
        <f t="shared" si="82"/>
        <v>396.27693191848471</v>
      </c>
      <c r="H245" s="236">
        <f>(M114-M115+(N114-N115)+(Q114-Q115)+(R114-R115)+(S114-S115)+(T114-T115))*material_flow!$B$105*material_flow!$G$105</f>
        <v>10.561451905130689</v>
      </c>
      <c r="I245" s="236">
        <f t="shared" si="81"/>
        <v>0.26151585132623312</v>
      </c>
      <c r="J245" s="237">
        <f>(P114-P115)*material_flow!$B$107</f>
        <v>1.7191416470713174E-2</v>
      </c>
      <c r="K245" s="451">
        <f t="shared" si="85"/>
        <v>396.53844776981094</v>
      </c>
    </row>
    <row r="246" spans="2:11">
      <c r="B246" s="83">
        <v>69</v>
      </c>
      <c r="C246" s="83">
        <f t="shared" si="83"/>
        <v>0</v>
      </c>
      <c r="D246" s="28">
        <f>((C115-C116+(D115-D116)+(G115-G116)+(H115-H116)+(I115-I116)+(J115-J116)+$C$42))*material_flow!$B$105*material_flow!$G$105</f>
        <v>0</v>
      </c>
      <c r="E246" s="28">
        <f t="shared" si="84"/>
        <v>0</v>
      </c>
      <c r="F246" s="29">
        <f>(F115-F116+$C$42)*material_flow!$B$109</f>
        <v>0</v>
      </c>
      <c r="G246" s="236">
        <f t="shared" si="82"/>
        <v>397.19037239673469</v>
      </c>
      <c r="H246" s="236">
        <f>(M115-M116+(N115-N116)+(Q115-Q116)+(R115-R116)+(S115-S116)+(T115-T116))*material_flow!$B$105*material_flow!$G$105</f>
        <v>10.079974861101199</v>
      </c>
      <c r="I246" s="236">
        <f t="shared" si="81"/>
        <v>0.19519294474169424</v>
      </c>
      <c r="J246" s="237">
        <f>(P115-P116)*material_flow!$B$107</f>
        <v>1.215616716464339E-2</v>
      </c>
      <c r="K246" s="451">
        <f t="shared" si="85"/>
        <v>397.38556534147637</v>
      </c>
    </row>
    <row r="247" spans="2:11">
      <c r="B247" s="83">
        <v>70</v>
      </c>
      <c r="C247" s="83">
        <f t="shared" si="83"/>
        <v>0</v>
      </c>
      <c r="D247" s="28">
        <f>((C116-C117+(D116-D117)+(G116-G117)+(H116-H117)+(I116-I117)+(J116-J117)+$C$42))*material_flow!$B$105*material_flow!$G$105</f>
        <v>0</v>
      </c>
      <c r="E247" s="28">
        <f t="shared" si="84"/>
        <v>0</v>
      </c>
      <c r="F247" s="29">
        <f>(F116-F117+$C$42)*material_flow!$B$109</f>
        <v>0</v>
      </c>
      <c r="G247" s="236">
        <f t="shared" si="82"/>
        <v>397.65800398804674</v>
      </c>
      <c r="H247" s="236">
        <f>(M116-M117+(N116-N117)+(Q116-Q117)+(R116-R117)+(S116-S117)+(T116-T117))*material_flow!$B$105*material_flow!$G$105</f>
        <v>9.650100912097745</v>
      </c>
      <c r="I247" s="236">
        <f t="shared" si="81"/>
        <v>0.14528658407012954</v>
      </c>
      <c r="J247" s="237">
        <f>(P116-P117)*material_flow!$B$107</f>
        <v>8.5957082353565872E-3</v>
      </c>
      <c r="K247" s="451">
        <f t="shared" si="85"/>
        <v>397.80329057211685</v>
      </c>
    </row>
    <row r="248" spans="2:11" s="179" customFormat="1">
      <c r="B248" s="116">
        <v>71</v>
      </c>
      <c r="C248" s="116">
        <f t="shared" si="83"/>
        <v>0</v>
      </c>
      <c r="D248" s="111">
        <f>((C117-C118+(D117-D118)+(G117-G118)+(H117-H118)+(I117-I118)+(J117-J118)+$C$42))*material_flow!$B$105*material_flow!$G$105</f>
        <v>0</v>
      </c>
      <c r="E248" s="111">
        <f t="shared" si="84"/>
        <v>0</v>
      </c>
      <c r="F248" s="180">
        <f>(F117-F118+$C$42)*material_flow!$B$109</f>
        <v>0</v>
      </c>
      <c r="G248" s="223">
        <f t="shared" si="82"/>
        <v>398.11495485905209</v>
      </c>
      <c r="H248" s="223">
        <f>H247</f>
        <v>9.650100912097745</v>
      </c>
      <c r="I248" s="223">
        <f t="shared" si="81"/>
        <v>0.12810508783166621</v>
      </c>
      <c r="J248" s="238">
        <f>(P117-P118)</f>
        <v>3.0022036582841763E-2</v>
      </c>
      <c r="K248" s="454">
        <f t="shared" si="85"/>
        <v>398.24305994688376</v>
      </c>
    </row>
    <row r="249" spans="2:11">
      <c r="B249" s="83">
        <v>72</v>
      </c>
      <c r="C249" s="83">
        <f t="shared" si="83"/>
        <v>0</v>
      </c>
      <c r="D249" s="28">
        <f>((C118-C119+(D118-D119)+(G118-G119)+(H118-H119)+(I118-I119)+(J118-J119)+$C$42))*material_flow!$B$105*material_flow!$G$105</f>
        <v>0</v>
      </c>
      <c r="E249" s="28">
        <f t="shared" si="84"/>
        <v>0</v>
      </c>
      <c r="F249" s="29">
        <f>(F118-F119+$C$42)*material_flow!$B$109</f>
        <v>0</v>
      </c>
      <c r="G249" s="236">
        <f t="shared" si="82"/>
        <v>397.82915209196153</v>
      </c>
      <c r="H249" s="236">
        <f>(M118-M119+(N118-N119)+(Q118-Q119)+(R118-R119)+(S118-S119)+(T118-T119))*material_flow!$B$105*material_flow!$G$105</f>
        <v>8.9092914122957776</v>
      </c>
      <c r="I249" s="236">
        <f t="shared" si="81"/>
        <v>9.4216140912022697E-2</v>
      </c>
      <c r="J249" s="237">
        <f>(P118-P119)*material_flow!$B$107</f>
        <v>4.2978541176782936E-3</v>
      </c>
      <c r="K249" s="451">
        <f t="shared" si="85"/>
        <v>397.92336823287354</v>
      </c>
    </row>
    <row r="250" spans="2:11">
      <c r="B250" s="83">
        <v>73</v>
      </c>
      <c r="C250" s="83">
        <f t="shared" si="83"/>
        <v>0</v>
      </c>
      <c r="D250" s="28">
        <f>((C119-C120+(D119-D120)+(G119-G120)+(H119-H120)+(I119-I120)+(J119-J120)+$C$42))*material_flow!$B$105*material_flow!$G$105</f>
        <v>0</v>
      </c>
      <c r="E250" s="28">
        <f t="shared" si="84"/>
        <v>0</v>
      </c>
      <c r="F250" s="29">
        <f>(F119-F120+$C$42)*material_flow!$B$109</f>
        <v>0</v>
      </c>
      <c r="G250" s="236">
        <f t="shared" si="82"/>
        <v>397.22931766017496</v>
      </c>
      <c r="H250" s="236">
        <f>(M119-M120+(N119-N120)+(Q119-Q120)+(R119-R120)+(S119-S120)+(T119-T120))*material_flow!$B$105*material_flow!$G$105</f>
        <v>8.5850144954655843</v>
      </c>
      <c r="I250" s="236">
        <f t="shared" si="81"/>
        <v>6.9189200356404024E-2</v>
      </c>
      <c r="J250" s="237">
        <f>(P119-P120)*material_flow!$B$107</f>
        <v>3.0390417911608475E-3</v>
      </c>
      <c r="K250" s="451">
        <f t="shared" si="85"/>
        <v>397.29850686053135</v>
      </c>
    </row>
    <row r="251" spans="2:11">
      <c r="B251" s="83">
        <v>74</v>
      </c>
      <c r="C251" s="83">
        <f t="shared" si="83"/>
        <v>0</v>
      </c>
      <c r="D251" s="28">
        <f>((C120-C121+(D120-D121)+(G120-G121)+(H120-H121)+(I120-I121)+(J120-J121)+$C$42))*material_flow!$B$105*material_flow!$G$105</f>
        <v>0</v>
      </c>
      <c r="E251" s="28">
        <f t="shared" si="84"/>
        <v>0</v>
      </c>
      <c r="F251" s="29">
        <f>(F120-F121+$C$42)*material_flow!$B$109</f>
        <v>0</v>
      </c>
      <c r="G251" s="236">
        <f t="shared" si="82"/>
        <v>396.34647385306528</v>
      </c>
      <c r="H251" s="236">
        <f>(M120-M121+(N120-N121)+(Q120-Q121)+(R120-R121)+(S120-S121)+(T120-T121))*material_flow!$B$105*material_flow!$G$105</f>
        <v>8.2848639595061737</v>
      </c>
      <c r="I251" s="236">
        <f t="shared" si="81"/>
        <v>5.07402350577646E-2</v>
      </c>
      <c r="J251" s="237">
        <f>(P120-P121)*material_flow!$B$107</f>
        <v>2.1489270588391468E-3</v>
      </c>
      <c r="K251" s="451">
        <f t="shared" si="85"/>
        <v>396.39721408812306</v>
      </c>
    </row>
    <row r="252" spans="2:11">
      <c r="B252" s="83">
        <v>75</v>
      </c>
      <c r="C252" s="83">
        <f t="shared" si="83"/>
        <v>0</v>
      </c>
      <c r="D252" s="28">
        <f>((C121-C122+(D121-D122)+(G121-G122)+(H121-H122)+(I121-I122)+(J121-J122)+$C$42))*material_flow!$B$105*material_flow!$G$105</f>
        <v>0</v>
      </c>
      <c r="E252" s="28">
        <f t="shared" si="84"/>
        <v>0</v>
      </c>
      <c r="F252" s="29">
        <f>(F121-F122+$C$42)*material_flow!$B$109</f>
        <v>0</v>
      </c>
      <c r="G252" s="236">
        <f t="shared" si="82"/>
        <v>395.20726889969336</v>
      </c>
      <c r="H252" s="236">
        <f>(M121-M122+(N121-N122)+(Q121-Q122)+(R121-R122)+(S121-S122)+(T121-T122))*material_flow!$B$105*material_flow!$G$105</f>
        <v>8.0051317854753563</v>
      </c>
      <c r="I252" s="236">
        <f t="shared" si="81"/>
        <v>3.716292839848747E-2</v>
      </c>
      <c r="J252" s="237">
        <f>(P121-P122)*material_flow!$B$107</f>
        <v>1.5195208955804237E-3</v>
      </c>
      <c r="K252" s="451">
        <f t="shared" si="85"/>
        <v>395.24443182809188</v>
      </c>
    </row>
    <row r="253" spans="2:11">
      <c r="B253" s="83">
        <v>76</v>
      </c>
      <c r="C253" s="83">
        <f t="shared" si="83"/>
        <v>0</v>
      </c>
      <c r="D253" s="28">
        <f>((C122-C123+(D122-D123)+(G122-G123)+(H122-H123)+(I122-I123)+(J122-J123)+$C$42))*material_flow!$B$105*material_flow!$G$105</f>
        <v>0</v>
      </c>
      <c r="E253" s="28">
        <f t="shared" si="84"/>
        <v>0</v>
      </c>
      <c r="F253" s="29">
        <f>(F122-F123+$C$42)*material_flow!$B$109</f>
        <v>0</v>
      </c>
      <c r="G253" s="236">
        <f t="shared" si="82"/>
        <v>393.83481625340579</v>
      </c>
      <c r="H253" s="236">
        <f>(M122-M123+(N122-N123)+(Q122-Q123)+(R122-R123)+(S122-S123)+(T122-T123))*material_flow!$B$105*material_flow!$G$105</f>
        <v>7.7428579099085804</v>
      </c>
      <c r="I253" s="236">
        <f t="shared" si="81"/>
        <v>2.7186199829758922E-2</v>
      </c>
      <c r="J253" s="237">
        <f>(P122-P123)*material_flow!$B$107</f>
        <v>1.0744635294195734E-3</v>
      </c>
      <c r="K253" s="451">
        <f t="shared" si="85"/>
        <v>393.86200245323556</v>
      </c>
    </row>
    <row r="254" spans="2:11">
      <c r="B254" s="83">
        <v>77</v>
      </c>
      <c r="C254" s="83">
        <f t="shared" si="83"/>
        <v>0</v>
      </c>
      <c r="D254" s="28">
        <f>((C123-C124+(D123-D124)+(G123-G124)+(H123-H124)+(I123-I124)+(J123-J124)+$C$42))*material_flow!$B$105*material_flow!$G$105</f>
        <v>0</v>
      </c>
      <c r="E254" s="28">
        <f t="shared" si="84"/>
        <v>0</v>
      </c>
      <c r="F254" s="29">
        <f>(F123-F124+$C$42)*material_flow!$B$109</f>
        <v>0</v>
      </c>
      <c r="G254" s="236">
        <f t="shared" si="82"/>
        <v>392.2493553714981</v>
      </c>
      <c r="H254" s="236">
        <f>(M123-M124+(N123-N124)+(Q123-Q124)+(R123-R124)+(S123-S124)+(T123-T124))*material_flow!$B$105*material_flow!$G$105</f>
        <v>7.495669041365141</v>
      </c>
      <c r="I254" s="236">
        <f t="shared" si="81"/>
        <v>1.9865628309386461E-2</v>
      </c>
      <c r="J254" s="237">
        <f>(P123-P124)*material_flow!$B$107</f>
        <v>7.5976044779021187E-4</v>
      </c>
      <c r="K254" s="451">
        <f t="shared" si="85"/>
        <v>392.26922099980749</v>
      </c>
    </row>
    <row r="255" spans="2:11">
      <c r="B255" s="83">
        <v>78</v>
      </c>
      <c r="C255" s="83">
        <f t="shared" si="83"/>
        <v>0</v>
      </c>
      <c r="D255" s="28">
        <f>((C124-C125+(D124-D125)+(G124-G125)+(H124-H125)+(I124-I125)+(J124-J125)+$C$42))*material_flow!$B$105*material_flow!$G$105</f>
        <v>0</v>
      </c>
      <c r="E255" s="28">
        <f t="shared" si="84"/>
        <v>0</v>
      </c>
      <c r="F255" s="29">
        <f>(F124-F125+$C$42)*material_flow!$B$109</f>
        <v>0</v>
      </c>
      <c r="G255" s="236">
        <f t="shared" si="82"/>
        <v>390.46877333660706</v>
      </c>
      <c r="H255" s="236">
        <f>(M124-M125+(N124-N125)+(Q124-Q125)+(R124-R125)+(S124-S125)+(T124-T125))*material_flow!$B$105*material_flow!$G$105</f>
        <v>7.2616531555995394</v>
      </c>
      <c r="I255" s="236">
        <f t="shared" si="81"/>
        <v>1.4501141065317772E-2</v>
      </c>
      <c r="J255" s="237">
        <f>(P124-P125)*material_flow!$B$107</f>
        <v>5.372317647097867E-4</v>
      </c>
      <c r="K255" s="451">
        <f t="shared" si="85"/>
        <v>390.48327447767235</v>
      </c>
    </row>
    <row r="256" spans="2:11">
      <c r="B256" s="83">
        <v>79</v>
      </c>
      <c r="C256" s="83">
        <f t="shared" si="83"/>
        <v>0</v>
      </c>
      <c r="D256" s="28">
        <f>((C125-C126+(D125-D126)+(G125-G126)+(H125-H126)+(I125-I126)+(J125-J126)+$C$42))*material_flow!$B$105*material_flow!$G$105</f>
        <v>0</v>
      </c>
      <c r="E256" s="28">
        <f t="shared" si="84"/>
        <v>0</v>
      </c>
      <c r="F256" s="29">
        <f>(F125-F126+$C$42)*material_flow!$B$109</f>
        <v>0</v>
      </c>
      <c r="G256" s="236">
        <f t="shared" si="82"/>
        <v>388.50901777470085</v>
      </c>
      <c r="H256" s="236">
        <f>(M125-M126+(N125-N126)+(Q125-Q126)+(R125-R126)+(S125-S126)+(T125-T126))*material_flow!$B$105*material_flow!$G$105</f>
        <v>7.0392615835458736</v>
      </c>
      <c r="I256" s="236">
        <f t="shared" si="81"/>
        <v>1.0574896209764595E-2</v>
      </c>
      <c r="J256" s="237">
        <f>(P125-P126)*material_flow!$B$107</f>
        <v>3.7988022389510593E-4</v>
      </c>
      <c r="K256" s="451">
        <f t="shared" si="85"/>
        <v>388.51959267091064</v>
      </c>
    </row>
    <row r="257" spans="2:11">
      <c r="B257" s="83">
        <v>80</v>
      </c>
      <c r="C257" s="83">
        <f t="shared" si="83"/>
        <v>0</v>
      </c>
      <c r="D257" s="28">
        <f>((C126-C127+(D126-D127)+(G126-G127)+(H126-H127)+(I126-I127)+(J126-J127)+$C$42))*material_flow!$B$105*material_flow!$G$105</f>
        <v>0</v>
      </c>
      <c r="E257" s="28">
        <f t="shared" si="84"/>
        <v>0</v>
      </c>
      <c r="F257" s="29">
        <f>(F126-F127+$C$42)*material_flow!$B$109</f>
        <v>0</v>
      </c>
      <c r="G257" s="236">
        <f t="shared" si="82"/>
        <v>386.3844246953347</v>
      </c>
      <c r="H257" s="236">
        <f>(M126-M127+(N126-N127)+(Q126-Q127)+(R126-R127)+(S126-S127)+(T126-T127))*material_flow!$B$105*material_flow!$G$105</f>
        <v>6.8272324873730152</v>
      </c>
      <c r="I257" s="236">
        <f t="shared" si="81"/>
        <v>7.7045911078780418E-3</v>
      </c>
      <c r="J257" s="237">
        <f>(P126-P127)*material_flow!$B$107</f>
        <v>2.6861588235489335E-4</v>
      </c>
      <c r="K257" s="451">
        <f t="shared" si="85"/>
        <v>386.39212928644258</v>
      </c>
    </row>
    <row r="258" spans="2:11">
      <c r="B258" s="83">
        <v>81</v>
      </c>
      <c r="C258" s="83">
        <f t="shared" si="83"/>
        <v>0</v>
      </c>
      <c r="D258" s="28">
        <f>((C127-C128+(D127-D128)+(G127-G128)+(H127-H128)+(I127-I128)+(J127-J128)+$C$42))*material_flow!$B$105*material_flow!$G$105</f>
        <v>0</v>
      </c>
      <c r="E258" s="28">
        <f t="shared" si="84"/>
        <v>0</v>
      </c>
      <c r="F258" s="29">
        <f>(F127-F128+$C$42)*material_flow!$B$109</f>
        <v>0</v>
      </c>
      <c r="G258" s="236">
        <f t="shared" si="82"/>
        <v>384.10797962082643</v>
      </c>
      <c r="H258" s="236">
        <f>(M127-M128+(N127-N128)+(Q127-Q128)+(R127-R128)+(S127-S128)+(T127-T128))*material_flow!$B$105*material_flow!$G$105</f>
        <v>6.6245309504789196</v>
      </c>
      <c r="I258" s="236">
        <f t="shared" si="81"/>
        <v>5.6084891324179797E-3</v>
      </c>
      <c r="J258" s="237">
        <f>(P127-P128)*material_flow!$B$107</f>
        <v>1.8994011194755297E-4</v>
      </c>
      <c r="K258" s="451">
        <f t="shared" si="85"/>
        <v>384.11358810995887</v>
      </c>
    </row>
    <row r="259" spans="2:11">
      <c r="B259" s="83">
        <v>82</v>
      </c>
      <c r="C259" s="83">
        <f t="shared" si="83"/>
        <v>0</v>
      </c>
      <c r="D259" s="28">
        <f>((C128-C129+(D128-D129)+(G128-G129)+(H128-H129)+(I128-I129)+(J128-J129)+$C$42))*material_flow!$B$105*material_flow!$G$105</f>
        <v>0</v>
      </c>
      <c r="E259" s="28">
        <f t="shared" si="84"/>
        <v>0</v>
      </c>
      <c r="F259" s="29">
        <f>(F128-F129+$C$42)*material_flow!$B$109</f>
        <v>0</v>
      </c>
      <c r="G259" s="236">
        <f t="shared" si="82"/>
        <v>381.69152631095386</v>
      </c>
      <c r="H259" s="236">
        <f>(M128-M129+(N128-N129)+(Q128-Q129)+(R128-R129)+(S128-S129)+(T128-T129))*material_flow!$B$105*material_flow!$G$105</f>
        <v>6.4303019986459908</v>
      </c>
      <c r="I259" s="236">
        <f t="shared" si="81"/>
        <v>4.0793058415485983E-3</v>
      </c>
      <c r="J259" s="237">
        <f>(P128-P129)*material_flow!$B$107</f>
        <v>1.3430794117744667E-4</v>
      </c>
      <c r="K259" s="451">
        <f t="shared" si="85"/>
        <v>381.69560561679543</v>
      </c>
    </row>
    <row r="260" spans="2:11">
      <c r="B260" s="83">
        <v>83</v>
      </c>
      <c r="C260" s="83">
        <f t="shared" si="83"/>
        <v>0</v>
      </c>
      <c r="D260" s="28">
        <f>((C129-C130+(D129-D130)+(G129-G130)+(H129-H130)+(I129-I130)+(J129-J130)+$C$42))*material_flow!$B$105*material_flow!$G$105</f>
        <v>0</v>
      </c>
      <c r="E260" s="28">
        <f t="shared" si="84"/>
        <v>0</v>
      </c>
      <c r="F260" s="29">
        <f>(F129-F130+$C$42)*material_flow!$B$109</f>
        <v>0</v>
      </c>
      <c r="G260" s="236">
        <f t="shared" si="82"/>
        <v>379.14593424789348</v>
      </c>
      <c r="H260" s="236">
        <f>(M129-M130+(N129-N130)+(Q129-Q130)+(R129-R130)+(S129-S130)+(T129-T130))*material_flow!$B$105*material_flow!$G$105</f>
        <v>6.2438337045913466</v>
      </c>
      <c r="I260" s="236">
        <f t="shared" si="81"/>
        <v>2.9647650799768301E-3</v>
      </c>
      <c r="J260" s="237">
        <f>(P129-P130)*material_flow!$B$107</f>
        <v>9.4970055973776484E-5</v>
      </c>
      <c r="K260" s="451">
        <f t="shared" si="85"/>
        <v>379.14889901297346</v>
      </c>
    </row>
    <row r="261" spans="2:11">
      <c r="B261" s="83">
        <v>84</v>
      </c>
      <c r="C261" s="83">
        <f t="shared" si="83"/>
        <v>0</v>
      </c>
      <c r="D261" s="28">
        <f>((C130-C131+(D130-D131)+(G130-G131)+(H130-H131)+(I130-I131)+(J130-J131)+$C$42))*material_flow!$B$105*material_flow!$G$105</f>
        <v>0</v>
      </c>
      <c r="E261" s="28">
        <f t="shared" si="84"/>
        <v>0</v>
      </c>
      <c r="F261" s="29">
        <f>(F130-F131+$C$42)*material_flow!$B$109</f>
        <v>0</v>
      </c>
      <c r="G261" s="236">
        <f t="shared" si="82"/>
        <v>376.48123360934136</v>
      </c>
      <c r="H261" s="236">
        <f>(M130-M131+(N130-N131)+(Q130-Q131)+(R130-R131)+(S130-S131)+(T130-T131))*material_flow!$B$105*material_flow!$G$105</f>
        <v>6.064528168835909</v>
      </c>
      <c r="I261" s="236">
        <f t="shared" si="81"/>
        <v>2.1531580645790878E-3</v>
      </c>
      <c r="J261" s="237">
        <f>(P130-P131)*material_flow!$B$107</f>
        <v>6.7153970588723337E-5</v>
      </c>
      <c r="K261" s="451">
        <f t="shared" si="85"/>
        <v>376.48338676740593</v>
      </c>
    </row>
    <row r="262" spans="2:11">
      <c r="B262" s="83">
        <v>85</v>
      </c>
      <c r="C262" s="83">
        <f t="shared" si="83"/>
        <v>0</v>
      </c>
      <c r="D262" s="28">
        <f>((C131-C132+(D131-D132)+(G131-G132)+(H131-H132)+(I131-I132)+(J131-J132)+$C$42))*material_flow!$B$105*material_flow!$G$105</f>
        <v>0</v>
      </c>
      <c r="E262" s="28">
        <f t="shared" si="84"/>
        <v>0</v>
      </c>
      <c r="F262" s="29">
        <f>(F131-F132+$C$42)*material_flow!$B$109</f>
        <v>0</v>
      </c>
      <c r="G262" s="236">
        <f t="shared" si="82"/>
        <v>373.70672456390503</v>
      </c>
      <c r="H262" s="236">
        <f>(M131-M132+(N131-N132)+(Q131-Q132)+(R131-R132)+(S131-S132)+(T131-T132))*material_flow!$B$105*material_flow!$G$105</f>
        <v>5.8918786627333652</v>
      </c>
      <c r="I262" s="236">
        <f t="shared" si="81"/>
        <v>1.5626427968723354E-3</v>
      </c>
      <c r="J262" s="237">
        <f>(P131-P132)*material_flow!$B$107</f>
        <v>4.7485027986888242E-5</v>
      </c>
      <c r="K262" s="451">
        <f t="shared" si="85"/>
        <v>373.70828720670193</v>
      </c>
    </row>
    <row r="263" spans="2:11">
      <c r="B263" s="83">
        <v>86</v>
      </c>
      <c r="C263" s="83">
        <f t="shared" si="83"/>
        <v>0</v>
      </c>
      <c r="D263" s="28">
        <f>((C132-C133+(D132-D133)+(G132-G133)+(H132-H133)+(I132-I133)+(J132-J133)+$C$42))*material_flow!$B$105*material_flow!$G$105</f>
        <v>0</v>
      </c>
      <c r="E263" s="28">
        <f t="shared" si="84"/>
        <v>0</v>
      </c>
      <c r="F263" s="29">
        <f>(F132-F133+$C$42)*material_flow!$B$109</f>
        <v>0</v>
      </c>
      <c r="G263" s="236">
        <f t="shared" si="82"/>
        <v>370.83106624809875</v>
      </c>
      <c r="H263" s="236">
        <f>(M132-M133+(N132-N133)+(Q132-Q133)+(R132-R133)+(S132-S133)+(T132-T133))*material_flow!$B$105*material_flow!$G$105</f>
        <v>5.7254515997019642</v>
      </c>
      <c r="I263" s="236">
        <f t="shared" si="81"/>
        <v>1.1333316041919382E-3</v>
      </c>
      <c r="J263" s="237">
        <f>(P132-P133)*material_flow!$B$107</f>
        <v>3.3576985294361669E-5</v>
      </c>
      <c r="K263" s="451">
        <f t="shared" si="85"/>
        <v>370.83219957970294</v>
      </c>
    </row>
    <row r="264" spans="2:11">
      <c r="B264" s="83">
        <v>87</v>
      </c>
      <c r="C264" s="83">
        <f t="shared" si="83"/>
        <v>0</v>
      </c>
      <c r="D264" s="28">
        <f>((C133-C134+(D133-D134)+(G133-G134)+(H133-H134)+(I133-I134)+(J133-J134)+$C$42))*material_flow!$B$105*material_flow!$G$105</f>
        <v>0</v>
      </c>
      <c r="E264" s="28">
        <f t="shared" si="84"/>
        <v>0</v>
      </c>
      <c r="F264" s="29">
        <f>(F133-F134+$C$42)*material_flow!$B$109</f>
        <v>0</v>
      </c>
      <c r="G264" s="236">
        <f t="shared" ref="G264:G277" si="86">(EXP(-$C$44))*G263+((1-(EXP(-$C$44)))/$C$44)*H264</f>
        <v>367.86234963379945</v>
      </c>
      <c r="H264" s="236">
        <f>(M133-M134+(N133-N134)+(Q133-Q134)+(R133-R134)+(S133-S134)+(T133-T134))*material_flow!$B$105*material_flow!$G$105</f>
        <v>5.5648722946689775</v>
      </c>
      <c r="I264" s="236">
        <f t="shared" ref="I264:I277" si="87">(EXP(-$F$44))*I263+((1-(EXP(-$F$44)))/$F$44)*J264</f>
        <v>8.2145152687812788E-4</v>
      </c>
      <c r="J264" s="237">
        <f>(P133-P134)*material_flow!$B$107</f>
        <v>2.3742513993444121E-5</v>
      </c>
      <c r="K264" s="451">
        <f t="shared" si="85"/>
        <v>367.86317108532631</v>
      </c>
    </row>
    <row r="265" spans="2:11">
      <c r="B265" s="83">
        <v>88</v>
      </c>
      <c r="C265" s="83">
        <f t="shared" si="83"/>
        <v>0</v>
      </c>
      <c r="D265" s="28">
        <f>((C134-C135+(D134-D135)+(G134-G135)+(H134-H135)+(I134-I135)+(J134-J135)+$C$42))*material_flow!$B$105*material_flow!$G$105</f>
        <v>0</v>
      </c>
      <c r="E265" s="28">
        <f t="shared" si="84"/>
        <v>0</v>
      </c>
      <c r="F265" s="29">
        <f>(F134-F135+$C$42)*material_flow!$B$109</f>
        <v>0</v>
      </c>
      <c r="G265" s="236">
        <f t="shared" si="86"/>
        <v>364.80815759602058</v>
      </c>
      <c r="H265" s="236">
        <f>(M134-M135+(N134-N135)+(Q134-Q135)+(R134-R135)+(S134-S135)+(T134-T135))*material_flow!$B$105*material_flow!$G$105</f>
        <v>5.4098136995475281</v>
      </c>
      <c r="I265" s="236">
        <f t="shared" si="87"/>
        <v>5.9504208804716629E-4</v>
      </c>
      <c r="J265" s="237">
        <f>(P134-P135)*material_flow!$B$107</f>
        <v>1.6788492647180834E-5</v>
      </c>
      <c r="K265" s="451">
        <f t="shared" si="85"/>
        <v>364.80875263810861</v>
      </c>
    </row>
    <row r="266" spans="2:11">
      <c r="B266" s="83">
        <v>89</v>
      </c>
      <c r="C266" s="83">
        <f t="shared" si="83"/>
        <v>0</v>
      </c>
      <c r="D266" s="28">
        <f>((C135-C136+(D135-D136)+(G135-G136)+(H135-H136)+(I135-I136)+(J135-J136)+$C$42))*material_flow!$B$105*material_flow!$G$105</f>
        <v>0</v>
      </c>
      <c r="E266" s="28">
        <f t="shared" si="84"/>
        <v>0</v>
      </c>
      <c r="F266" s="29">
        <f>(F135-F136+$C$42)*material_flow!$B$109</f>
        <v>0</v>
      </c>
      <c r="G266" s="236">
        <f t="shared" si="86"/>
        <v>361.67561478728061</v>
      </c>
      <c r="H266" s="236">
        <f>(M135-M136+(N135-N136)+(Q135-Q136)+(R135-R136)+(S135-S136)+(T135-T136))*material_flow!$B$105*material_flow!$G$105</f>
        <v>5.2599874794789265</v>
      </c>
      <c r="I266" s="236">
        <f t="shared" si="87"/>
        <v>4.3079082766004403E-4</v>
      </c>
      <c r="J266" s="237">
        <f>(P135-P136)*material_flow!$B$107</f>
        <v>1.187125699672206E-5</v>
      </c>
      <c r="K266" s="451">
        <f t="shared" si="85"/>
        <v>361.67604557810824</v>
      </c>
    </row>
    <row r="267" spans="2:11">
      <c r="B267" s="83">
        <v>90</v>
      </c>
      <c r="C267" s="83">
        <f t="shared" si="83"/>
        <v>0</v>
      </c>
      <c r="D267" s="28">
        <f>((C136-C137+(D136-D137)+(G136-G137)+(H136-H137)+(I136-I137)+(J136-J137)+$C$42))*material_flow!$B$105*material_flow!$G$105</f>
        <v>0</v>
      </c>
      <c r="E267" s="28">
        <f t="shared" si="84"/>
        <v>0</v>
      </c>
      <c r="F267" s="29">
        <f>(F136-F137+$C$42)*material_flow!$B$109</f>
        <v>0</v>
      </c>
      <c r="G267" s="236">
        <f t="shared" si="86"/>
        <v>358.47142937341448</v>
      </c>
      <c r="H267" s="236">
        <f>(M136-M137+(N136-N137)+(Q136-Q137)+(R136-R137)+(S136-S137)+(T136-T137))*material_flow!$B$105*material_flow!$G$105</f>
        <v>5.1151369322356102</v>
      </c>
      <c r="I267" s="236">
        <f t="shared" si="87"/>
        <v>3.1170918699918173E-4</v>
      </c>
      <c r="J267" s="237">
        <f>(P136-P137)*material_flow!$B$107</f>
        <v>8.3942463235904172E-6</v>
      </c>
      <c r="K267" s="451">
        <f t="shared" si="85"/>
        <v>358.47174108260145</v>
      </c>
    </row>
    <row r="268" spans="2:11">
      <c r="B268" s="83">
        <v>91</v>
      </c>
      <c r="C268" s="83">
        <f t="shared" si="83"/>
        <v>0</v>
      </c>
      <c r="D268" s="28">
        <f>((C137-C138+(D137-D138)+(G137-G138)+(H137-H138)+(I137-I138)+(J137-J138)+$C$42))*material_flow!$B$105*material_flow!$G$105</f>
        <v>0</v>
      </c>
      <c r="E268" s="28">
        <f t="shared" si="84"/>
        <v>0</v>
      </c>
      <c r="F268" s="29">
        <f>(F137-F138+$C$42)*material_flow!$B$109</f>
        <v>0</v>
      </c>
      <c r="G268" s="236">
        <f t="shared" si="86"/>
        <v>355.20192825292514</v>
      </c>
      <c r="H268" s="236">
        <f>(M137-M138+(N137-N138)+(Q137-Q138)+(R137-R138)+(S137-S138)+(T137-T138))*material_flow!$B$105*material_flow!$G$105</f>
        <v>4.9750313604930048</v>
      </c>
      <c r="I268" s="236">
        <f t="shared" si="87"/>
        <v>2.2542794594051206E-4</v>
      </c>
      <c r="J268" s="237">
        <f>(P137-P138)*material_flow!$B$107</f>
        <v>5.9356284983610302E-6</v>
      </c>
      <c r="K268" s="451">
        <f t="shared" si="85"/>
        <v>355.20215368087111</v>
      </c>
    </row>
    <row r="269" spans="2:11">
      <c r="B269" s="83">
        <v>92</v>
      </c>
      <c r="C269" s="83">
        <f t="shared" si="83"/>
        <v>0</v>
      </c>
      <c r="D269" s="28">
        <f>((C138-C139+(D138-D139)+(G138-G139)+(H138-H139)+(I138-I139)+(J138-J139)+$C$42))*material_flow!$B$105*material_flow!$G$105</f>
        <v>0</v>
      </c>
      <c r="E269" s="28">
        <f t="shared" si="84"/>
        <v>0</v>
      </c>
      <c r="F269" s="29">
        <f>(F138-F139+$C$42)*material_flow!$B$109</f>
        <v>0</v>
      </c>
      <c r="G269" s="236">
        <f t="shared" si="86"/>
        <v>351.87308704194578</v>
      </c>
      <c r="H269" s="236">
        <f>(M138-M139+(N138-N139)+(Q138-Q139)+(R138-R139)+(S138-S139)+(T138-T139))*material_flow!$B$105*material_flow!$G$105</f>
        <v>4.8394615904762199</v>
      </c>
      <c r="I269" s="236">
        <f t="shared" si="87"/>
        <v>1.6294866498739016E-4</v>
      </c>
      <c r="J269" s="237">
        <f>(P138-P139)*material_flow!$B$107</f>
        <v>4.1971231617952086E-6</v>
      </c>
      <c r="K269" s="451">
        <f t="shared" si="85"/>
        <v>351.87324999061076</v>
      </c>
    </row>
    <row r="270" spans="2:11">
      <c r="B270" s="83">
        <v>93</v>
      </c>
      <c r="C270" s="83">
        <f t="shared" si="83"/>
        <v>0</v>
      </c>
      <c r="D270" s="28">
        <f>((C139-C140+(D139-D140)+(G139-G140)+(H139-H140)+(I139-I140)+(J139-J140)+$C$42))*material_flow!$B$105*material_flow!$G$105</f>
        <v>0</v>
      </c>
      <c r="E270" s="28">
        <f t="shared" si="84"/>
        <v>0</v>
      </c>
      <c r="F270" s="29">
        <f>(F139-F140+$C$42)*material_flow!$B$109</f>
        <v>0</v>
      </c>
      <c r="G270" s="236">
        <f t="shared" si="86"/>
        <v>348.49055583940367</v>
      </c>
      <c r="H270" s="236">
        <f>(M139-M140+(N139-N140)+(Q139-Q140)+(R139-R140)+(S139-S140)+(T139-T140))*material_flow!$B$105*material_flow!$G$105</f>
        <v>4.7082363960254909</v>
      </c>
      <c r="I270" s="236">
        <f t="shared" si="87"/>
        <v>1.1773023902550105E-4</v>
      </c>
      <c r="J270" s="237">
        <f>(P139-P140)*material_flow!$B$107</f>
        <v>2.9678142491805151E-6</v>
      </c>
      <c r="K270" s="451">
        <f t="shared" si="85"/>
        <v>348.49067356964269</v>
      </c>
    </row>
    <row r="271" spans="2:11">
      <c r="B271" s="83">
        <v>94</v>
      </c>
      <c r="C271" s="83">
        <f t="shared" si="83"/>
        <v>0</v>
      </c>
      <c r="D271" s="28">
        <f>((C140-C141+(D140-D141)+(G140-G141)+(H140-H141)+(I140-I141)+(J140-J141)+$C$42))*material_flow!$B$105*material_flow!$G$105</f>
        <v>0</v>
      </c>
      <c r="E271" s="28">
        <f t="shared" si="84"/>
        <v>0</v>
      </c>
      <c r="F271" s="29">
        <f>(F140-F141+$C$42)*material_flow!$B$109</f>
        <v>0</v>
      </c>
      <c r="G271" s="236">
        <f t="shared" si="86"/>
        <v>345.0596815763526</v>
      </c>
      <c r="H271" s="236">
        <f>(M140-M141+(N140-N141)+(Q140-Q141)+(R140-R141)+(S140-S141)+(T140-T141))*material_flow!$B$105*material_flow!$G$105</f>
        <v>4.5811796384526042</v>
      </c>
      <c r="I271" s="236">
        <f t="shared" si="87"/>
        <v>8.5021368237594739E-5</v>
      </c>
      <c r="J271" s="237">
        <f>(P140-P141)*material_flow!$B$107</f>
        <v>2.0985615808976043E-6</v>
      </c>
      <c r="K271" s="451">
        <f t="shared" si="85"/>
        <v>345.05976659772085</v>
      </c>
    </row>
    <row r="272" spans="2:11">
      <c r="B272" s="83">
        <v>95</v>
      </c>
      <c r="C272" s="83">
        <f t="shared" si="83"/>
        <v>0</v>
      </c>
      <c r="D272" s="28">
        <f>((C141-C142+(D141-D142)+(G141-G142)+(H141-H142)+(I141-I142)+(J141-J142)+$C$42))*material_flow!$B$105*material_flow!$G$105</f>
        <v>0</v>
      </c>
      <c r="E272" s="28">
        <f t="shared" si="84"/>
        <v>0</v>
      </c>
      <c r="F272" s="29">
        <f>(F141-F142+$C$42)*material_flow!$B$109</f>
        <v>0</v>
      </c>
      <c r="G272" s="236">
        <f t="shared" si="86"/>
        <v>341.58552758741467</v>
      </c>
      <c r="H272" s="236">
        <f>(M141-M142+(N141-N142)+(Q141-Q142)+(R141-R142)+(S141-S142)+(T141-T142))*material_flow!$B$105*material_flow!$G$105</f>
        <v>4.4581279728149621</v>
      </c>
      <c r="I272" s="236">
        <f t="shared" si="87"/>
        <v>6.1373252540373037E-5</v>
      </c>
      <c r="J272" s="237">
        <f>(P141-P142)*material_flow!$B$107</f>
        <v>1.4839071245902576E-6</v>
      </c>
      <c r="K272" s="451">
        <f t="shared" si="85"/>
        <v>341.58558896066722</v>
      </c>
    </row>
    <row r="273" spans="2:16">
      <c r="B273" s="83">
        <v>96</v>
      </c>
      <c r="C273" s="83">
        <f t="shared" si="83"/>
        <v>0</v>
      </c>
      <c r="D273" s="28">
        <f>((C142-C143+(D142-D143)+(G142-G143)+(H142-H143)+(I142-I143)+(J142-J143)+$C$42))*material_flow!$B$105*material_flow!$G$105</f>
        <v>0</v>
      </c>
      <c r="E273" s="28">
        <f t="shared" si="84"/>
        <v>0</v>
      </c>
      <c r="F273" s="29">
        <f>(F142-F143+$C$42)*material_flow!$B$109</f>
        <v>0</v>
      </c>
      <c r="G273" s="236">
        <f t="shared" si="86"/>
        <v>338.07289091128757</v>
      </c>
      <c r="H273" s="236">
        <f>(M142-M143+(N142-N143)+(Q142-Q143)+(R142-R143)+(S142-S143)+(T142-T143))*material_flow!$B$105*material_flow!$G$105</f>
        <v>4.3389290028409322</v>
      </c>
      <c r="I273" s="236">
        <f t="shared" si="87"/>
        <v>4.4284201990747192E-5</v>
      </c>
      <c r="J273" s="237">
        <f>(P142-P143)*material_flow!$B$107</f>
        <v>1.0492807904488021E-6</v>
      </c>
      <c r="K273" s="451">
        <f t="shared" si="85"/>
        <v>338.07293519548955</v>
      </c>
    </row>
    <row r="274" spans="2:16">
      <c r="B274" s="83">
        <v>97</v>
      </c>
      <c r="C274" s="83">
        <f t="shared" si="83"/>
        <v>0</v>
      </c>
      <c r="D274" s="28">
        <f>((C143-C144+(D143-D144)+(G143-G144)+(H143-H144)+(I143-I144)+(J143-J144)+$C$42))*material_flow!$B$105*material_flow!$G$105</f>
        <v>0</v>
      </c>
      <c r="E274" s="28">
        <f t="shared" si="84"/>
        <v>0</v>
      </c>
      <c r="F274" s="29">
        <f>(F143-F144+$C$42)*material_flow!$B$109</f>
        <v>0</v>
      </c>
      <c r="G274" s="236">
        <f t="shared" si="86"/>
        <v>334.52631772383404</v>
      </c>
      <c r="H274" s="236">
        <f>(M143-M144+(N143-N144)+(Q143-Q144)+(R143-R144)+(S143-S144)+(T143-T144))*material_flow!$B$105*material_flow!$G$105</f>
        <v>4.223439791583024</v>
      </c>
      <c r="I274" s="236">
        <f t="shared" si="87"/>
        <v>3.1940692783997774E-5</v>
      </c>
      <c r="J274" s="237">
        <f>(P143-P144)*material_flow!$B$107</f>
        <v>7.4195356229512878E-7</v>
      </c>
      <c r="K274" s="451">
        <f t="shared" si="85"/>
        <v>334.52634966452683</v>
      </c>
    </row>
    <row r="275" spans="2:16">
      <c r="B275" s="83">
        <v>98</v>
      </c>
      <c r="C275" s="83">
        <f t="shared" si="83"/>
        <v>0</v>
      </c>
      <c r="D275" s="28">
        <f>((C144-C145+(D144-D145)+(G144-G145)+(H144-H145)+(I144-I145)+(J144-J145)+$C$42))*material_flow!$B$105*material_flow!$G$105</f>
        <v>0</v>
      </c>
      <c r="E275" s="28">
        <f t="shared" si="84"/>
        <v>0</v>
      </c>
      <c r="F275" s="29">
        <f>(F144-F145+$C$42)*material_flow!$B$109</f>
        <v>0</v>
      </c>
      <c r="G275" s="236">
        <f t="shared" si="86"/>
        <v>330.95011722552312</v>
      </c>
      <c r="H275" s="236">
        <f>(M144-M145+(N144-N145)+(Q144-Q145)+(R144-R145)+(S144-S145)+(T144-T145))*material_flow!$B$105*material_flow!$G$105</f>
        <v>4.1115256544243808</v>
      </c>
      <c r="I275" s="236">
        <f t="shared" si="87"/>
        <v>2.3028859931348508E-5</v>
      </c>
      <c r="J275" s="237">
        <f>(P144-P145)*material_flow!$B$107</f>
        <v>5.2464039522440107E-7</v>
      </c>
      <c r="K275" s="451">
        <f t="shared" si="85"/>
        <v>330.95014025438303</v>
      </c>
    </row>
    <row r="276" spans="2:16">
      <c r="B276" s="83">
        <v>99</v>
      </c>
      <c r="C276" s="83">
        <f t="shared" si="83"/>
        <v>0</v>
      </c>
      <c r="D276" s="28">
        <f>((C145-C146+(D145-D146)+(G145-G146)+(H145-H146)+(I145-I146)+(J145-J146)+$C$42))*material_flow!$B$105*material_flow!$G$105</f>
        <v>0</v>
      </c>
      <c r="E276" s="28">
        <f t="shared" si="84"/>
        <v>0</v>
      </c>
      <c r="F276" s="29">
        <f>(F145-F146+$C$42)*material_flow!$B$109</f>
        <v>0</v>
      </c>
      <c r="G276" s="236">
        <f t="shared" si="86"/>
        <v>327.34837424032526</v>
      </c>
      <c r="H276" s="236">
        <f>(M145-M146+(N145-N146)+(Q145-Q146)+(R145-R146)+(S145-S146)+(T145-T146))*material_flow!$B$105*material_flow!$G$105</f>
        <v>4.0030591764576338</v>
      </c>
      <c r="I276" s="236">
        <f t="shared" si="87"/>
        <v>1.6597379648904515E-5</v>
      </c>
      <c r="J276" s="237">
        <f>(P145-P146)*material_flow!$B$107</f>
        <v>3.7097678114756439E-7</v>
      </c>
      <c r="K276" s="451">
        <f t="shared" si="85"/>
        <v>327.34839083770493</v>
      </c>
    </row>
    <row r="277" spans="2:16" s="179" customFormat="1" ht="15" thickBot="1">
      <c r="B277" s="181">
        <v>100</v>
      </c>
      <c r="C277" s="181">
        <f>(EXP(-$C$44))*C276+((1-(EXP(-$C$44)))/$C$44)*D277</f>
        <v>0</v>
      </c>
      <c r="D277" s="121">
        <f>($F$26*$D$38*$J$13/1000)+D276</f>
        <v>0</v>
      </c>
      <c r="E277" s="121">
        <f t="shared" si="84"/>
        <v>0</v>
      </c>
      <c r="F277" s="207">
        <f>F276</f>
        <v>0</v>
      </c>
      <c r="G277" s="209">
        <f t="shared" si="86"/>
        <v>323.82889517860104</v>
      </c>
      <c r="H277" s="209">
        <f>($F$26*$E$38*$J$15/1000)+H276</f>
        <v>4.0030591764576338</v>
      </c>
      <c r="I277" s="209">
        <f t="shared" si="87"/>
        <v>1.2049636328120797E-5</v>
      </c>
      <c r="J277" s="210">
        <f>J276</f>
        <v>3.7097678114756439E-7</v>
      </c>
      <c r="K277" s="453">
        <f>G277+I277</f>
        <v>323.82890722823737</v>
      </c>
    </row>
    <row r="279" spans="2:16">
      <c r="C279" s="204" t="s">
        <v>8</v>
      </c>
      <c r="J279" s="204" t="s">
        <v>13</v>
      </c>
    </row>
    <row r="280" spans="2:16">
      <c r="C280" s="153" t="s">
        <v>355</v>
      </c>
      <c r="D280" s="151">
        <f>1000000*C277</f>
        <v>0</v>
      </c>
      <c r="E280" t="s">
        <v>371</v>
      </c>
      <c r="J280" s="153" t="s">
        <v>355</v>
      </c>
      <c r="K280" s="151">
        <f>1000000*G277</f>
        <v>323828895.17860103</v>
      </c>
      <c r="L280" t="s">
        <v>371</v>
      </c>
      <c r="M280">
        <f>AVERAGE(K227:K277)*1000000*44/12</f>
        <v>1269278401.4241521</v>
      </c>
    </row>
    <row r="281" spans="2:16">
      <c r="C281" s="153" t="s">
        <v>372</v>
      </c>
      <c r="D281" s="249">
        <f>1000000*E277</f>
        <v>0</v>
      </c>
      <c r="E281" t="s">
        <v>371</v>
      </c>
      <c r="J281" s="153" t="s">
        <v>372</v>
      </c>
      <c r="K281" s="249">
        <f>1000000*I277</f>
        <v>12.049636328120796</v>
      </c>
      <c r="L281" t="s">
        <v>371</v>
      </c>
      <c r="N281" s="1" t="s">
        <v>8</v>
      </c>
      <c r="O281" s="1" t="s">
        <v>13</v>
      </c>
    </row>
    <row r="282" spans="2:16">
      <c r="C282" s="153" t="s">
        <v>373</v>
      </c>
      <c r="D282">
        <f>1000000*SUM(D177:D277)</f>
        <v>0</v>
      </c>
      <c r="E282" t="s">
        <v>371</v>
      </c>
      <c r="J282" s="153" t="s">
        <v>373</v>
      </c>
      <c r="K282">
        <f>1000000*SUM(H177:H277)</f>
        <v>726589789.74398351</v>
      </c>
      <c r="L282" t="s">
        <v>371</v>
      </c>
      <c r="N282" s="141">
        <f>material_flow!$B$46*(HWP!D282*(1+C_model!$R$110)/(C_model!$R$107*material_flow!$B$45*1000))</f>
        <v>0</v>
      </c>
      <c r="O282" s="141">
        <f>material_flow!$B$46*(HWP!K282*(1+C_model!$R$110)/(C_model!$R$107*material_flow!$B$45*1000))</f>
        <v>1720424.9772292378</v>
      </c>
      <c r="P282" t="s">
        <v>584</v>
      </c>
    </row>
    <row r="283" spans="2:16">
      <c r="C283" s="153"/>
      <c r="J283" s="153"/>
      <c r="N283" s="141">
        <f>D282/(C_model!$R$107*(1-20%))</f>
        <v>0</v>
      </c>
      <c r="O283" s="141">
        <f>K282/(C_model!$R$107*(1-20%))</f>
        <v>1818292767.1270857</v>
      </c>
      <c r="P283" t="s">
        <v>827</v>
      </c>
    </row>
    <row r="284" spans="2:16">
      <c r="C284" s="153" t="s">
        <v>374</v>
      </c>
      <c r="D284">
        <f>1000000*SUM(F177:F277)</f>
        <v>0</v>
      </c>
      <c r="E284" t="s">
        <v>371</v>
      </c>
      <c r="J284" s="153" t="s">
        <v>374</v>
      </c>
      <c r="K284">
        <f>1000000*SUM(J177:J277)</f>
        <v>21273863.83796009</v>
      </c>
      <c r="L284" t="s">
        <v>371</v>
      </c>
      <c r="N284" s="141">
        <f>(0.5*D284/C_model!$R$107)*(1+C_model!$R$110)/material_flow!$B$48</f>
        <v>0</v>
      </c>
      <c r="O284" s="141">
        <f>(0.5*K284/C_model!$R$107)*(1+C_model!$R$110)/material_flow!$B$48</f>
        <v>14602394.740770549</v>
      </c>
      <c r="P284" t="s">
        <v>588</v>
      </c>
    </row>
    <row r="285" spans="2:16">
      <c r="C285" s="153" t="s">
        <v>462</v>
      </c>
      <c r="D285" s="186">
        <f>D282-D280</f>
        <v>0</v>
      </c>
      <c r="E285" t="s">
        <v>371</v>
      </c>
      <c r="J285" s="153" t="s">
        <v>462</v>
      </c>
      <c r="K285" s="186">
        <f>K282-K280</f>
        <v>402760894.56538248</v>
      </c>
      <c r="L285" t="s">
        <v>371</v>
      </c>
      <c r="N285" s="141">
        <f>((0.5*D284/C_model!$R$107)*(1+C_model!$R$110))/material_flow!$B$49</f>
        <v>0</v>
      </c>
      <c r="O285" s="141">
        <f>((0.5*K284/C_model!$R$107)*(1+C_model!$R$110))/material_flow!$B$49</f>
        <v>16354682.109663013</v>
      </c>
      <c r="P285" t="s">
        <v>587</v>
      </c>
    </row>
    <row r="286" spans="2:16">
      <c r="C286" s="153" t="s">
        <v>463</v>
      </c>
      <c r="D286" s="186">
        <f>D284-D281</f>
        <v>0</v>
      </c>
      <c r="E286" t="s">
        <v>371</v>
      </c>
      <c r="J286" s="153" t="s">
        <v>463</v>
      </c>
      <c r="K286" s="186">
        <f>K284-K281</f>
        <v>21273851.788323764</v>
      </c>
    </row>
    <row r="287" spans="2:16">
      <c r="C287" s="153" t="s">
        <v>464</v>
      </c>
      <c r="D287" s="186">
        <f>D285*material_flow!$B$105</f>
        <v>0</v>
      </c>
      <c r="E287" t="s">
        <v>371</v>
      </c>
      <c r="J287" s="153" t="s">
        <v>464</v>
      </c>
      <c r="K287" s="186">
        <f>K285*material_flow!$B$105</f>
        <v>321220311.06419039</v>
      </c>
    </row>
    <row r="288" spans="2:16">
      <c r="C288" s="153" t="s">
        <v>464</v>
      </c>
      <c r="D288" s="151">
        <f>D287*44/12</f>
        <v>0</v>
      </c>
      <c r="E288" t="s">
        <v>352</v>
      </c>
      <c r="J288" s="153" t="s">
        <v>464</v>
      </c>
      <c r="K288" s="151">
        <f>K287*44/12</f>
        <v>1177807807.2353647</v>
      </c>
      <c r="L288" t="s">
        <v>352</v>
      </c>
    </row>
    <row r="289" spans="1:14">
      <c r="C289" s="153" t="s">
        <v>836</v>
      </c>
      <c r="D289" s="151">
        <f>D287/C_model!$R$107</f>
        <v>0</v>
      </c>
      <c r="E289" t="s">
        <v>447</v>
      </c>
      <c r="J289" s="153" t="s">
        <v>836</v>
      </c>
      <c r="K289" s="151">
        <f>K287/C_model!$R$107</f>
        <v>643083705.83421504</v>
      </c>
      <c r="L289" t="s">
        <v>447</v>
      </c>
    </row>
    <row r="290" spans="1:14">
      <c r="C290" s="153" t="s">
        <v>835</v>
      </c>
      <c r="D290" s="151">
        <f>D289*material_flow!$B$51</f>
        <v>0</v>
      </c>
      <c r="E290" s="5" t="s">
        <v>393</v>
      </c>
      <c r="F290" s="5"/>
      <c r="J290" s="153" t="s">
        <v>835</v>
      </c>
      <c r="K290" s="151">
        <f>K289*material_flow!$B$51</f>
        <v>4716375898.5881338</v>
      </c>
      <c r="L290" t="s">
        <v>393</v>
      </c>
    </row>
    <row r="292" spans="1:14">
      <c r="C292" s="32" t="s">
        <v>356</v>
      </c>
      <c r="D292" s="186">
        <f>D285*material_flow!$B$107*material_flow!$G$107</f>
        <v>0</v>
      </c>
      <c r="E292" t="s">
        <v>371</v>
      </c>
      <c r="J292" s="32" t="s">
        <v>356</v>
      </c>
      <c r="K292" s="186">
        <f>K285*material_flow!$B$107*material_flow!$G$107</f>
        <v>78559912.273036093</v>
      </c>
      <c r="L292" t="s">
        <v>371</v>
      </c>
    </row>
    <row r="293" spans="1:14">
      <c r="C293" s="32" t="s">
        <v>599</v>
      </c>
      <c r="D293" s="272">
        <f>D292/C_model!$R$107/(1-20%)</f>
        <v>0</v>
      </c>
      <c r="E293" t="s">
        <v>591</v>
      </c>
      <c r="J293" s="32" t="s">
        <v>599</v>
      </c>
      <c r="K293" s="272">
        <f>K292/C_model!$R$107/(1-20%)</f>
        <v>196596377.05964988</v>
      </c>
      <c r="L293" t="s">
        <v>591</v>
      </c>
    </row>
    <row r="294" spans="1:14" s="84" customFormat="1">
      <c r="C294" s="32" t="s">
        <v>357</v>
      </c>
      <c r="D294" s="212">
        <f>D285*material_flow!$B$107*material_flow!$G$108</f>
        <v>0</v>
      </c>
      <c r="E294" t="s">
        <v>371</v>
      </c>
      <c r="J294" s="32" t="s">
        <v>357</v>
      </c>
      <c r="K294" s="212">
        <f>K285*material_flow!$B$107*material_flow!$G$108</f>
        <v>2980671.228155944</v>
      </c>
      <c r="L294" t="s">
        <v>371</v>
      </c>
    </row>
    <row r="295" spans="1:14" s="84" customFormat="1">
      <c r="C295" s="32" t="s">
        <v>590</v>
      </c>
      <c r="D295" s="272">
        <f>D294/C_model!$R$107/(1-20%)</f>
        <v>0</v>
      </c>
      <c r="E295" t="s">
        <v>591</v>
      </c>
      <c r="J295" s="32" t="s">
        <v>590</v>
      </c>
      <c r="K295" s="272">
        <f>K294/C_model!$R$107/(1-20%)</f>
        <v>7459137.2075974578</v>
      </c>
      <c r="L295" t="s">
        <v>591</v>
      </c>
    </row>
    <row r="296" spans="1:14" s="84" customFormat="1">
      <c r="C296" s="32" t="s">
        <v>358</v>
      </c>
      <c r="D296" s="212">
        <f>D286*material_flow!$B$110*material_flow!$G$110</f>
        <v>0</v>
      </c>
      <c r="E296" t="s">
        <v>371</v>
      </c>
      <c r="J296" s="32" t="s">
        <v>358</v>
      </c>
      <c r="K296" s="212">
        <f>K286*material_flow!$B$110*material_flow!$G$110</f>
        <v>1640.4882534495196</v>
      </c>
      <c r="L296" t="s">
        <v>371</v>
      </c>
    </row>
    <row r="297" spans="1:14" s="84" customFormat="1">
      <c r="C297" s="32" t="s">
        <v>600</v>
      </c>
      <c r="D297" s="272">
        <f>(D296/C_model!$R$107*(1+C_model!$R$110))/material_flow!$B$48</f>
        <v>0</v>
      </c>
      <c r="E297" t="s">
        <v>171</v>
      </c>
      <c r="J297" s="32" t="s">
        <v>600</v>
      </c>
      <c r="K297" s="272">
        <f>((K296/C_model!$R$107)*(1+C_model!$R$110))/material_flow!$B$48</f>
        <v>2252.0645264000268</v>
      </c>
      <c r="L297" t="s">
        <v>171</v>
      </c>
    </row>
    <row r="298" spans="1:14" s="84" customFormat="1">
      <c r="B298" s="211"/>
      <c r="C298" s="32" t="s">
        <v>359</v>
      </c>
      <c r="D298" s="212">
        <f>D286*(material_flow!$B$109+material_flow!$B$110*material_flow!$G$111)</f>
        <v>0</v>
      </c>
      <c r="E298" t="s">
        <v>371</v>
      </c>
      <c r="J298" s="32" t="s">
        <v>359</v>
      </c>
      <c r="K298" s="212">
        <f>K286*(material_flow!$B$109+material_flow!$B$110*material_flow!$G$111)</f>
        <v>21272211.300070316</v>
      </c>
      <c r="L298" t="s">
        <v>371</v>
      </c>
    </row>
    <row r="299" spans="1:14" s="84" customFormat="1">
      <c r="B299" s="211"/>
      <c r="C299" s="32" t="s">
        <v>592</v>
      </c>
      <c r="D299" s="272">
        <f>(D298/C_model!$R$107*(1+C_model!$R$110))/material_flow!$B$48</f>
        <v>0</v>
      </c>
      <c r="E299" t="s">
        <v>171</v>
      </c>
      <c r="J299" s="32" t="s">
        <v>592</v>
      </c>
      <c r="K299" s="272">
        <f>(K298/C_model!$R$107*(1+C_model!$R$110))/material_flow!$B$48</f>
        <v>29202520.875257403</v>
      </c>
      <c r="L299" t="s">
        <v>171</v>
      </c>
    </row>
    <row r="300" spans="1:14" s="84" customFormat="1">
      <c r="C300" s="216" t="s">
        <v>826</v>
      </c>
      <c r="D300" s="212">
        <f>D292+D296</f>
        <v>0</v>
      </c>
      <c r="E300" s="5" t="s">
        <v>371</v>
      </c>
      <c r="F300" s="272">
        <f>D300*44/12</f>
        <v>0</v>
      </c>
      <c r="G300" s="5" t="s">
        <v>352</v>
      </c>
      <c r="J300" s="216" t="s">
        <v>826</v>
      </c>
      <c r="K300" s="212">
        <f>K292+K296</f>
        <v>78561552.761289537</v>
      </c>
      <c r="L300" s="5" t="s">
        <v>371</v>
      </c>
      <c r="M300" s="272">
        <f>K300*44/12</f>
        <v>288059026.79139495</v>
      </c>
      <c r="N300" t="s">
        <v>352</v>
      </c>
    </row>
    <row r="301" spans="1:14" s="84" customFormat="1">
      <c r="C301" s="216" t="s">
        <v>375</v>
      </c>
      <c r="D301" s="84">
        <f>D294+D298</f>
        <v>0</v>
      </c>
      <c r="E301" s="84" t="s">
        <v>367</v>
      </c>
      <c r="J301" s="216" t="s">
        <v>375</v>
      </c>
      <c r="K301" s="84">
        <f>K294+K298</f>
        <v>24252882.52822626</v>
      </c>
      <c r="L301" s="84" t="s">
        <v>367</v>
      </c>
    </row>
    <row r="302" spans="1:14" s="84" customFormat="1">
      <c r="C302" s="216" t="s">
        <v>375</v>
      </c>
      <c r="D302" s="84">
        <f>D301*44/12</f>
        <v>0</v>
      </c>
      <c r="E302" s="5" t="s">
        <v>352</v>
      </c>
      <c r="J302" s="216" t="s">
        <v>375</v>
      </c>
      <c r="K302" s="84">
        <f>K301*44/12</f>
        <v>88927235.936829612</v>
      </c>
      <c r="L302" t="s">
        <v>352</v>
      </c>
    </row>
    <row r="303" spans="1:14" s="84" customFormat="1"/>
    <row r="304" spans="1:14" s="84" customFormat="1">
      <c r="A304" s="221" t="s">
        <v>378</v>
      </c>
    </row>
    <row r="305" spans="1:2" s="84" customFormat="1"/>
    <row r="306" spans="1:2" s="84" customFormat="1">
      <c r="A306" s="84" t="s">
        <v>376</v>
      </c>
      <c r="B306" s="84">
        <v>0.03</v>
      </c>
    </row>
    <row r="307" spans="1:2" s="84" customFormat="1">
      <c r="A307" s="84" t="s">
        <v>377</v>
      </c>
      <c r="B307" s="84">
        <v>23</v>
      </c>
    </row>
    <row r="308" spans="1:2" s="84" customFormat="1">
      <c r="A308" s="84" t="s">
        <v>390</v>
      </c>
      <c r="B308" s="84">
        <v>0.5</v>
      </c>
    </row>
    <row r="309" spans="1:2" s="84" customFormat="1">
      <c r="A309" s="84" t="s">
        <v>391</v>
      </c>
      <c r="B309" s="84">
        <v>25</v>
      </c>
    </row>
    <row r="310" spans="1:2" s="84" customFormat="1"/>
    <row r="311" spans="1:2" s="84" customFormat="1"/>
    <row r="312" spans="1:2" s="84" customFormat="1"/>
    <row r="313" spans="1:2" s="84" customFormat="1"/>
    <row r="314" spans="1:2" s="84" customFormat="1"/>
    <row r="315" spans="1:2" s="84" customFormat="1"/>
    <row r="316" spans="1:2" s="84" customFormat="1"/>
    <row r="317" spans="1:2" s="84" customFormat="1"/>
    <row r="318" spans="1:2" s="84" customFormat="1"/>
    <row r="319" spans="1:2" s="84" customFormat="1"/>
    <row r="320" spans="1:2" s="84" customFormat="1"/>
    <row r="321" spans="1:15" s="84" customFormat="1">
      <c r="F321" s="212"/>
      <c r="H321" s="212"/>
      <c r="J321" s="212"/>
    </row>
    <row r="322" spans="1:15" s="84" customFormat="1">
      <c r="G322" s="212"/>
      <c r="H322" s="212"/>
      <c r="I322" s="212"/>
      <c r="J322" s="212"/>
    </row>
    <row r="323" spans="1:15" s="84" customFormat="1">
      <c r="G323" s="212"/>
      <c r="H323" s="212"/>
      <c r="I323" s="212"/>
      <c r="J323" s="212"/>
    </row>
    <row r="324" spans="1:15" s="84" customFormat="1">
      <c r="G324" s="212"/>
      <c r="H324" s="212"/>
      <c r="I324" s="212"/>
      <c r="J324" s="212"/>
    </row>
    <row r="325" spans="1:15" s="84" customFormat="1">
      <c r="G325" s="212"/>
      <c r="H325" s="212"/>
      <c r="I325" s="212"/>
      <c r="J325" s="212"/>
    </row>
    <row r="326" spans="1:15" s="84" customFormat="1">
      <c r="G326" s="212"/>
      <c r="H326" s="212"/>
      <c r="I326" s="212"/>
      <c r="J326" s="212"/>
    </row>
    <row r="327" spans="1:15" s="84" customFormat="1">
      <c r="G327" s="212"/>
      <c r="H327" s="212"/>
      <c r="I327" s="212"/>
      <c r="J327" s="212"/>
    </row>
    <row r="328" spans="1:15" s="84" customFormat="1">
      <c r="G328" s="212"/>
      <c r="H328" s="212"/>
      <c r="I328" s="212"/>
      <c r="J328" s="212"/>
    </row>
    <row r="329" spans="1:15" s="84" customFormat="1">
      <c r="G329" s="212"/>
      <c r="H329" s="212"/>
      <c r="I329" s="212"/>
      <c r="J329" s="212"/>
    </row>
    <row r="330" spans="1:15" s="84" customFormat="1">
      <c r="A330" s="221" t="s">
        <v>440</v>
      </c>
      <c r="C330" s="221" t="s">
        <v>8</v>
      </c>
      <c r="I330" s="212"/>
      <c r="J330" s="221" t="s">
        <v>13</v>
      </c>
    </row>
    <row r="331" spans="1:15" s="84" customFormat="1">
      <c r="C331" s="84" t="s">
        <v>365</v>
      </c>
      <c r="I331" s="212"/>
      <c r="J331" s="84" t="s">
        <v>365</v>
      </c>
    </row>
    <row r="332" spans="1:15" s="84" customFormat="1">
      <c r="B332" s="84" t="s">
        <v>333</v>
      </c>
      <c r="C332" s="84" t="s">
        <v>381</v>
      </c>
      <c r="D332" s="84" t="s">
        <v>382</v>
      </c>
      <c r="E332" s="84" t="s">
        <v>383</v>
      </c>
      <c r="F332" s="84" t="s">
        <v>379</v>
      </c>
      <c r="G332" s="84" t="s">
        <v>380</v>
      </c>
      <c r="I332" s="212"/>
      <c r="J332" s="84" t="s">
        <v>381</v>
      </c>
      <c r="K332" s="84" t="s">
        <v>382</v>
      </c>
      <c r="L332" s="84" t="s">
        <v>383</v>
      </c>
      <c r="M332" s="84" t="s">
        <v>379</v>
      </c>
      <c r="N332" s="84" t="s">
        <v>379</v>
      </c>
      <c r="O332" s="84" t="s">
        <v>380</v>
      </c>
    </row>
    <row r="333" spans="1:15" s="84" customFormat="1">
      <c r="B333" s="84">
        <v>0</v>
      </c>
      <c r="G333" s="212"/>
      <c r="H333" s="212"/>
      <c r="I333" s="212"/>
      <c r="J333" s="212"/>
    </row>
    <row r="334" spans="1:15" s="84" customFormat="1">
      <c r="B334" s="84">
        <v>1</v>
      </c>
      <c r="G334" s="212"/>
      <c r="H334" s="212"/>
      <c r="I334" s="212"/>
      <c r="J334" s="212"/>
    </row>
    <row r="335" spans="1:15" s="84" customFormat="1">
      <c r="B335" s="84">
        <v>2</v>
      </c>
      <c r="G335" s="226"/>
      <c r="H335" s="212"/>
      <c r="I335" s="212"/>
      <c r="J335" s="212"/>
    </row>
    <row r="336" spans="1:15" s="84" customFormat="1">
      <c r="B336" s="84">
        <v>3</v>
      </c>
      <c r="G336" s="226"/>
      <c r="H336" s="212"/>
      <c r="I336" s="212"/>
      <c r="J336" s="212"/>
    </row>
    <row r="337" spans="2:10" s="84" customFormat="1">
      <c r="B337" s="84">
        <v>4</v>
      </c>
      <c r="G337" s="226"/>
      <c r="H337" s="212"/>
      <c r="I337" s="212"/>
      <c r="J337" s="212"/>
    </row>
    <row r="338" spans="2:10" s="84" customFormat="1">
      <c r="B338" s="84">
        <v>5</v>
      </c>
      <c r="G338" s="226"/>
      <c r="H338" s="212"/>
      <c r="I338" s="212"/>
      <c r="J338" s="212"/>
    </row>
    <row r="339" spans="2:10" s="84" customFormat="1">
      <c r="B339" s="84">
        <v>6</v>
      </c>
      <c r="G339" s="226"/>
      <c r="H339" s="212"/>
      <c r="I339" s="212"/>
      <c r="J339" s="212"/>
    </row>
    <row r="340" spans="2:10" s="84" customFormat="1">
      <c r="B340" s="84">
        <v>7</v>
      </c>
      <c r="G340" s="226"/>
      <c r="H340" s="212"/>
      <c r="I340" s="212"/>
      <c r="J340" s="212"/>
    </row>
    <row r="341" spans="2:10" s="84" customFormat="1">
      <c r="B341" s="84">
        <v>8</v>
      </c>
      <c r="G341" s="226"/>
      <c r="H341" s="212"/>
      <c r="I341" s="212"/>
      <c r="J341" s="212"/>
    </row>
    <row r="342" spans="2:10" s="84" customFormat="1">
      <c r="B342" s="84">
        <v>9</v>
      </c>
      <c r="G342" s="226"/>
      <c r="H342" s="212"/>
      <c r="I342" s="212"/>
      <c r="J342" s="212"/>
    </row>
    <row r="343" spans="2:10" s="84" customFormat="1">
      <c r="B343" s="84">
        <v>10</v>
      </c>
      <c r="G343" s="226"/>
      <c r="H343" s="212"/>
      <c r="I343" s="212"/>
      <c r="J343" s="212"/>
    </row>
    <row r="344" spans="2:10" s="84" customFormat="1">
      <c r="B344" s="84">
        <v>11</v>
      </c>
      <c r="G344" s="226"/>
      <c r="H344" s="212"/>
      <c r="I344" s="212"/>
      <c r="J344" s="212"/>
    </row>
    <row r="345" spans="2:10" s="84" customFormat="1">
      <c r="B345" s="84">
        <v>12</v>
      </c>
      <c r="G345" s="226"/>
      <c r="H345" s="212"/>
      <c r="I345" s="212"/>
      <c r="J345" s="212"/>
    </row>
    <row r="346" spans="2:10" s="84" customFormat="1">
      <c r="B346" s="84">
        <v>13</v>
      </c>
      <c r="G346" s="226"/>
      <c r="H346" s="212"/>
      <c r="I346" s="212"/>
      <c r="J346" s="212"/>
    </row>
    <row r="347" spans="2:10" s="84" customFormat="1">
      <c r="B347" s="84">
        <v>14</v>
      </c>
      <c r="G347" s="226"/>
      <c r="H347" s="212"/>
      <c r="I347" s="212"/>
      <c r="J347" s="212"/>
    </row>
    <row r="348" spans="2:10" s="84" customFormat="1">
      <c r="B348" s="84">
        <v>15</v>
      </c>
      <c r="G348" s="226"/>
      <c r="H348" s="212"/>
      <c r="I348" s="212"/>
      <c r="J348" s="212"/>
    </row>
    <row r="349" spans="2:10" s="84" customFormat="1">
      <c r="B349" s="84">
        <v>16</v>
      </c>
      <c r="G349" s="226"/>
      <c r="H349" s="212"/>
      <c r="I349" s="212"/>
      <c r="J349" s="212"/>
    </row>
    <row r="350" spans="2:10" s="84" customFormat="1">
      <c r="B350" s="84">
        <v>17</v>
      </c>
      <c r="G350" s="226"/>
      <c r="H350" s="212"/>
      <c r="I350" s="212"/>
      <c r="J350" s="212"/>
    </row>
    <row r="351" spans="2:10" s="84" customFormat="1">
      <c r="B351" s="84">
        <v>18</v>
      </c>
      <c r="G351" s="226"/>
      <c r="H351" s="212"/>
      <c r="I351" s="212"/>
      <c r="J351" s="212"/>
    </row>
    <row r="352" spans="2:10" s="84" customFormat="1">
      <c r="B352" s="84">
        <v>19</v>
      </c>
      <c r="G352" s="226"/>
      <c r="H352" s="212"/>
      <c r="I352" s="212"/>
      <c r="J352" s="212"/>
    </row>
    <row r="353" spans="2:14" s="84" customFormat="1">
      <c r="B353" s="84">
        <v>20</v>
      </c>
      <c r="G353" s="226"/>
      <c r="H353" s="212"/>
      <c r="I353" s="212"/>
      <c r="J353" s="212"/>
    </row>
    <row r="354" spans="2:14" s="111" customFormat="1">
      <c r="B354" s="111">
        <v>21</v>
      </c>
      <c r="G354" s="227"/>
      <c r="H354" s="183"/>
      <c r="I354" s="183"/>
      <c r="J354" s="183"/>
    </row>
    <row r="355" spans="2:14" s="84" customFormat="1">
      <c r="B355" s="84">
        <v>22</v>
      </c>
      <c r="G355" s="226"/>
      <c r="H355" s="212"/>
      <c r="I355" s="212"/>
      <c r="J355" s="225">
        <f>(M68-M69+(N68-N69)+(Q68-Q69)+(R68-R69)+(S68-S69)+(T68-T69))*material_flow!$B$107*material_flow!$G$108</f>
        <v>0</v>
      </c>
      <c r="K355" s="225">
        <f>(P68-P69)*material_flow!$B$110*material_flow!$G$111</f>
        <v>0</v>
      </c>
      <c r="L355" s="225">
        <f t="shared" ref="L355:L383" si="88">SUM(J355:K355)</f>
        <v>0</v>
      </c>
      <c r="M355" s="230">
        <f t="shared" ref="M355:M383" si="89">L355+(L354*EXP(-$B$306))</f>
        <v>0</v>
      </c>
      <c r="N355" s="230">
        <f t="shared" ref="N355:N383" si="90">M354*(1-EXP(-$B$306))</f>
        <v>0</v>
      </c>
    </row>
    <row r="356" spans="2:14" s="84" customFormat="1">
      <c r="B356" s="84">
        <v>23</v>
      </c>
      <c r="G356" s="226"/>
      <c r="H356" s="212"/>
      <c r="I356" s="212"/>
      <c r="J356" s="225">
        <f>(M69-M70+(N69-N70)+(Q69-Q70)+(R69-R70)+(S69-S70)+(T69-T70))*material_flow!$B$107*material_flow!$G$108</f>
        <v>0</v>
      </c>
      <c r="K356" s="225">
        <f>(P69-P70)*material_flow!$B$110*material_flow!$G$111</f>
        <v>0</v>
      </c>
      <c r="L356" s="225">
        <f t="shared" si="88"/>
        <v>0</v>
      </c>
      <c r="M356" s="230">
        <f t="shared" si="89"/>
        <v>0</v>
      </c>
      <c r="N356" s="230">
        <f t="shared" si="90"/>
        <v>0</v>
      </c>
    </row>
    <row r="357" spans="2:14" s="84" customFormat="1">
      <c r="B357" s="84">
        <v>24</v>
      </c>
      <c r="G357" s="226"/>
      <c r="H357" s="212"/>
      <c r="I357" s="212"/>
      <c r="J357" s="225">
        <f>(M70-M71+(N70-N71)+(Q70-Q71)+(R70-R71)+(S70-S71)+(T70-T71))*material_flow!$B$107*material_flow!$G$108</f>
        <v>0</v>
      </c>
      <c r="K357" s="225">
        <f>(P70-P71)*material_flow!$B$110*material_flow!$G$111</f>
        <v>0</v>
      </c>
      <c r="L357" s="225">
        <f t="shared" si="88"/>
        <v>0</v>
      </c>
      <c r="M357" s="230">
        <f t="shared" si="89"/>
        <v>0</v>
      </c>
      <c r="N357" s="230">
        <f t="shared" si="90"/>
        <v>0</v>
      </c>
    </row>
    <row r="358" spans="2:14" s="84" customFormat="1">
      <c r="B358" s="84">
        <v>25</v>
      </c>
      <c r="G358" s="226"/>
      <c r="H358" s="212"/>
      <c r="I358" s="212"/>
      <c r="J358" s="225">
        <f>(M71-M72+(N71-N72)+(Q71-Q72)+(R71-R72)+(S71-S72)+(T71-T72))*material_flow!$B$107*material_flow!$G$108</f>
        <v>0</v>
      </c>
      <c r="K358" s="225">
        <f>(P71-P72)*material_flow!$B$110*material_flow!$G$111</f>
        <v>0</v>
      </c>
      <c r="L358" s="225">
        <f t="shared" si="88"/>
        <v>0</v>
      </c>
      <c r="M358" s="230">
        <f t="shared" si="89"/>
        <v>0</v>
      </c>
      <c r="N358" s="230">
        <f t="shared" si="90"/>
        <v>0</v>
      </c>
    </row>
    <row r="359" spans="2:14" s="84" customFormat="1">
      <c r="B359" s="84">
        <v>26</v>
      </c>
      <c r="G359" s="226"/>
      <c r="H359" s="212"/>
      <c r="I359" s="212"/>
      <c r="J359" s="225">
        <f>(M72-M73+(N72-N73)+(Q72-Q73)+(R72-R73)+(S72-S73)+(T72-T73))*material_flow!$B$107*material_flow!$G$108</f>
        <v>0</v>
      </c>
      <c r="K359" s="225">
        <f>(P72-P73)*material_flow!$B$110*material_flow!$G$111</f>
        <v>0</v>
      </c>
      <c r="L359" s="225">
        <f t="shared" si="88"/>
        <v>0</v>
      </c>
      <c r="M359" s="230">
        <f t="shared" si="89"/>
        <v>0</v>
      </c>
      <c r="N359" s="230">
        <f t="shared" si="90"/>
        <v>0</v>
      </c>
    </row>
    <row r="360" spans="2:14" s="84" customFormat="1">
      <c r="B360" s="84">
        <v>27</v>
      </c>
      <c r="G360" s="226"/>
      <c r="H360" s="212"/>
      <c r="I360" s="212"/>
      <c r="J360" s="225">
        <f>(M73-M74+(N73-N74)+(Q73-Q74)+(R73-R74)+(S73-S74)+(T73-T74))*material_flow!$B$107*material_flow!$G$108</f>
        <v>0</v>
      </c>
      <c r="K360" s="225">
        <f>(P73-P74)*material_flow!$B$110*material_flow!$G$111</f>
        <v>0</v>
      </c>
      <c r="L360" s="225">
        <f t="shared" si="88"/>
        <v>0</v>
      </c>
      <c r="M360" s="230">
        <f t="shared" si="89"/>
        <v>0</v>
      </c>
      <c r="N360" s="230">
        <f t="shared" si="90"/>
        <v>0</v>
      </c>
    </row>
    <row r="361" spans="2:14" s="84" customFormat="1">
      <c r="B361" s="84">
        <v>28</v>
      </c>
      <c r="G361" s="226"/>
      <c r="H361" s="212"/>
      <c r="I361" s="212"/>
      <c r="J361" s="225">
        <f>(M74-M75+(N74-N75)+(Q74-Q75)+(R74-R75)+(S74-S75)+(T74-T75))*material_flow!$B$107*material_flow!$G$108</f>
        <v>0</v>
      </c>
      <c r="K361" s="225">
        <f>(P74-P75)*material_flow!$B$110*material_flow!$G$111</f>
        <v>0</v>
      </c>
      <c r="L361" s="225">
        <f t="shared" si="88"/>
        <v>0</v>
      </c>
      <c r="M361" s="230">
        <f t="shared" si="89"/>
        <v>0</v>
      </c>
      <c r="N361" s="230">
        <f t="shared" si="90"/>
        <v>0</v>
      </c>
    </row>
    <row r="362" spans="2:14" s="84" customFormat="1">
      <c r="B362" s="84">
        <v>29</v>
      </c>
      <c r="G362" s="226"/>
      <c r="H362" s="212"/>
      <c r="I362" s="212"/>
      <c r="J362" s="225">
        <f>(M75-M76+(N75-N76)+(Q75-Q76)+(R75-R76)+(S75-S76)+(T75-T76))*material_flow!$B$107*material_flow!$G$108</f>
        <v>0</v>
      </c>
      <c r="K362" s="225">
        <f>(P75-P76)*material_flow!$B$110*material_flow!$G$111</f>
        <v>0</v>
      </c>
      <c r="L362" s="225">
        <f t="shared" si="88"/>
        <v>0</v>
      </c>
      <c r="M362" s="230">
        <f t="shared" si="89"/>
        <v>0</v>
      </c>
      <c r="N362" s="230">
        <f t="shared" si="90"/>
        <v>0</v>
      </c>
    </row>
    <row r="363" spans="2:14" s="84" customFormat="1">
      <c r="B363" s="84">
        <v>30</v>
      </c>
      <c r="G363" s="226"/>
      <c r="H363" s="212"/>
      <c r="I363" s="212"/>
      <c r="J363" s="225">
        <f>(M76-M77+(N76-N77)+(Q76-Q77)+(R76-R77)+(S76-S77)+(T76-T77))*material_flow!$B$107*material_flow!$G$108</f>
        <v>0</v>
      </c>
      <c r="K363" s="225">
        <f>(P76-P77)*material_flow!$B$110*material_flow!$G$111</f>
        <v>0</v>
      </c>
      <c r="L363" s="225">
        <f t="shared" si="88"/>
        <v>0</v>
      </c>
      <c r="M363" s="230">
        <f t="shared" si="89"/>
        <v>0</v>
      </c>
      <c r="N363" s="230">
        <f>M362*(1-EXP(-$B$306))</f>
        <v>0</v>
      </c>
    </row>
    <row r="364" spans="2:14" s="84" customFormat="1">
      <c r="B364" s="84">
        <v>31</v>
      </c>
      <c r="G364" s="226"/>
      <c r="H364" s="212"/>
      <c r="I364" s="212"/>
      <c r="J364" s="225">
        <f>(M77-M78+(N77-N78)+(Q77-Q78)+(R77-R78)+(S77-S78)+(T77-T78))*material_flow!$B$107*material_flow!$G$108</f>
        <v>0</v>
      </c>
      <c r="K364" s="225">
        <f>(P77-P78)*material_flow!$B$110*material_flow!$G$111</f>
        <v>0</v>
      </c>
      <c r="L364" s="225">
        <f t="shared" si="88"/>
        <v>0</v>
      </c>
      <c r="M364" s="230">
        <f t="shared" si="89"/>
        <v>0</v>
      </c>
      <c r="N364" s="230">
        <f t="shared" si="90"/>
        <v>0</v>
      </c>
    </row>
    <row r="365" spans="2:14" s="84" customFormat="1">
      <c r="B365" s="84">
        <v>32</v>
      </c>
      <c r="G365" s="226"/>
      <c r="H365" s="212"/>
      <c r="I365" s="212"/>
      <c r="J365" s="225">
        <f>(M78-M79+(N78-N79)+(Q78-Q79)+(R78-R79)+(S78-S79)+(T78-T79))*material_flow!$B$107*material_flow!$G$108</f>
        <v>0</v>
      </c>
      <c r="K365" s="225">
        <f>(P78-P79)*material_flow!$B$110*material_flow!$G$111</f>
        <v>0</v>
      </c>
      <c r="L365" s="225">
        <f t="shared" si="88"/>
        <v>0</v>
      </c>
      <c r="M365" s="230">
        <f t="shared" si="89"/>
        <v>0</v>
      </c>
      <c r="N365" s="230">
        <f t="shared" si="90"/>
        <v>0</v>
      </c>
    </row>
    <row r="366" spans="2:14" s="84" customFormat="1">
      <c r="B366" s="84">
        <v>33</v>
      </c>
      <c r="G366" s="226"/>
      <c r="H366" s="212"/>
      <c r="I366" s="212"/>
      <c r="J366" s="225">
        <f>(M79-M80+(N79-N80)+(Q79-Q80)+(R79-R80)+(S79-S80)+(T79-T80))*material_flow!$B$107*material_flow!$G$108</f>
        <v>0</v>
      </c>
      <c r="K366" s="225">
        <f>(P79-P80)*material_flow!$B$110*material_flow!$G$111</f>
        <v>0</v>
      </c>
      <c r="L366" s="225">
        <f t="shared" si="88"/>
        <v>0</v>
      </c>
      <c r="M366" s="230">
        <f t="shared" si="89"/>
        <v>0</v>
      </c>
      <c r="N366" s="230">
        <f t="shared" si="90"/>
        <v>0</v>
      </c>
    </row>
    <row r="367" spans="2:14" s="84" customFormat="1">
      <c r="B367" s="84">
        <v>34</v>
      </c>
      <c r="G367" s="226"/>
      <c r="H367" s="212"/>
      <c r="I367" s="212"/>
      <c r="J367" s="225">
        <f>(M80-M81+(N80-N81)+(Q80-Q81)+(R80-R81)+(S80-S81)+(T80-T81))*material_flow!$B$107*material_flow!$G$108</f>
        <v>0</v>
      </c>
      <c r="K367" s="225">
        <f>(P80-P81)*material_flow!$B$110*material_flow!$G$111</f>
        <v>0</v>
      </c>
      <c r="L367" s="225">
        <f t="shared" si="88"/>
        <v>0</v>
      </c>
      <c r="M367" s="230">
        <f t="shared" si="89"/>
        <v>0</v>
      </c>
      <c r="N367" s="230">
        <f t="shared" si="90"/>
        <v>0</v>
      </c>
    </row>
    <row r="368" spans="2:14" s="84" customFormat="1">
      <c r="B368" s="84">
        <v>35</v>
      </c>
      <c r="G368" s="226"/>
      <c r="H368" s="212"/>
      <c r="I368" s="212"/>
      <c r="J368" s="225">
        <f>(M81-M82+(N81-N82)+(Q81-Q82)+(R81-R82)+(S81-S82)+(T81-T82))*material_flow!$B$107*material_flow!$G$108</f>
        <v>0</v>
      </c>
      <c r="K368" s="225">
        <f>(P81-P82)*material_flow!$B$110*material_flow!$G$111</f>
        <v>0</v>
      </c>
      <c r="L368" s="225">
        <f t="shared" si="88"/>
        <v>0</v>
      </c>
      <c r="M368" s="230">
        <f t="shared" si="89"/>
        <v>0</v>
      </c>
      <c r="N368" s="230">
        <f t="shared" si="90"/>
        <v>0</v>
      </c>
    </row>
    <row r="369" spans="2:14" s="84" customFormat="1">
      <c r="B369" s="84">
        <v>36</v>
      </c>
      <c r="G369" s="226"/>
      <c r="H369" s="212"/>
      <c r="I369" s="212"/>
      <c r="J369" s="225">
        <f>(M82-M83+(N82-N83)+(Q82-Q83)+(R82-R83)+(S82-S83)+(T82-T83))*material_flow!$B$107*material_flow!$G$108</f>
        <v>0</v>
      </c>
      <c r="K369" s="225">
        <f>(P82-P83)*material_flow!$B$110*material_flow!$G$111</f>
        <v>0</v>
      </c>
      <c r="L369" s="225">
        <f t="shared" si="88"/>
        <v>0</v>
      </c>
      <c r="M369" s="230">
        <f t="shared" si="89"/>
        <v>0</v>
      </c>
      <c r="N369" s="230">
        <f t="shared" si="90"/>
        <v>0</v>
      </c>
    </row>
    <row r="370" spans="2:14" s="84" customFormat="1">
      <c r="B370" s="84">
        <v>37</v>
      </c>
      <c r="G370" s="226"/>
      <c r="H370" s="212"/>
      <c r="I370" s="212"/>
      <c r="J370" s="225">
        <f>(M83-M84+(N83-N84)+(Q83-Q84)+(R83-R84)+(S83-S84)+(T83-T84))*material_flow!$B$107*material_flow!$G$108</f>
        <v>0</v>
      </c>
      <c r="K370" s="225">
        <f>(P83-P84)*material_flow!$B$110*material_flow!$G$111</f>
        <v>0</v>
      </c>
      <c r="L370" s="225">
        <f t="shared" si="88"/>
        <v>0</v>
      </c>
      <c r="M370" s="230">
        <f t="shared" si="89"/>
        <v>0</v>
      </c>
      <c r="N370" s="230">
        <f t="shared" si="90"/>
        <v>0</v>
      </c>
    </row>
    <row r="371" spans="2:14" s="84" customFormat="1">
      <c r="B371" s="84">
        <v>38</v>
      </c>
      <c r="G371" s="226"/>
      <c r="H371" s="212"/>
      <c r="I371" s="212"/>
      <c r="J371" s="225">
        <f>(M84-M85+(N84-N85)+(Q84-Q85)+(R84-R85)+(S84-S85)+(T84-T85))*material_flow!$B$107*material_flow!$G$108</f>
        <v>0</v>
      </c>
      <c r="K371" s="225">
        <f>(P84-P85)*material_flow!$B$110*material_flow!$G$111</f>
        <v>0</v>
      </c>
      <c r="L371" s="225">
        <f t="shared" si="88"/>
        <v>0</v>
      </c>
      <c r="M371" s="230">
        <f t="shared" si="89"/>
        <v>0</v>
      </c>
      <c r="N371" s="230">
        <f t="shared" si="90"/>
        <v>0</v>
      </c>
    </row>
    <row r="372" spans="2:14" s="84" customFormat="1">
      <c r="B372" s="84">
        <v>39</v>
      </c>
      <c r="G372" s="226"/>
      <c r="H372" s="212"/>
      <c r="I372" s="212"/>
      <c r="J372" s="225">
        <f>(M85-M86+(N85-N86)+(Q85-Q86)+(R85-R86)+(S85-S86)+(T85-T86))*material_flow!$B$107*material_flow!$G$108</f>
        <v>0</v>
      </c>
      <c r="K372" s="225">
        <f>(P85-P86)*material_flow!$B$110*material_flow!$G$111</f>
        <v>0</v>
      </c>
      <c r="L372" s="225">
        <f t="shared" si="88"/>
        <v>0</v>
      </c>
      <c r="M372" s="230">
        <f t="shared" si="89"/>
        <v>0</v>
      </c>
      <c r="N372" s="230">
        <f t="shared" si="90"/>
        <v>0</v>
      </c>
    </row>
    <row r="373" spans="2:14" s="84" customFormat="1">
      <c r="B373" s="84">
        <v>40</v>
      </c>
      <c r="G373" s="226"/>
      <c r="H373" s="212"/>
      <c r="I373" s="212"/>
      <c r="J373" s="225">
        <f>(M86-M87+(N86-N87)+(Q86-Q87)+(R86-R87)+(S86-S87)+(T86-T87))*material_flow!$B$107*material_flow!$G$108</f>
        <v>0</v>
      </c>
      <c r="K373" s="225">
        <f>(P86-P87)*material_flow!$B$110*material_flow!$G$111</f>
        <v>0</v>
      </c>
      <c r="L373" s="225">
        <f t="shared" si="88"/>
        <v>0</v>
      </c>
      <c r="M373" s="230">
        <f t="shared" si="89"/>
        <v>0</v>
      </c>
      <c r="N373" s="230">
        <f t="shared" si="90"/>
        <v>0</v>
      </c>
    </row>
    <row r="374" spans="2:14" s="84" customFormat="1">
      <c r="B374" s="84">
        <v>41</v>
      </c>
      <c r="G374" s="226"/>
      <c r="H374" s="212"/>
      <c r="I374" s="212"/>
      <c r="J374" s="225">
        <f>(M87-M88+(N87-N88)+(Q87-Q88)+(R87-R88)+(S87-S88)+(T87-T88))*material_flow!$B$107*material_flow!$G$108</f>
        <v>0</v>
      </c>
      <c r="K374" s="225">
        <f>(P87-P88)*material_flow!$B$110*material_flow!$G$111</f>
        <v>0</v>
      </c>
      <c r="L374" s="225">
        <f t="shared" si="88"/>
        <v>0</v>
      </c>
      <c r="M374" s="230">
        <f t="shared" si="89"/>
        <v>0</v>
      </c>
      <c r="N374" s="230">
        <f t="shared" si="90"/>
        <v>0</v>
      </c>
    </row>
    <row r="375" spans="2:14" s="84" customFormat="1">
      <c r="B375" s="84">
        <v>42</v>
      </c>
      <c r="G375" s="226"/>
      <c r="H375" s="212"/>
      <c r="I375" s="212"/>
      <c r="J375" s="225">
        <f>(M88-M89+(N88-N89)+(Q88-Q89)+(R88-R89)+(S88-S89)+(T88-T89))*material_flow!$B$107*material_flow!$G$108</f>
        <v>0</v>
      </c>
      <c r="K375" s="225">
        <f>(P88-P89)*material_flow!$B$110*material_flow!$G$111</f>
        <v>0</v>
      </c>
      <c r="L375" s="225">
        <f t="shared" si="88"/>
        <v>0</v>
      </c>
      <c r="M375" s="230">
        <f t="shared" si="89"/>
        <v>0</v>
      </c>
      <c r="N375" s="230">
        <f t="shared" si="90"/>
        <v>0</v>
      </c>
    </row>
    <row r="376" spans="2:14" s="84" customFormat="1">
      <c r="B376" s="84">
        <v>43</v>
      </c>
      <c r="G376" s="226"/>
      <c r="H376" s="212"/>
      <c r="I376" s="212"/>
      <c r="J376" s="225">
        <f>(M89-M90+(N89-N90)+(Q89-Q90)+(R89-R90)+(S89-S90)+(T89-T90))*material_flow!$B$107*material_flow!$G$108</f>
        <v>0</v>
      </c>
      <c r="K376" s="225">
        <f>(P89-P90)*material_flow!$B$110*material_flow!$G$111</f>
        <v>0</v>
      </c>
      <c r="L376" s="225">
        <f t="shared" si="88"/>
        <v>0</v>
      </c>
      <c r="M376" s="230">
        <f t="shared" si="89"/>
        <v>0</v>
      </c>
      <c r="N376" s="230">
        <f t="shared" si="90"/>
        <v>0</v>
      </c>
    </row>
    <row r="377" spans="2:14" s="84" customFormat="1">
      <c r="B377" s="84">
        <v>44</v>
      </c>
      <c r="G377" s="226"/>
      <c r="H377" s="212"/>
      <c r="I377" s="212"/>
      <c r="J377" s="225">
        <f>(M90-M91+(N90-N91)+(Q90-Q91)+(R90-R91)+(S90-S91)+(T90-T91))*material_flow!$B$107*material_flow!$G$108</f>
        <v>0</v>
      </c>
      <c r="K377" s="225">
        <f>(P90-P91)*material_flow!$B$110*material_flow!$G$111</f>
        <v>0</v>
      </c>
      <c r="L377" s="225">
        <f t="shared" si="88"/>
        <v>0</v>
      </c>
      <c r="M377" s="230">
        <f t="shared" si="89"/>
        <v>0</v>
      </c>
      <c r="N377" s="230">
        <f t="shared" si="90"/>
        <v>0</v>
      </c>
    </row>
    <row r="378" spans="2:14" s="84" customFormat="1">
      <c r="B378" s="84">
        <v>45</v>
      </c>
      <c r="G378" s="226"/>
      <c r="H378" s="212"/>
      <c r="I378" s="212"/>
      <c r="J378" s="225">
        <f>(M91-M92+(N91-N92)+(Q91-Q92)+(R91-R92)+(S91-S92)+(T91-T92))*material_flow!$B$107*material_flow!$G$108</f>
        <v>0</v>
      </c>
      <c r="K378" s="225">
        <f>(P91-P92)*material_flow!$B$110*material_flow!$G$111</f>
        <v>0</v>
      </c>
      <c r="L378" s="225">
        <f t="shared" si="88"/>
        <v>0</v>
      </c>
      <c r="M378" s="230">
        <f t="shared" si="89"/>
        <v>0</v>
      </c>
      <c r="N378" s="230">
        <f t="shared" si="90"/>
        <v>0</v>
      </c>
    </row>
    <row r="379" spans="2:14" s="84" customFormat="1">
      <c r="B379" s="84">
        <v>46</v>
      </c>
      <c r="G379" s="226"/>
      <c r="H379" s="212"/>
      <c r="I379" s="212"/>
      <c r="J379" s="225">
        <f>(M92-M93+(N92-N93)+(Q92-Q93)+(R92-R93)+(S92-S93)+(T92-T93))*material_flow!$B$107*material_flow!$G$108</f>
        <v>0</v>
      </c>
      <c r="K379" s="225">
        <f>(P92-P93)*material_flow!$B$110*material_flow!$G$111</f>
        <v>0</v>
      </c>
      <c r="L379" s="225">
        <f t="shared" si="88"/>
        <v>0</v>
      </c>
      <c r="M379" s="230">
        <f t="shared" si="89"/>
        <v>0</v>
      </c>
      <c r="N379" s="230">
        <f t="shared" si="90"/>
        <v>0</v>
      </c>
    </row>
    <row r="380" spans="2:14" s="84" customFormat="1">
      <c r="B380" s="84">
        <v>47</v>
      </c>
      <c r="G380" s="226"/>
      <c r="H380" s="212"/>
      <c r="I380" s="212"/>
      <c r="J380" s="225">
        <f>(M93-M94+(N93-N94)+(Q93-Q94)+(R93-R94)+(S93-S94)+(T93-T94))*material_flow!$B$107*material_flow!$G$108</f>
        <v>0</v>
      </c>
      <c r="K380" s="225">
        <f>(P93-P94)*material_flow!$B$110*material_flow!$G$111</f>
        <v>0</v>
      </c>
      <c r="L380" s="225">
        <f t="shared" si="88"/>
        <v>0</v>
      </c>
      <c r="M380" s="230">
        <f t="shared" si="89"/>
        <v>0</v>
      </c>
      <c r="N380" s="230">
        <f t="shared" si="90"/>
        <v>0</v>
      </c>
    </row>
    <row r="381" spans="2:14" s="84" customFormat="1">
      <c r="B381" s="84">
        <v>48</v>
      </c>
      <c r="G381" s="226"/>
      <c r="H381" s="212"/>
      <c r="I381" s="212"/>
      <c r="J381" s="225">
        <f>(M94-M95+(N94-N95)+(Q94-Q95)+(R94-R95)+(S94-S95)+(T94-T95))*material_flow!$B$107*material_flow!$G$108</f>
        <v>0</v>
      </c>
      <c r="K381" s="225">
        <f>(P94-P95)*material_flow!$B$110*material_flow!$G$111</f>
        <v>0</v>
      </c>
      <c r="L381" s="225">
        <f t="shared" si="88"/>
        <v>0</v>
      </c>
      <c r="M381" s="230">
        <f t="shared" si="89"/>
        <v>0</v>
      </c>
      <c r="N381" s="230">
        <f t="shared" si="90"/>
        <v>0</v>
      </c>
    </row>
    <row r="382" spans="2:14" s="84" customFormat="1">
      <c r="B382" s="84">
        <v>49</v>
      </c>
      <c r="G382" s="226"/>
      <c r="H382" s="212"/>
      <c r="I382" s="212"/>
      <c r="J382" s="225">
        <f>(M95-M96+(N95-N96)+(Q95-Q96)+(R95-R96)+(S95-S96)+(T95-T96))*material_flow!$B$107*material_flow!$G$108</f>
        <v>0</v>
      </c>
      <c r="K382" s="225">
        <f>(P95-P96)*material_flow!$B$110*material_flow!$G$111</f>
        <v>0</v>
      </c>
      <c r="L382" s="225">
        <f t="shared" si="88"/>
        <v>0</v>
      </c>
      <c r="M382" s="230">
        <f t="shared" si="89"/>
        <v>0</v>
      </c>
      <c r="N382" s="230">
        <f t="shared" si="90"/>
        <v>0</v>
      </c>
    </row>
    <row r="383" spans="2:14" s="111" customFormat="1">
      <c r="B383" s="111">
        <v>50</v>
      </c>
      <c r="G383" s="227">
        <f t="shared" ref="G383:G399" si="91">F382*(1-EXP(-$B$306))</f>
        <v>0</v>
      </c>
      <c r="H383" s="183"/>
      <c r="I383" s="183"/>
      <c r="J383" s="222">
        <f>J382</f>
        <v>0</v>
      </c>
      <c r="K383" s="111">
        <f>K382</f>
        <v>0</v>
      </c>
      <c r="L383" s="222">
        <f t="shared" si="88"/>
        <v>0</v>
      </c>
      <c r="M383" s="234">
        <f t="shared" si="89"/>
        <v>0</v>
      </c>
      <c r="N383" s="234">
        <f t="shared" si="90"/>
        <v>0</v>
      </c>
    </row>
    <row r="384" spans="2:14" s="84" customFormat="1">
      <c r="B384" s="84">
        <v>51</v>
      </c>
      <c r="C384" s="84">
        <f>((C97-C98+(D97-D98)+(G97-G98)+(H97-H98)+(I97-I98)+(J97-J98)+$C$42))*material_flow!$B$107*material_flow!$G$108</f>
        <v>0</v>
      </c>
      <c r="D384" s="231">
        <f>(F97-F98+$C$42)*material_flow!$B$110*material_flow!$G$111</f>
        <v>0</v>
      </c>
      <c r="E384" s="84">
        <f>SUM(C384:D384)</f>
        <v>0</v>
      </c>
      <c r="F384" s="84">
        <f>E384+(E383*EXP(-$B$306))</f>
        <v>0</v>
      </c>
      <c r="G384" s="226">
        <f>F383*(1-EXP(-$B$306))</f>
        <v>0</v>
      </c>
      <c r="H384" s="212"/>
      <c r="I384" s="212"/>
      <c r="J384" s="225">
        <f>(M97-M98+(N97-N98)+(Q97-Q98)+(R97-R98)+(S97-S98)+(T97-T98))*material_flow!$B$107*material_flow!$G$108</f>
        <v>0.93596375789051001</v>
      </c>
      <c r="K384" s="84">
        <f>(P97-P98)*material_flow!$B$110*material_flow!$G$111</f>
        <v>2.3711150898355664E-2</v>
      </c>
      <c r="L384" s="225">
        <f>SUM(J384:K384)</f>
        <v>0.95967490878886563</v>
      </c>
      <c r="M384" s="230">
        <f>L384+(L383*EXP(-$B$306))</f>
        <v>0.95967490878886563</v>
      </c>
      <c r="N384" s="230">
        <f>M383*(1-EXP(-$B$306))</f>
        <v>0</v>
      </c>
    </row>
    <row r="385" spans="2:14" s="84" customFormat="1">
      <c r="B385" s="84">
        <v>52</v>
      </c>
      <c r="C385" s="84">
        <f>((C98-C99+(D98-D99)+(G98-G99)+(H98-H99)+(I98-I99)+(J98-J99)+$C$42))*material_flow!$B$107*material_flow!$G$108</f>
        <v>0</v>
      </c>
      <c r="D385" s="231">
        <f>(F98-F99+$C$42)*material_flow!$B$110*material_flow!$G$111</f>
        <v>0</v>
      </c>
      <c r="E385" s="84">
        <f t="shared" ref="E385:E433" si="92">SUM(C385:D385)</f>
        <v>0</v>
      </c>
      <c r="F385" s="84">
        <f t="shared" ref="F385:F399" si="93">E385+(E384*EXP(-$B$306))</f>
        <v>0</v>
      </c>
      <c r="G385" s="226">
        <f>F384*(1-EXP(-$B$306))</f>
        <v>0</v>
      </c>
      <c r="H385" s="212"/>
      <c r="I385" s="212"/>
      <c r="J385" s="225">
        <f>(M98-M99+(N98-N99)+(Q98-Q99)+(R98-R99)+(S98-S99)+(T98-T99))*material_flow!$B$107*material_flow!$G$108</f>
        <v>0.7564390279630796</v>
      </c>
      <c r="K385" s="84">
        <f>(P98-P99)*material_flow!$B$110*material_flow!$G$111</f>
        <v>1.6766315589964793E-2</v>
      </c>
      <c r="L385" s="225">
        <f t="shared" ref="L385:L433" si="94">SUM(J385:K385)</f>
        <v>0.77320534355304438</v>
      </c>
      <c r="M385" s="230">
        <f t="shared" ref="M385:M432" si="95">L385+(L384*EXP(-$B$306))</f>
        <v>1.7045175724457708</v>
      </c>
      <c r="N385" s="230">
        <f t="shared" ref="N385:N433" si="96">M384*(1-EXP(-$B$306))</f>
        <v>2.8362679896139026E-2</v>
      </c>
    </row>
    <row r="386" spans="2:14" s="84" customFormat="1">
      <c r="B386" s="84">
        <v>53</v>
      </c>
      <c r="C386" s="84">
        <f>((C99-C100+(D99-D100)+(G99-G100)+(H99-H100)+(I99-I100)+(J99-J100)+$C$42))*material_flow!$B$107*material_flow!$G$108</f>
        <v>0</v>
      </c>
      <c r="D386" s="231">
        <f>(F99-F100+$C$42)*material_flow!$B$110*material_flow!$G$111</f>
        <v>0</v>
      </c>
      <c r="E386" s="84">
        <f t="shared" si="92"/>
        <v>0</v>
      </c>
      <c r="F386" s="84">
        <f t="shared" si="93"/>
        <v>0</v>
      </c>
      <c r="G386" s="226">
        <f t="shared" si="91"/>
        <v>0</v>
      </c>
      <c r="H386" s="212"/>
      <c r="I386" s="212"/>
      <c r="J386" s="225">
        <f>(M99-M100+(N99-N100)+(Q99-Q100)+(R99-R100)+(S99-S100)+(T99-T100))*material_flow!$B$107*material_flow!$G$108</f>
        <v>0.61861990811770007</v>
      </c>
      <c r="K386" s="84">
        <f>(P99-P100)*material_flow!$B$110*material_flow!$G$111</f>
        <v>1.1855575449177837E-2</v>
      </c>
      <c r="L386" s="225">
        <f t="shared" si="94"/>
        <v>0.63047548356687788</v>
      </c>
      <c r="M386" s="230">
        <f t="shared" si="95"/>
        <v>1.3808291557337697</v>
      </c>
      <c r="N386" s="230">
        <f t="shared" si="96"/>
        <v>5.0376107410826855E-2</v>
      </c>
    </row>
    <row r="387" spans="2:14" s="84" customFormat="1">
      <c r="B387" s="84">
        <v>54</v>
      </c>
      <c r="C387" s="84">
        <f>((C100-C101+(D100-D101)+(G100-G101)+(H100-H101)+(I100-I101)+(J100-J101)+$C$42))*material_flow!$B$107*material_flow!$G$108</f>
        <v>0</v>
      </c>
      <c r="D387" s="231">
        <f>(F100-F101+$C$42)*material_flow!$B$110*material_flow!$G$111</f>
        <v>0</v>
      </c>
      <c r="E387" s="84">
        <f t="shared" si="92"/>
        <v>0</v>
      </c>
      <c r="F387" s="84">
        <f t="shared" si="93"/>
        <v>0</v>
      </c>
      <c r="G387" s="226">
        <f t="shared" si="91"/>
        <v>0</v>
      </c>
      <c r="H387" s="212"/>
      <c r="I387" s="212"/>
      <c r="J387" s="225">
        <f>(M100-M101+(N100-N101)+(Q100-Q101)+(R100-R101)+(S100-S101)+(T100-T101))*material_flow!$B$107*material_flow!$G$108</f>
        <v>0.51227545100992256</v>
      </c>
      <c r="K387" s="84">
        <f>(P100-P101)*material_flow!$B$110*material_flow!$G$111</f>
        <v>8.3831577949823998E-3</v>
      </c>
      <c r="L387" s="225">
        <f t="shared" si="94"/>
        <v>0.520658608804905</v>
      </c>
      <c r="M387" s="230">
        <f t="shared" si="95"/>
        <v>1.1325007258442175</v>
      </c>
      <c r="N387" s="230">
        <f t="shared" si="96"/>
        <v>4.0809668958375504E-2</v>
      </c>
    </row>
    <row r="388" spans="2:14" s="84" customFormat="1">
      <c r="B388" s="84">
        <v>55</v>
      </c>
      <c r="C388" s="84">
        <f>((C101-C102+(D101-D102)+(G101-G102)+(H101-H102)+(I101-I102)+(J101-J102)+$C$42))*material_flow!$B$107*material_flow!$G$108</f>
        <v>0</v>
      </c>
      <c r="D388" s="231">
        <f>(F101-F102+$C$42)*material_flow!$B$110*material_flow!$G$111</f>
        <v>0</v>
      </c>
      <c r="E388" s="84">
        <f t="shared" si="92"/>
        <v>0</v>
      </c>
      <c r="F388" s="84">
        <f t="shared" si="93"/>
        <v>0</v>
      </c>
      <c r="G388" s="226">
        <f t="shared" si="91"/>
        <v>0</v>
      </c>
      <c r="H388" s="212"/>
      <c r="I388" s="212"/>
      <c r="J388" s="225">
        <f>(M101-M102+(N101-N102)+(Q101-Q102)+(R101-R102)+(S101-S102)+(T101-T102))*material_flow!$B$107*material_flow!$G$108</f>
        <v>0.42977039899083208</v>
      </c>
      <c r="K388" s="84">
        <f>(P101-P102)*material_flow!$B$110*material_flow!$G$111</f>
        <v>5.9277877245889187E-3</v>
      </c>
      <c r="L388" s="225">
        <f t="shared" si="94"/>
        <v>0.43569818671542099</v>
      </c>
      <c r="M388" s="230">
        <f t="shared" si="95"/>
        <v>0.94096900813372097</v>
      </c>
      <c r="N388" s="230">
        <f t="shared" si="96"/>
        <v>3.3470454708253092E-2</v>
      </c>
    </row>
    <row r="389" spans="2:14" s="84" customFormat="1">
      <c r="B389" s="84">
        <v>56</v>
      </c>
      <c r="C389" s="84">
        <f>((C102-C103+(D102-D103)+(G102-G103)+(H102-H103)+(I102-I103)+(J102-J103)+$C$42))*material_flow!$B$107*material_flow!$G$108</f>
        <v>0</v>
      </c>
      <c r="D389" s="231">
        <f>(F102-F103+$C$42)*material_flow!$B$110*material_flow!$G$111</f>
        <v>0</v>
      </c>
      <c r="E389" s="84">
        <f t="shared" si="92"/>
        <v>0</v>
      </c>
      <c r="F389" s="84">
        <f t="shared" si="93"/>
        <v>0</v>
      </c>
      <c r="G389" s="226">
        <f t="shared" si="91"/>
        <v>0</v>
      </c>
      <c r="H389" s="212"/>
      <c r="I389" s="212"/>
      <c r="J389" s="225">
        <f>(M102-M103+(N102-N103)+(Q102-Q103)+(R102-R103)+(S102-S103)+(T102-T103))*material_flow!$B$107*material_flow!$G$108</f>
        <v>0.36538733607565793</v>
      </c>
      <c r="K389" s="84">
        <f>(P102-P103)*material_flow!$B$110*material_flow!$G$111</f>
        <v>4.1915788974912016E-3</v>
      </c>
      <c r="L389" s="225">
        <f t="shared" si="94"/>
        <v>0.36957891497314915</v>
      </c>
      <c r="M389" s="230">
        <f t="shared" si="95"/>
        <v>0.79240027424631343</v>
      </c>
      <c r="N389" s="230">
        <f t="shared" si="96"/>
        <v>2.7809836982781614E-2</v>
      </c>
    </row>
    <row r="390" spans="2:14" s="84" customFormat="1">
      <c r="B390" s="84">
        <v>57</v>
      </c>
      <c r="C390" s="84">
        <f>((C103-C104+(D103-D104)+(G103-G104)+(H103-H104)+(I103-I104)+(J103-J104)+$C$42))*material_flow!$B$107*material_flow!$G$108</f>
        <v>0</v>
      </c>
      <c r="D390" s="231">
        <f>(F103-F104+$C$42)*material_flow!$B$110*material_flow!$G$111</f>
        <v>0</v>
      </c>
      <c r="E390" s="84">
        <f t="shared" si="92"/>
        <v>0</v>
      </c>
      <c r="F390" s="84">
        <f t="shared" si="93"/>
        <v>0</v>
      </c>
      <c r="G390" s="226">
        <f t="shared" si="91"/>
        <v>0</v>
      </c>
      <c r="H390" s="212"/>
      <c r="I390" s="212"/>
      <c r="J390" s="225">
        <f>(M103-M104+(N103-N104)+(Q103-Q104)+(R103-R104)+(S103-S104)+(T103-T104))*material_flow!$B$107*material_flow!$G$108</f>
        <v>0.31483038571797561</v>
      </c>
      <c r="K390" s="84">
        <f>(P103-P104)*material_flow!$B$110*material_flow!$G$111</f>
        <v>2.9638938622944611E-3</v>
      </c>
      <c r="L390" s="225">
        <f t="shared" si="94"/>
        <v>0.31779427958027007</v>
      </c>
      <c r="M390" s="230">
        <f t="shared" si="95"/>
        <v>0.67645048690966658</v>
      </c>
      <c r="N390" s="230">
        <f t="shared" si="96"/>
        <v>2.3418967321365607E-2</v>
      </c>
    </row>
    <row r="391" spans="2:14" s="84" customFormat="1">
      <c r="B391" s="84">
        <v>58</v>
      </c>
      <c r="C391" s="84">
        <f>((C104-C105+(D104-D105)+(G104-G105)+(H104-H105)+(I104-I105)+(J104-J105)+$C$42))*material_flow!$B$107*material_flow!$G$108</f>
        <v>0</v>
      </c>
      <c r="D391" s="231">
        <f>(F104-F105+$C$42)*material_flow!$B$110*material_flow!$G$111</f>
        <v>0</v>
      </c>
      <c r="E391" s="84">
        <f t="shared" si="92"/>
        <v>0</v>
      </c>
      <c r="F391" s="84">
        <f t="shared" si="93"/>
        <v>0</v>
      </c>
      <c r="G391" s="226">
        <f t="shared" si="91"/>
        <v>0</v>
      </c>
      <c r="H391" s="212"/>
      <c r="I391" s="212"/>
      <c r="J391" s="225">
        <f>(M104-M105+(N104-N105)+(Q104-Q105)+(R104-R105)+(S104-S105)+(T104-T105))*material_flow!$B$107*material_flow!$G$108</f>
        <v>0.27486078577969142</v>
      </c>
      <c r="K391" s="84">
        <f>(P104-P105)*material_flow!$B$110*material_flow!$G$111</f>
        <v>2.0957894487456008E-3</v>
      </c>
      <c r="L391" s="225">
        <f t="shared" si="94"/>
        <v>0.27695657522843703</v>
      </c>
      <c r="M391" s="230">
        <f t="shared" si="95"/>
        <v>0.58535861443437598</v>
      </c>
      <c r="N391" s="230">
        <f t="shared" si="96"/>
        <v>1.9992133221467066E-2</v>
      </c>
    </row>
    <row r="392" spans="2:14" s="84" customFormat="1">
      <c r="B392" s="84">
        <v>59</v>
      </c>
      <c r="C392" s="84">
        <f>((C105-C106+(D105-D106)+(G105-G106)+(H105-H106)+(I105-I106)+(J105-J106)+$C$42))*material_flow!$B$107*material_flow!$G$108</f>
        <v>0</v>
      </c>
      <c r="D392" s="231">
        <f>(F105-F106+$C$42)*material_flow!$B$110*material_flow!$G$111</f>
        <v>0</v>
      </c>
      <c r="E392" s="84">
        <f t="shared" si="92"/>
        <v>0</v>
      </c>
      <c r="F392" s="84">
        <f t="shared" si="93"/>
        <v>0</v>
      </c>
      <c r="G392" s="226">
        <f t="shared" si="91"/>
        <v>0</v>
      </c>
      <c r="H392" s="212"/>
      <c r="I392" s="212"/>
      <c r="J392" s="225">
        <f>(M105-M106+(N105-N106)+(Q105-Q106)+(R105-R106)+(S105-S106)+(T105-T106))*material_flow!$B$107*material_flow!$G$108</f>
        <v>0.24302849663509582</v>
      </c>
      <c r="K392" s="84">
        <f>(P105-P106)*material_flow!$B$110*material_flow!$G$111</f>
        <v>1.4819469311472305E-3</v>
      </c>
      <c r="L392" s="225">
        <f t="shared" si="94"/>
        <v>0.24451044356624305</v>
      </c>
      <c r="M392" s="230">
        <f t="shared" si="95"/>
        <v>0.51328171498357111</v>
      </c>
      <c r="N392" s="230">
        <f t="shared" si="96"/>
        <v>1.7299961532392515E-2</v>
      </c>
    </row>
    <row r="393" spans="2:14" s="84" customFormat="1">
      <c r="B393" s="84">
        <v>60</v>
      </c>
      <c r="C393" s="84">
        <f>((C106-C107+(D106-D107)+(G106-G107)+(H106-H107)+(I106-I107)+(J106-J107)+$C$42))*material_flow!$B$107*material_flow!$G$108</f>
        <v>0</v>
      </c>
      <c r="D393" s="231">
        <f>(F106-F107+$C$42)*material_flow!$B$110*material_flow!$G$111</f>
        <v>0</v>
      </c>
      <c r="E393" s="84">
        <f t="shared" si="92"/>
        <v>0</v>
      </c>
      <c r="F393" s="84">
        <f t="shared" si="93"/>
        <v>0</v>
      </c>
      <c r="G393" s="226">
        <f t="shared" si="91"/>
        <v>0</v>
      </c>
      <c r="H393" s="212"/>
      <c r="I393" s="212"/>
      <c r="J393" s="225">
        <f>(M106-M107+(N106-N107)+(Q106-Q107)+(R106-R107)+(S106-S107)+(T106-T107))*material_flow!$B$107*material_flow!$G$108</f>
        <v>0.21747392294349849</v>
      </c>
      <c r="K393" s="84">
        <f>(P106-P107)*material_flow!$B$110*material_flow!$G$111</f>
        <v>1.0478947243728004E-3</v>
      </c>
      <c r="L393" s="225">
        <f t="shared" si="94"/>
        <v>0.21852181766787129</v>
      </c>
      <c r="M393" s="230">
        <f t="shared" si="95"/>
        <v>0.45580588553269641</v>
      </c>
      <c r="N393" s="230">
        <f t="shared" si="96"/>
        <v>1.5169767225646152E-2</v>
      </c>
    </row>
    <row r="394" spans="2:14" s="84" customFormat="1">
      <c r="B394" s="84">
        <v>61</v>
      </c>
      <c r="C394" s="84">
        <f>((C107-C108+(D107-D108)+(G107-G108)+(H107-H108)+(I107-I108)+(J107-J108)+$C$42))*material_flow!$B$107*material_flow!$G$108</f>
        <v>0</v>
      </c>
      <c r="D394" s="231">
        <f>(F107-F108+$C$42)*material_flow!$B$110*material_flow!$G$111</f>
        <v>0</v>
      </c>
      <c r="E394" s="84">
        <f t="shared" si="92"/>
        <v>0</v>
      </c>
      <c r="F394" s="84">
        <f t="shared" si="93"/>
        <v>0</v>
      </c>
      <c r="G394" s="226">
        <f t="shared" si="91"/>
        <v>0</v>
      </c>
      <c r="H394" s="212"/>
      <c r="I394" s="212"/>
      <c r="J394" s="225">
        <f>(M107-M108+(N107-N108)+(Q107-Q108)+(R107-R108)+(S107-S108)+(T107-T108))*material_flow!$B$107*material_flow!$G$108</f>
        <v>0.19678096576622428</v>
      </c>
      <c r="K394" s="84">
        <f>(P107-P108)*material_flow!$B$110*material_flow!$G$111</f>
        <v>7.4097346557361527E-4</v>
      </c>
      <c r="L394" s="225">
        <f t="shared" si="94"/>
        <v>0.19752193923179789</v>
      </c>
      <c r="M394" s="230">
        <f t="shared" si="95"/>
        <v>0.40958546117048505</v>
      </c>
      <c r="N394" s="230">
        <f t="shared" si="96"/>
        <v>1.3471099752368609E-2</v>
      </c>
    </row>
    <row r="395" spans="2:14" s="84" customFormat="1">
      <c r="B395" s="84">
        <v>62</v>
      </c>
      <c r="C395" s="84">
        <f>((C108-C109+(D108-D109)+(G108-G109)+(H108-H109)+(I108-I109)+(J108-J109)+$C$42))*material_flow!$B$107*material_flow!$G$108</f>
        <v>0</v>
      </c>
      <c r="D395" s="231">
        <f>(F108-F109+$C$42)*material_flow!$B$110*material_flow!$G$111</f>
        <v>0</v>
      </c>
      <c r="E395" s="84">
        <f t="shared" si="92"/>
        <v>0</v>
      </c>
      <c r="F395" s="84">
        <f t="shared" si="93"/>
        <v>0</v>
      </c>
      <c r="G395" s="226">
        <f t="shared" si="91"/>
        <v>0</v>
      </c>
      <c r="H395" s="212"/>
      <c r="I395" s="212"/>
      <c r="J395" s="225">
        <f>(M108-M109+(N108-N109)+(Q108-Q109)+(R108-R109)+(S108-S109)+(T108-T109))*material_flow!$B$107*material_flow!$G$108</f>
        <v>0.1798677616854554</v>
      </c>
      <c r="K395" s="84">
        <f>(P108-P109)*material_flow!$B$110*material_flow!$G$111</f>
        <v>5.239473621864002E-4</v>
      </c>
      <c r="L395" s="225">
        <f t="shared" si="94"/>
        <v>0.18039170904764179</v>
      </c>
      <c r="M395" s="230">
        <f t="shared" si="95"/>
        <v>0.37207599275297987</v>
      </c>
      <c r="N395" s="230">
        <f t="shared" si="96"/>
        <v>1.2105079771181916E-2</v>
      </c>
    </row>
    <row r="396" spans="2:14" s="84" customFormat="1">
      <c r="B396" s="84">
        <v>63</v>
      </c>
      <c r="C396" s="84">
        <f>((C109-C110+(D109-D110)+(G109-G110)+(H109-H110)+(I109-I110)+(J109-J110)+$C$42))*material_flow!$B$107*material_flow!$G$108</f>
        <v>0</v>
      </c>
      <c r="D396" s="231">
        <f>(F109-F110+$C$42)*material_flow!$B$110*material_flow!$G$111</f>
        <v>0</v>
      </c>
      <c r="E396" s="84">
        <f t="shared" si="92"/>
        <v>0</v>
      </c>
      <c r="F396" s="84">
        <f t="shared" si="93"/>
        <v>0</v>
      </c>
      <c r="G396" s="226">
        <f t="shared" si="91"/>
        <v>0</v>
      </c>
      <c r="H396" s="212"/>
      <c r="I396" s="212"/>
      <c r="J396" s="225">
        <f>(M109-M110+(N109-N110)+(Q109-Q110)+(R109-R110)+(S109-S110)+(T109-T110))*material_flow!$B$107*material_flow!$G$108</f>
        <v>0.16590517468060967</v>
      </c>
      <c r="K396" s="84">
        <f>(P109-P110)*material_flow!$B$110*material_flow!$G$111</f>
        <v>3.7048673278680764E-4</v>
      </c>
      <c r="L396" s="225">
        <f t="shared" si="94"/>
        <v>0.16627566141339647</v>
      </c>
      <c r="M396" s="230">
        <f t="shared" si="95"/>
        <v>0.34133598974786244</v>
      </c>
      <c r="N396" s="230">
        <f t="shared" si="96"/>
        <v>1.0996507445223467E-2</v>
      </c>
    </row>
    <row r="397" spans="2:14" s="84" customFormat="1">
      <c r="B397" s="84">
        <v>64</v>
      </c>
      <c r="C397" s="84">
        <f>((C110-C111+(D110-D111)+(G110-G111)+(H110-H111)+(I110-I111)+(J110-J111)+$C$42))*material_flow!$B$107*material_flow!$G$108</f>
        <v>0</v>
      </c>
      <c r="D397" s="231">
        <f>(F110-F111+$C$42)*material_flow!$B$110*material_flow!$G$111</f>
        <v>0</v>
      </c>
      <c r="E397" s="84">
        <f t="shared" si="92"/>
        <v>0</v>
      </c>
      <c r="F397" s="84">
        <f t="shared" si="93"/>
        <v>0</v>
      </c>
      <c r="G397" s="226">
        <f t="shared" si="91"/>
        <v>0</v>
      </c>
      <c r="H397" s="212"/>
      <c r="I397" s="212"/>
      <c r="J397" s="225">
        <f>(M110-M111+(N110-N111)+(Q110-Q111)+(R110-R111)+(S110-S111)+(T110-T111))*material_flow!$B$107*material_flow!$G$108</f>
        <v>0.15425578844248677</v>
      </c>
      <c r="K397" s="84">
        <f>(P110-P111)*material_flow!$B$110*material_flow!$G$111</f>
        <v>2.619736810932001E-4</v>
      </c>
      <c r="L397" s="225">
        <f t="shared" si="94"/>
        <v>0.15451776212357998</v>
      </c>
      <c r="M397" s="230">
        <f t="shared" si="95"/>
        <v>0.31587923508003463</v>
      </c>
      <c r="N397" s="230">
        <f t="shared" si="96"/>
        <v>1.0088003057689966E-2</v>
      </c>
    </row>
    <row r="398" spans="2:14" s="84" customFormat="1">
      <c r="B398" s="84">
        <v>65</v>
      </c>
      <c r="C398" s="84">
        <f>((C111-C112+(D111-D112)+(G111-G112)+(H111-H112)+(I111-I112)+(J111-J112)+$C$42))*material_flow!$B$107*material_flow!$G$108</f>
        <v>0</v>
      </c>
      <c r="D398" s="231">
        <f>(F111-F112+$C$42)*material_flow!$B$110*material_flow!$G$111</f>
        <v>0</v>
      </c>
      <c r="E398" s="84">
        <f t="shared" si="92"/>
        <v>0</v>
      </c>
      <c r="F398" s="84">
        <f t="shared" si="93"/>
        <v>0</v>
      </c>
      <c r="G398" s="226">
        <f t="shared" si="91"/>
        <v>0</v>
      </c>
      <c r="H398" s="212"/>
      <c r="I398" s="212"/>
      <c r="J398" s="225">
        <f>(M111-M112+(N111-N112)+(Q111-Q112)+(R111-R112)+(S111-S112)+(T111-T112))*material_flow!$B$107*material_flow!$G$108</f>
        <v>0.14442809019636918</v>
      </c>
      <c r="K398" s="84">
        <f>(P111-P112)*material_flow!$B$110*material_flow!$G$111</f>
        <v>1.8524336639340382E-4</v>
      </c>
      <c r="L398" s="225">
        <f t="shared" si="94"/>
        <v>0.1446133335627626</v>
      </c>
      <c r="M398" s="230">
        <f t="shared" si="95"/>
        <v>0.29456440566950165</v>
      </c>
      <c r="N398" s="230">
        <f t="shared" si="96"/>
        <v>9.3356422558957888E-3</v>
      </c>
    </row>
    <row r="399" spans="2:14" s="84" customFormat="1">
      <c r="B399" s="84">
        <v>66</v>
      </c>
      <c r="C399" s="84">
        <f>((C112-C113+(D112-D113)+(G112-G113)+(H112-H113)+(I112-I113)+(J112-J113)+$C$42))*material_flow!$B$107*material_flow!$G$108</f>
        <v>0</v>
      </c>
      <c r="D399" s="231">
        <f>(F112-F113+$C$42)*material_flow!$B$110*material_flow!$G$111</f>
        <v>0</v>
      </c>
      <c r="E399" s="84">
        <f t="shared" si="92"/>
        <v>0</v>
      </c>
      <c r="F399" s="84">
        <f t="shared" si="93"/>
        <v>0</v>
      </c>
      <c r="G399" s="226">
        <f t="shared" si="91"/>
        <v>0</v>
      </c>
      <c r="H399" s="212"/>
      <c r="I399" s="212"/>
      <c r="J399" s="225">
        <f>(M112-M113+(N112-N113)+(Q112-Q113)+(R112-R113)+(S112-S113)+(T112-T113))*material_flow!$B$107*material_flow!$G$108</f>
        <v>0.13604194858139546</v>
      </c>
      <c r="K399" s="84">
        <f>(P112-P113)*material_flow!$B$110*material_flow!$G$111</f>
        <v>1.3098684054660005E-4</v>
      </c>
      <c r="L399" s="225">
        <f t="shared" si="94"/>
        <v>0.13617293542194206</v>
      </c>
      <c r="M399" s="230">
        <f t="shared" si="95"/>
        <v>0.2765122990694856</v>
      </c>
      <c r="N399" s="230">
        <f t="shared" si="96"/>
        <v>8.705693845162921E-3</v>
      </c>
    </row>
    <row r="400" spans="2:14" s="84" customFormat="1">
      <c r="B400" s="84">
        <v>67</v>
      </c>
      <c r="C400" s="84">
        <f>((C113-C114+(D113-D114)+(G113-G114)+(H113-H114)+(I113-I114)+(J113-J114)+$C$42))*material_flow!$B$107*material_flow!$G$108</f>
        <v>0</v>
      </c>
      <c r="D400" s="231">
        <f>(F113-F114+$C$42)*material_flow!$B$110*material_flow!$G$111</f>
        <v>0</v>
      </c>
      <c r="E400" s="84">
        <f t="shared" si="92"/>
        <v>0</v>
      </c>
      <c r="F400" s="84">
        <f t="shared" ref="F400:F433" si="97">E400+(E399*EXP(-$B$306))</f>
        <v>0</v>
      </c>
      <c r="G400" s="226">
        <f t="shared" ref="G400:G433" si="98">F399*(1-EXP(-$B$306))</f>
        <v>0</v>
      </c>
      <c r="H400" s="212"/>
      <c r="I400" s="212"/>
      <c r="J400" s="225">
        <f>(M113-M114+(N113-N114)+(Q113-Q114)+(R113-R114)+(S113-S114)+(T113-T114))*material_flow!$B$107*material_flow!$G$108</f>
        <v>0.12880251579590676</v>
      </c>
      <c r="K400" s="84">
        <f>(P113-P114)*material_flow!$B$110*material_flow!$G$111</f>
        <v>9.2621683196701909E-5</v>
      </c>
      <c r="L400" s="225">
        <f t="shared" si="94"/>
        <v>0.12889513747910347</v>
      </c>
      <c r="M400" s="230">
        <f t="shared" si="95"/>
        <v>0.26104355444951655</v>
      </c>
      <c r="N400" s="230">
        <f t="shared" si="96"/>
        <v>8.1721734662739912E-3</v>
      </c>
    </row>
    <row r="401" spans="2:14" s="84" customFormat="1">
      <c r="B401" s="84">
        <v>68</v>
      </c>
      <c r="C401" s="84">
        <f>((C114-C115+(D114-D115)+(G114-G115)+(H114-H115)+(I114-I115)+(J114-J115)+$C$42))*material_flow!$B$107*material_flow!$G$108</f>
        <v>0</v>
      </c>
      <c r="D401" s="231">
        <f>(F114-F115+$C$42)*material_flow!$B$110*material_flow!$G$111</f>
        <v>0</v>
      </c>
      <c r="E401" s="84">
        <f t="shared" si="92"/>
        <v>0</v>
      </c>
      <c r="F401" s="84">
        <f t="shared" si="97"/>
        <v>0</v>
      </c>
      <c r="G401" s="226">
        <f t="shared" si="98"/>
        <v>0</v>
      </c>
      <c r="H401" s="213"/>
      <c r="I401" s="213"/>
      <c r="J401" s="225">
        <f>(M114-M115+(N114-N115)+(Q114-Q115)+(R114-R115)+(S114-S115)+(T114-T115))*material_flow!$B$107*material_flow!$G$108</f>
        <v>0.12248043437751754</v>
      </c>
      <c r="K401" s="84">
        <f>(P114-P115)*material_flow!$B$110*material_flow!$G$111</f>
        <v>6.5493420273300026E-5</v>
      </c>
      <c r="L401" s="225">
        <f t="shared" si="94"/>
        <v>0.12254592779779085</v>
      </c>
      <c r="M401" s="230">
        <f t="shared" si="95"/>
        <v>0.24763163826050771</v>
      </c>
      <c r="N401" s="230">
        <f t="shared" si="96"/>
        <v>7.7150029723564214E-3</v>
      </c>
    </row>
    <row r="402" spans="2:14">
      <c r="B402" s="84">
        <v>69</v>
      </c>
      <c r="C402" s="84">
        <f>((C115-C116+(D115-D116)+(G115-G116)+(H115-H116)+(I115-I116)+(J115-J116)+$C$42))*material_flow!$B$107*material_flow!$G$108</f>
        <v>0</v>
      </c>
      <c r="D402" s="231">
        <f>(F115-F116+$C$42)*material_flow!$B$110*material_flow!$G$111</f>
        <v>0</v>
      </c>
      <c r="E402" s="84">
        <f t="shared" si="92"/>
        <v>0</v>
      </c>
      <c r="F402" s="84">
        <f t="shared" si="97"/>
        <v>0</v>
      </c>
      <c r="G402" s="226">
        <f t="shared" si="98"/>
        <v>0</v>
      </c>
      <c r="J402" s="225">
        <f>(M115-M116+(N115-N116)+(Q115-Q116)+(R115-R116)+(S115-S116)+(T115-T116))*material_flow!$B$107*material_flow!$G$108</f>
        <v>0.11689677807483752</v>
      </c>
      <c r="K402" s="84">
        <f>(P115-P116)*material_flow!$B$110*material_flow!$G$111</f>
        <v>4.6310841598350955E-5</v>
      </c>
      <c r="L402" s="225">
        <f t="shared" si="94"/>
        <v>0.11694308891643587</v>
      </c>
      <c r="M402" s="230">
        <f t="shared" si="95"/>
        <v>0.23586723720235997</v>
      </c>
      <c r="N402" s="230">
        <f t="shared" si="96"/>
        <v>7.3186209452981398E-3</v>
      </c>
    </row>
    <row r="403" spans="2:14">
      <c r="B403" s="84">
        <v>70</v>
      </c>
      <c r="C403" s="84">
        <f>((C116-C117+(D116-D117)+(G116-G117)+(H116-H117)+(I116-I117)+(J116-J117)+$C$42))*material_flow!$B$107*material_flow!$G$108</f>
        <v>0</v>
      </c>
      <c r="D403" s="231">
        <f>(F116-F117+$C$42)*material_flow!$B$110*material_flow!$G$111</f>
        <v>0</v>
      </c>
      <c r="E403" s="84">
        <f t="shared" si="92"/>
        <v>0</v>
      </c>
      <c r="F403" s="84">
        <f t="shared" si="97"/>
        <v>0</v>
      </c>
      <c r="G403" s="226">
        <f t="shared" si="98"/>
        <v>0</v>
      </c>
      <c r="J403" s="225">
        <f>(M116-M117+(N116-N117)+(Q116-Q117)+(R116-R117)+(S116-S117)+(T116-T117))*material_flow!$B$107*material_flow!$G$108</f>
        <v>0.11191155933081764</v>
      </c>
      <c r="K403" s="84">
        <f>(P116-P117)*material_flow!$B$110*material_flow!$G$111</f>
        <v>3.2746710136650013E-5</v>
      </c>
      <c r="L403" s="225">
        <f t="shared" si="94"/>
        <v>0.11194430604095429</v>
      </c>
      <c r="M403" s="230">
        <f t="shared" si="95"/>
        <v>0.22543120435927555</v>
      </c>
      <c r="N403" s="230">
        <f t="shared" si="96"/>
        <v>6.9709303489032173E-3</v>
      </c>
    </row>
    <row r="404" spans="2:14" s="179" customFormat="1">
      <c r="B404" s="111">
        <v>71</v>
      </c>
      <c r="C404" s="111">
        <f>((C117-C118+(D117-D118)+(G117-G118)+(H117-H118)+(I117-I118)+(J117-J118)+$C$42))*material_flow!$B$107*material_flow!$G$108</f>
        <v>0</v>
      </c>
      <c r="D404" s="232">
        <f>(F117-F118+$C$42)*material_flow!$B$110*material_flow!$G$111</f>
        <v>0</v>
      </c>
      <c r="E404" s="111">
        <f t="shared" si="92"/>
        <v>0</v>
      </c>
      <c r="F404" s="111">
        <f t="shared" si="97"/>
        <v>0</v>
      </c>
      <c r="G404" s="227">
        <f t="shared" si="98"/>
        <v>0</v>
      </c>
      <c r="J404" s="222">
        <f>J403</f>
        <v>0.11191155933081764</v>
      </c>
      <c r="K404" s="111">
        <f>K403</f>
        <v>3.2746710136650013E-5</v>
      </c>
      <c r="L404" s="222">
        <f t="shared" si="94"/>
        <v>0.11194430604095429</v>
      </c>
      <c r="M404" s="234">
        <f t="shared" si="95"/>
        <v>0.22058015784458568</v>
      </c>
      <c r="N404" s="234">
        <f t="shared" si="96"/>
        <v>6.6624989663556112E-3</v>
      </c>
    </row>
    <row r="405" spans="2:14">
      <c r="B405" s="84">
        <v>72</v>
      </c>
      <c r="C405" s="84">
        <f>((C118-C119+(D118-D119)+(G118-G119)+(H118-H119)+(I118-I119)+(J118-J119)+$C$42))*material_flow!$B$107*material_flow!$G$108</f>
        <v>0</v>
      </c>
      <c r="D405" s="231">
        <f>(F118-F119+$C$42)*material_flow!$B$110*material_flow!$G$111</f>
        <v>0</v>
      </c>
      <c r="E405" s="84">
        <f t="shared" si="92"/>
        <v>0</v>
      </c>
      <c r="F405" s="84">
        <f t="shared" si="97"/>
        <v>0</v>
      </c>
      <c r="G405" s="226">
        <f t="shared" si="98"/>
        <v>0</v>
      </c>
      <c r="J405" s="225">
        <f>(M118-M119+(N118-N119)+(Q118-Q119)+(R118-R119)+(S118-S119)+(T118-T119))*material_flow!$B$107*material_flow!$G$108</f>
        <v>0.1033204423005296</v>
      </c>
      <c r="K405" s="84">
        <f>(P118-P119)*material_flow!$B$110*material_flow!$G$111</f>
        <v>1.6373355068325006E-5</v>
      </c>
      <c r="L405" s="225">
        <f t="shared" si="94"/>
        <v>0.10333681565559792</v>
      </c>
      <c r="M405" s="230">
        <f t="shared" si="95"/>
        <v>0.2119726674592293</v>
      </c>
      <c r="N405" s="230">
        <f t="shared" si="96"/>
        <v>6.5191288748825829E-3</v>
      </c>
    </row>
    <row r="406" spans="2:14">
      <c r="B406" s="84">
        <v>73</v>
      </c>
      <c r="C406" s="84">
        <f>((C119-C120+(D119-D120)+(G119-G120)+(H119-H120)+(I119-I120)+(J119-J120)+$C$42))*material_flow!$B$107*material_flow!$G$108</f>
        <v>0</v>
      </c>
      <c r="D406" s="231">
        <f>(F119-F120+$C$42)*material_flow!$B$110*material_flow!$G$111</f>
        <v>0</v>
      </c>
      <c r="E406" s="84">
        <f t="shared" si="92"/>
        <v>0</v>
      </c>
      <c r="F406" s="84">
        <f t="shared" si="97"/>
        <v>0</v>
      </c>
      <c r="G406" s="226">
        <f t="shared" si="98"/>
        <v>0</v>
      </c>
      <c r="J406" s="225">
        <f>(M119-M120+(N119-N120)+(Q119-Q120)+(R119-R120)+(S119-S120)+(T119-T120))*material_flow!$B$107*material_flow!$G$108</f>
        <v>9.9559825106157879E-2</v>
      </c>
      <c r="K406" s="84">
        <f>(P119-P120)*material_flow!$B$110*material_flow!$G$111</f>
        <v>1.1577710399587739E-5</v>
      </c>
      <c r="L406" s="225">
        <f t="shared" si="94"/>
        <v>9.9571402816557464E-2</v>
      </c>
      <c r="M406" s="230">
        <f t="shared" si="95"/>
        <v>0.19985415402065804</v>
      </c>
      <c r="N406" s="230">
        <f t="shared" si="96"/>
        <v>6.2647390890570292E-3</v>
      </c>
    </row>
    <row r="407" spans="2:14">
      <c r="B407" s="84">
        <v>74</v>
      </c>
      <c r="C407" s="84">
        <f>((C120-C121+(D120-D121)+(G120-G121)+(H120-H121)+(I120-I121)+(J120-J121)+$C$42))*material_flow!$B$107*material_flow!$G$108</f>
        <v>0</v>
      </c>
      <c r="D407" s="231">
        <f>(F120-F121+$C$42)*material_flow!$B$110*material_flow!$G$111</f>
        <v>0</v>
      </c>
      <c r="E407" s="84">
        <f t="shared" si="92"/>
        <v>0</v>
      </c>
      <c r="F407" s="84">
        <f t="shared" si="97"/>
        <v>0</v>
      </c>
      <c r="G407" s="226">
        <f t="shared" si="98"/>
        <v>0</v>
      </c>
      <c r="J407" s="225">
        <f>(M120-M121+(N120-N121)+(Q120-Q121)+(R120-R121)+(S120-S121)+(T120-T121))*material_flow!$B$107*material_flow!$G$108</f>
        <v>9.6078999898300405E-2</v>
      </c>
      <c r="K407" s="84">
        <f>(P120-P121)*material_flow!$B$110*material_flow!$G$111</f>
        <v>8.1866775341625032E-6</v>
      </c>
      <c r="L407" s="225">
        <f t="shared" si="94"/>
        <v>9.6087186575834566E-2</v>
      </c>
      <c r="M407" s="230">
        <f t="shared" si="95"/>
        <v>0.19271580970832208</v>
      </c>
      <c r="N407" s="230">
        <f t="shared" si="96"/>
        <v>5.906582890194822E-3</v>
      </c>
    </row>
    <row r="408" spans="2:14">
      <c r="B408" s="84">
        <v>75</v>
      </c>
      <c r="C408" s="84">
        <f>((C121-C122+(D121-D122)+(G121-G122)+(H121-H122)+(I121-I122)+(J121-J122)+$C$42))*material_flow!$B$107*material_flow!$G$108</f>
        <v>0</v>
      </c>
      <c r="D408" s="231">
        <f>(F121-F122+$C$42)*material_flow!$B$110*material_flow!$G$111</f>
        <v>0</v>
      </c>
      <c r="E408" s="84">
        <f t="shared" si="92"/>
        <v>0</v>
      </c>
      <c r="F408" s="84">
        <f t="shared" si="97"/>
        <v>0</v>
      </c>
      <c r="G408" s="226">
        <f t="shared" si="98"/>
        <v>0</v>
      </c>
      <c r="J408" s="225">
        <f>(M121-M122+(N121-N122)+(Q121-Q122)+(R121-R122)+(S121-S122)+(T121-T122))*material_flow!$B$107*material_flow!$G$108</f>
        <v>9.2834965035251155E-2</v>
      </c>
      <c r="K408" s="84">
        <f>(P121-P122)*material_flow!$B$110*material_flow!$G$111</f>
        <v>5.7888551997938693E-6</v>
      </c>
      <c r="L408" s="225">
        <f t="shared" si="94"/>
        <v>9.2840753890450947E-2</v>
      </c>
      <c r="M408" s="230">
        <f t="shared" si="95"/>
        <v>0.18608813493421178</v>
      </c>
      <c r="N408" s="230">
        <f t="shared" si="96"/>
        <v>5.6956129326966917E-3</v>
      </c>
    </row>
    <row r="409" spans="2:14">
      <c r="B409" s="84">
        <v>76</v>
      </c>
      <c r="C409" s="84">
        <f>((C122-C123+(D122-D123)+(G122-G123)+(H122-H123)+(I122-I123)+(J122-J123)+$C$42))*material_flow!$B$107*material_flow!$G$108</f>
        <v>0</v>
      </c>
      <c r="D409" s="231">
        <f>(F122-F123+$C$42)*material_flow!$B$110*material_flow!$G$111</f>
        <v>0</v>
      </c>
      <c r="E409" s="84">
        <f t="shared" si="92"/>
        <v>0</v>
      </c>
      <c r="F409" s="84">
        <f t="shared" si="97"/>
        <v>0</v>
      </c>
      <c r="G409" s="226">
        <f t="shared" si="98"/>
        <v>0</v>
      </c>
      <c r="J409" s="225">
        <f>(M122-M123+(N122-N123)+(Q122-Q123)+(R122-R123)+(S122-S123)+(T122-T123))*material_flow!$B$107*material_flow!$G$108</f>
        <v>8.9793392863749988E-2</v>
      </c>
      <c r="K409" s="84">
        <f>(P122-P123)*material_flow!$B$110*material_flow!$G$111</f>
        <v>4.0933387670812516E-6</v>
      </c>
      <c r="L409" s="225">
        <f t="shared" si="94"/>
        <v>8.9797486202517068E-2</v>
      </c>
      <c r="M409" s="230">
        <f t="shared" si="95"/>
        <v>0.17989438114678147</v>
      </c>
      <c r="N409" s="230">
        <f t="shared" si="96"/>
        <v>5.4997355409338493E-3</v>
      </c>
    </row>
    <row r="410" spans="2:14">
      <c r="B410" s="84">
        <v>77</v>
      </c>
      <c r="C410" s="84">
        <f>((C123-C124+(D123-D124)+(G123-G124)+(H123-H124)+(I123-I124)+(J123-J124)+$C$42))*material_flow!$B$107*material_flow!$G$108</f>
        <v>0</v>
      </c>
      <c r="D410" s="231">
        <f>(F123-F124+$C$42)*material_flow!$B$110*material_flow!$G$111</f>
        <v>0</v>
      </c>
      <c r="E410" s="84">
        <f t="shared" si="92"/>
        <v>0</v>
      </c>
      <c r="F410" s="84">
        <f t="shared" si="97"/>
        <v>0</v>
      </c>
      <c r="G410" s="226">
        <f t="shared" si="98"/>
        <v>0</v>
      </c>
      <c r="J410" s="225">
        <f>(M123-M124+(N123-N124)+(Q123-Q124)+(R123-R124)+(S123-S124)+(T123-T124))*material_flow!$B$107*material_flow!$G$108</f>
        <v>8.6926760485508528E-2</v>
      </c>
      <c r="K410" s="84">
        <f>(P123-P124)*material_flow!$B$110*material_flow!$G$111</f>
        <v>2.8944275998969347E-6</v>
      </c>
      <c r="L410" s="225">
        <f t="shared" si="94"/>
        <v>8.6929654913108431E-2</v>
      </c>
      <c r="M410" s="230">
        <f t="shared" si="95"/>
        <v>0.17407322432222491</v>
      </c>
      <c r="N410" s="230">
        <f t="shared" si="96"/>
        <v>5.3166824524144398E-3</v>
      </c>
    </row>
    <row r="411" spans="2:14">
      <c r="B411" s="84">
        <v>78</v>
      </c>
      <c r="C411" s="84">
        <f>((C124-C125+(D124-D125)+(G124-G125)+(H124-H125)+(I124-I125)+(J124-J125)+$C$42))*material_flow!$B$107*material_flow!$G$108</f>
        <v>0</v>
      </c>
      <c r="D411" s="231">
        <f>(F124-F125+$C$42)*material_flow!$B$110*material_flow!$G$111</f>
        <v>0</v>
      </c>
      <c r="E411" s="84">
        <f t="shared" si="92"/>
        <v>0</v>
      </c>
      <c r="F411" s="84">
        <f t="shared" si="97"/>
        <v>0</v>
      </c>
      <c r="G411" s="226">
        <f t="shared" si="98"/>
        <v>0</v>
      </c>
      <c r="J411" s="225">
        <f>(M124-M125+(N124-N125)+(Q124-Q125)+(R124-R125)+(S124-S125)+(T124-T125))*material_flow!$B$107*material_flow!$G$108</f>
        <v>8.4212894286308543E-2</v>
      </c>
      <c r="K411" s="84">
        <f>(P124-P125)*material_flow!$B$110*material_flow!$G$111</f>
        <v>2.0466693835406258E-6</v>
      </c>
      <c r="L411" s="225">
        <f t="shared" si="94"/>
        <v>8.4214940955692083E-2</v>
      </c>
      <c r="M411" s="230">
        <f t="shared" si="95"/>
        <v>0.16857543629903127</v>
      </c>
      <c r="N411" s="230">
        <f t="shared" si="96"/>
        <v>5.1446412683342109E-3</v>
      </c>
    </row>
    <row r="412" spans="2:14">
      <c r="B412" s="84">
        <v>79</v>
      </c>
      <c r="C412" s="84">
        <f>((C125-C126+(D125-D126)+(G125-G126)+(H125-H126)+(I125-I126)+(J125-J126)+$C$42))*material_flow!$B$107*material_flow!$G$108</f>
        <v>0</v>
      </c>
      <c r="D412" s="231">
        <f>(F125-F126+$C$42)*material_flow!$B$110*material_flow!$G$111</f>
        <v>0</v>
      </c>
      <c r="E412" s="84">
        <f t="shared" si="92"/>
        <v>0</v>
      </c>
      <c r="F412" s="84">
        <f t="shared" si="97"/>
        <v>0</v>
      </c>
      <c r="G412" s="226">
        <f t="shared" si="98"/>
        <v>0</v>
      </c>
      <c r="J412" s="225">
        <f>(M125-M126+(N125-N126)+(Q125-Q126)+(R125-R126)+(S125-S126)+(T125-T126))*material_flow!$B$107*material_flow!$G$108</f>
        <v>8.1633834457062932E-2</v>
      </c>
      <c r="K412" s="84">
        <f>(P125-P126)*material_flow!$B$110*material_flow!$G$111</f>
        <v>1.4472137999484673E-6</v>
      </c>
      <c r="L412" s="225">
        <f t="shared" si="94"/>
        <v>8.1635281670862883E-2</v>
      </c>
      <c r="M412" s="230">
        <f t="shared" si="95"/>
        <v>0.16336129497936558</v>
      </c>
      <c r="N412" s="230">
        <f t="shared" si="96"/>
        <v>4.9821570766453204E-3</v>
      </c>
    </row>
    <row r="413" spans="2:14">
      <c r="B413" s="84">
        <v>80</v>
      </c>
      <c r="C413" s="84">
        <f>((C126-C127+(D126-D127)+(G126-G127)+(H126-H127)+(I126-I127)+(J126-J127)+$C$42))*material_flow!$B$107*material_flow!$G$108</f>
        <v>0</v>
      </c>
      <c r="D413" s="231">
        <f>(F126-F127+$C$42)*material_flow!$B$110*material_flow!$G$111</f>
        <v>0</v>
      </c>
      <c r="E413" s="84">
        <f t="shared" si="92"/>
        <v>0</v>
      </c>
      <c r="F413" s="84">
        <f t="shared" si="97"/>
        <v>0</v>
      </c>
      <c r="G413" s="226">
        <f t="shared" si="98"/>
        <v>0</v>
      </c>
      <c r="J413" s="225">
        <f>(M126-M127+(N126-N127)+(Q126-Q127)+(R126-R127)+(S126-S127)+(T126-T127))*material_flow!$B$107*material_flow!$G$108</f>
        <v>7.9174947550868888E-2</v>
      </c>
      <c r="K413" s="84">
        <f>(P126-P127)*material_flow!$B$110*material_flow!$G$111</f>
        <v>1.0233346917703129E-6</v>
      </c>
      <c r="L413" s="225">
        <f t="shared" si="94"/>
        <v>7.9175970885560665E-2</v>
      </c>
      <c r="M413" s="230">
        <f t="shared" si="95"/>
        <v>0.15839856536302394</v>
      </c>
      <c r="N413" s="230">
        <f t="shared" si="96"/>
        <v>4.8280559119399232E-3</v>
      </c>
    </row>
    <row r="414" spans="2:14">
      <c r="B414" s="84">
        <v>81</v>
      </c>
      <c r="C414" s="84">
        <f>((C127-C128+(D127-D128)+(G127-G128)+(H127-H128)+(I127-I128)+(J127-J128)+$C$42))*material_flow!$B$107*material_flow!$G$108</f>
        <v>0</v>
      </c>
      <c r="D414" s="231">
        <f>(F127-F128+$C$42)*material_flow!$B$110*material_flow!$G$111</f>
        <v>0</v>
      </c>
      <c r="E414" s="84">
        <f t="shared" si="92"/>
        <v>0</v>
      </c>
      <c r="F414" s="84">
        <f t="shared" si="97"/>
        <v>0</v>
      </c>
      <c r="G414" s="226">
        <f t="shared" si="98"/>
        <v>0</v>
      </c>
      <c r="J414" s="225">
        <f>(M127-M128+(N127-N128)+(Q127-Q128)+(R127-R128)+(S127-S128)+(T127-T128))*material_flow!$B$107*material_flow!$G$108</f>
        <v>7.6824231710775112E-2</v>
      </c>
      <c r="K414" s="84">
        <f>(P127-P128)*material_flow!$B$110*material_flow!$G$111</f>
        <v>7.2360689997423366E-7</v>
      </c>
      <c r="L414" s="225">
        <f t="shared" si="94"/>
        <v>7.6824955317675081E-2</v>
      </c>
      <c r="M414" s="230">
        <f t="shared" si="95"/>
        <v>0.15366092262793415</v>
      </c>
      <c r="N414" s="230">
        <f t="shared" si="96"/>
        <v>4.681385085985929E-3</v>
      </c>
    </row>
    <row r="415" spans="2:14">
      <c r="B415" s="84">
        <v>82</v>
      </c>
      <c r="C415" s="84">
        <f>((C128-C129+(D128-D129)+(G128-G129)+(H128-H129)+(I128-I129)+(J128-J129)+$C$42))*material_flow!$B$107*material_flow!$G$108</f>
        <v>0</v>
      </c>
      <c r="D415" s="231">
        <f>(F128-F129+$C$42)*material_flow!$B$110*material_flow!$G$111</f>
        <v>0</v>
      </c>
      <c r="E415" s="84">
        <f t="shared" si="92"/>
        <v>0</v>
      </c>
      <c r="F415" s="84">
        <f t="shared" si="97"/>
        <v>0</v>
      </c>
      <c r="G415" s="226">
        <f t="shared" si="98"/>
        <v>0</v>
      </c>
      <c r="J415" s="225">
        <f>(M128-M129+(N128-N129)+(Q128-Q129)+(R128-R129)+(S128-S129)+(T128-T129))*material_flow!$B$107*material_flow!$G$108</f>
        <v>7.4571771859338346E-2</v>
      </c>
      <c r="K415" s="84">
        <f>(P128-P129)*material_flow!$B$110*material_flow!$G$111</f>
        <v>5.1166734588515645E-7</v>
      </c>
      <c r="L415" s="225">
        <f t="shared" si="94"/>
        <v>7.4572283526684227E-2</v>
      </c>
      <c r="M415" s="230">
        <f t="shared" si="95"/>
        <v>0.14912671827978571</v>
      </c>
      <c r="N415" s="230">
        <f t="shared" si="96"/>
        <v>4.5413665827125638E-3</v>
      </c>
    </row>
    <row r="416" spans="2:14">
      <c r="B416" s="84">
        <v>83</v>
      </c>
      <c r="C416" s="84">
        <f>((C129-C130+(D129-D130)+(G129-G130)+(H129-H130)+(I129-I130)+(J129-J130)+$C$42))*material_flow!$B$107*material_flow!$G$108</f>
        <v>0</v>
      </c>
      <c r="D416" s="231">
        <f>(F129-F130+$C$42)*material_flow!$B$110*material_flow!$G$111</f>
        <v>0</v>
      </c>
      <c r="E416" s="84">
        <f t="shared" si="92"/>
        <v>0</v>
      </c>
      <c r="F416" s="84">
        <f t="shared" si="97"/>
        <v>0</v>
      </c>
      <c r="G416" s="226">
        <f t="shared" si="98"/>
        <v>0</v>
      </c>
      <c r="J416" s="225">
        <f>(M129-M130+(N129-N130)+(Q129-Q130)+(R129-R130)+(S129-S130)+(T129-T130))*material_flow!$B$107*material_flow!$G$108</f>
        <v>7.2409311824619793E-2</v>
      </c>
      <c r="K416" s="84">
        <f>(P129-P130)*material_flow!$B$110*material_flow!$G$111</f>
        <v>3.6180344998711683E-7</v>
      </c>
      <c r="L416" s="225">
        <f t="shared" si="94"/>
        <v>7.2409673628069784E-2</v>
      </c>
      <c r="M416" s="230">
        <f t="shared" si="95"/>
        <v>0.14477801310305349</v>
      </c>
      <c r="N416" s="230">
        <f t="shared" si="96"/>
        <v>4.4073605924210028E-3</v>
      </c>
    </row>
    <row r="417" spans="2:14">
      <c r="B417" s="84">
        <v>84</v>
      </c>
      <c r="C417" s="84">
        <f>((C130-C131+(D130-D131)+(G130-G131)+(H130-H131)+(I130-I131)+(J130-J131)+$C$42))*material_flow!$B$107*material_flow!$G$108</f>
        <v>0</v>
      </c>
      <c r="D417" s="231">
        <f>(F130-F131+$C$42)*material_flow!$B$110*material_flow!$G$111</f>
        <v>0</v>
      </c>
      <c r="E417" s="84">
        <f t="shared" si="92"/>
        <v>0</v>
      </c>
      <c r="F417" s="84">
        <f t="shared" si="97"/>
        <v>0</v>
      </c>
      <c r="G417" s="226">
        <f t="shared" si="98"/>
        <v>0</v>
      </c>
      <c r="J417" s="225">
        <f>(M130-M131+(N130-N131)+(Q130-Q131)+(R130-R131)+(S130-S131)+(T130-T131))*material_flow!$B$107*material_flow!$G$108</f>
        <v>7.0329917807311348E-2</v>
      </c>
      <c r="K417" s="84">
        <f>(P130-P131)*material_flow!$B$110*material_flow!$G$111</f>
        <v>2.5583367294257823E-7</v>
      </c>
      <c r="L417" s="225">
        <f t="shared" si="94"/>
        <v>7.0330173640984289E-2</v>
      </c>
      <c r="M417" s="230">
        <f t="shared" si="95"/>
        <v>0.1405998179990498</v>
      </c>
      <c r="N417" s="230">
        <f t="shared" si="96"/>
        <v>4.278836931167841E-3</v>
      </c>
    </row>
    <row r="418" spans="2:14">
      <c r="B418" s="84">
        <v>85</v>
      </c>
      <c r="C418" s="84">
        <f>((C131-C132+(D131-D132)+(G131-G132)+(H131-H132)+(I131-I132)+(J131-J132)+$C$42))*material_flow!$B$107*material_flow!$G$108</f>
        <v>0</v>
      </c>
      <c r="D418" s="231">
        <f>(F131-F132+$C$42)*material_flow!$B$110*material_flow!$G$111</f>
        <v>0</v>
      </c>
      <c r="E418" s="84">
        <f t="shared" si="92"/>
        <v>0</v>
      </c>
      <c r="F418" s="84">
        <f t="shared" si="97"/>
        <v>0</v>
      </c>
      <c r="G418" s="226">
        <f t="shared" si="98"/>
        <v>0</v>
      </c>
      <c r="J418" s="225">
        <f>(M131-M132+(N131-N132)+(Q131-Q132)+(R131-R132)+(S131-S132)+(T131-T132))*material_flow!$B$107*material_flow!$G$108</f>
        <v>6.8327713310008226E-2</v>
      </c>
      <c r="K418" s="84">
        <f>(P131-P132)*material_flow!$B$110*material_flow!$G$111</f>
        <v>1.8090172499355842E-7</v>
      </c>
      <c r="L418" s="225">
        <f t="shared" si="94"/>
        <v>6.8327894211733214E-2</v>
      </c>
      <c r="M418" s="230">
        <f t="shared" si="95"/>
        <v>0.13657949709531744</v>
      </c>
      <c r="N418" s="230">
        <f t="shared" si="96"/>
        <v>4.1553526041387765E-3</v>
      </c>
    </row>
    <row r="419" spans="2:14">
      <c r="B419" s="84">
        <v>86</v>
      </c>
      <c r="C419" s="84">
        <f>((C132-C133+(D132-D133)+(G132-G133)+(H132-H133)+(I132-I133)+(J132-J133)+$C$42))*material_flow!$B$107*material_flow!$G$108</f>
        <v>0</v>
      </c>
      <c r="D419" s="231">
        <f>(F132-F133+$C$42)*material_flow!$B$110*material_flow!$G$111</f>
        <v>0</v>
      </c>
      <c r="E419" s="84">
        <f t="shared" si="92"/>
        <v>0</v>
      </c>
      <c r="F419" s="84">
        <f t="shared" si="97"/>
        <v>0</v>
      </c>
      <c r="G419" s="226">
        <f t="shared" si="98"/>
        <v>0</v>
      </c>
      <c r="J419" s="225">
        <f>(M132-M133+(N132-N133)+(Q132-Q133)+(R132-R133)+(S132-S133)+(T132-T133))*material_flow!$B$107*material_flow!$G$108</f>
        <v>6.6397670058818678E-2</v>
      </c>
      <c r="K419" s="84">
        <f>(P132-P133)*material_flow!$B$110*material_flow!$G$111</f>
        <v>1.2791683647128911E-7</v>
      </c>
      <c r="L419" s="225">
        <f t="shared" si="94"/>
        <v>6.6397797975655148E-2</v>
      </c>
      <c r="M419" s="230">
        <f t="shared" si="95"/>
        <v>0.13270629773020659</v>
      </c>
      <c r="N419" s="230">
        <f t="shared" si="96"/>
        <v>4.0365341648651871E-3</v>
      </c>
    </row>
    <row r="420" spans="2:14">
      <c r="B420" s="84">
        <v>87</v>
      </c>
      <c r="C420" s="84">
        <f>((C133-C134+(D133-D134)+(G133-G134)+(H133-H134)+(I133-I134)+(J133-J134)+$C$42))*material_flow!$B$107*material_flow!$G$108</f>
        <v>0</v>
      </c>
      <c r="D420" s="231">
        <f>(F133-F134+$C$42)*material_flow!$B$110*material_flow!$G$111</f>
        <v>0</v>
      </c>
      <c r="E420" s="84">
        <f t="shared" si="92"/>
        <v>0</v>
      </c>
      <c r="F420" s="84">
        <f t="shared" si="97"/>
        <v>0</v>
      </c>
      <c r="G420" s="226">
        <f t="shared" si="98"/>
        <v>0</v>
      </c>
      <c r="J420" s="225">
        <f>(M133-M134+(N133-N134)+(Q133-Q134)+(R133-R134)+(S133-S134)+(T133-T134))*material_flow!$B$107*material_flow!$G$108</f>
        <v>6.4535442856616901E-2</v>
      </c>
      <c r="K420" s="84">
        <f>(P133-P134)*material_flow!$B$110*material_flow!$G$111</f>
        <v>9.0450862496779208E-8</v>
      </c>
      <c r="L420" s="225">
        <f t="shared" si="94"/>
        <v>6.4535533307479395E-2</v>
      </c>
      <c r="M420" s="230">
        <f t="shared" si="95"/>
        <v>0.12897097979041011</v>
      </c>
      <c r="N420" s="230">
        <f t="shared" si="96"/>
        <v>3.9220638241690793E-3</v>
      </c>
    </row>
    <row r="421" spans="2:14">
      <c r="B421" s="84">
        <v>88</v>
      </c>
      <c r="C421" s="84">
        <f>((C134-C135+(D134-D135)+(G134-G135)+(H134-H135)+(I134-I135)+(J134-J135)+$C$42))*material_flow!$B$107*material_flow!$G$108</f>
        <v>0</v>
      </c>
      <c r="D421" s="231">
        <f>(F134-F135+$C$42)*material_flow!$B$110*material_flow!$G$111</f>
        <v>0</v>
      </c>
      <c r="E421" s="84">
        <f t="shared" si="92"/>
        <v>0</v>
      </c>
      <c r="F421" s="84">
        <f t="shared" si="97"/>
        <v>0</v>
      </c>
      <c r="G421" s="226">
        <f t="shared" si="98"/>
        <v>0</v>
      </c>
      <c r="J421" s="225">
        <f>(M134-M135+(N134-N135)+(Q134-Q135)+(R134-R135)+(S134-S135)+(T134-T135))*material_flow!$B$107*material_flow!$G$108</f>
        <v>6.273723894913931E-2</v>
      </c>
      <c r="K421" s="84">
        <f>(P134-P135)*material_flow!$B$110*material_flow!$G$111</f>
        <v>6.3958418235644556E-8</v>
      </c>
      <c r="L421" s="225">
        <f t="shared" si="94"/>
        <v>6.2737302907557552E-2</v>
      </c>
      <c r="M421" s="230">
        <f t="shared" si="95"/>
        <v>0.12536552296097192</v>
      </c>
      <c r="N421" s="230">
        <f t="shared" si="96"/>
        <v>3.8116684954317085E-3</v>
      </c>
    </row>
    <row r="422" spans="2:14">
      <c r="B422" s="84">
        <v>89</v>
      </c>
      <c r="C422" s="84">
        <f>((C135-C136+(D135-D136)+(G135-G136)+(H135-H136)+(I135-I136)+(J135-J136)+$C$42))*material_flow!$B$107*material_flow!$G$108</f>
        <v>0</v>
      </c>
      <c r="D422" s="231">
        <f>(F135-F136+$C$42)*material_flow!$B$110*material_flow!$G$111</f>
        <v>0</v>
      </c>
      <c r="E422" s="84">
        <f t="shared" si="92"/>
        <v>0</v>
      </c>
      <c r="F422" s="84">
        <f t="shared" si="97"/>
        <v>0</v>
      </c>
      <c r="G422" s="226">
        <f t="shared" si="98"/>
        <v>0</v>
      </c>
      <c r="J422" s="225">
        <f>(M135-M136+(N135-N136)+(Q135-Q136)+(R135-R136)+(S135-S136)+(T135-T136))*material_flow!$B$107*material_flow!$G$108</f>
        <v>6.0999714536778049E-2</v>
      </c>
      <c r="K422" s="84">
        <f>(P135-P136)*material_flow!$B$110*material_flow!$G$111</f>
        <v>4.5225431248389604E-8</v>
      </c>
      <c r="L422" s="225">
        <f t="shared" si="94"/>
        <v>6.0999759762209296E-2</v>
      </c>
      <c r="M422" s="230">
        <f t="shared" si="95"/>
        <v>0.12188289515572837</v>
      </c>
      <c r="N422" s="230">
        <f t="shared" si="96"/>
        <v>3.7051111425237754E-3</v>
      </c>
    </row>
    <row r="423" spans="2:14">
      <c r="B423" s="84">
        <v>90</v>
      </c>
      <c r="C423" s="84">
        <f>((C136-C137+(D136-D137)+(G136-G137)+(H136-H137)+(I136-I137)+(J136-J137)+$C$42))*material_flow!$B$107*material_flow!$G$108</f>
        <v>0</v>
      </c>
      <c r="D423" s="231">
        <f>(F136-F137+$C$42)*material_flow!$B$110*material_flow!$G$111</f>
        <v>0</v>
      </c>
      <c r="E423" s="84">
        <f t="shared" si="92"/>
        <v>0</v>
      </c>
      <c r="F423" s="84">
        <f t="shared" si="97"/>
        <v>0</v>
      </c>
      <c r="G423" s="226">
        <f t="shared" si="98"/>
        <v>0</v>
      </c>
      <c r="J423" s="225">
        <f>(M136-M137+(N136-N137)+(Q136-Q137)+(R136-R137)+(S136-S137)+(T136-T137))*material_flow!$B$107*material_flow!$G$108</f>
        <v>5.9319892661381921E-2</v>
      </c>
      <c r="K423" s="84">
        <f>(P136-P137)*material_flow!$B$110*material_flow!$G$111</f>
        <v>3.1979209117822278E-8</v>
      </c>
      <c r="L423" s="225">
        <f t="shared" si="94"/>
        <v>5.9319924640591042E-2</v>
      </c>
      <c r="M423" s="230">
        <f t="shared" si="95"/>
        <v>0.11851686904935907</v>
      </c>
      <c r="N423" s="230">
        <f t="shared" si="96"/>
        <v>3.6021839358906719E-3</v>
      </c>
    </row>
    <row r="424" spans="2:14">
      <c r="B424" s="84">
        <v>91</v>
      </c>
      <c r="C424" s="84">
        <f>((C137-C138+(D137-D138)+(G137-G138)+(H137-H138)+(I137-I138)+(J137-J138)+$C$42))*material_flow!$B$107*material_flow!$G$108</f>
        <v>0</v>
      </c>
      <c r="D424" s="231">
        <f>(F137-F138+$C$42)*material_flow!$B$110*material_flow!$G$111</f>
        <v>0</v>
      </c>
      <c r="E424" s="84">
        <f t="shared" si="92"/>
        <v>0</v>
      </c>
      <c r="F424" s="84">
        <f t="shared" si="97"/>
        <v>0</v>
      </c>
      <c r="G424" s="226">
        <f t="shared" si="98"/>
        <v>0</v>
      </c>
      <c r="J424" s="225">
        <f>(M137-M138+(N137-N138)+(Q137-Q138)+(R137-R138)+(S137-S138)+(T137-T138))*material_flow!$B$107*material_flow!$G$108</f>
        <v>5.769509794187859E-2</v>
      </c>
      <c r="K424" s="84">
        <f>(P137-P138)*material_flow!$B$110*material_flow!$G$111</f>
        <v>2.2612715624194802E-8</v>
      </c>
      <c r="L424" s="225">
        <f t="shared" si="94"/>
        <v>5.7695120554594213E-2</v>
      </c>
      <c r="M424" s="230">
        <f t="shared" si="95"/>
        <v>0.11526187647248988</v>
      </c>
      <c r="N424" s="230">
        <f t="shared" si="96"/>
        <v>3.5027028302551349E-3</v>
      </c>
    </row>
    <row r="425" spans="2:14">
      <c r="B425" s="84">
        <v>92</v>
      </c>
      <c r="C425" s="84">
        <f>((C138-C139+(D138-D139)+(G138-G139)+(H138-H139)+(I138-I139)+(J138-J139)+$C$42))*material_flow!$B$107*material_flow!$G$108</f>
        <v>0</v>
      </c>
      <c r="D425" s="231">
        <f>(F138-F139+$C$42)*material_flow!$B$110*material_flow!$G$111</f>
        <v>0</v>
      </c>
      <c r="E425" s="84">
        <f t="shared" si="92"/>
        <v>0</v>
      </c>
      <c r="F425" s="84">
        <f t="shared" si="97"/>
        <v>0</v>
      </c>
      <c r="G425" s="226">
        <f t="shared" si="98"/>
        <v>0</v>
      </c>
      <c r="J425" s="225">
        <f>(M138-M139+(N138-N139)+(Q138-Q139)+(R138-R139)+(S138-S139)+(T138-T139))*material_flow!$B$107*material_flow!$G$108</f>
        <v>5.6122904604327208E-2</v>
      </c>
      <c r="K425" s="84">
        <f>(P138-P139)*material_flow!$B$110*material_flow!$G$111</f>
        <v>1.5989604558911139E-8</v>
      </c>
      <c r="L425" s="225">
        <f t="shared" si="94"/>
        <v>5.6122920593931765E-2</v>
      </c>
      <c r="M425" s="230">
        <f t="shared" si="95"/>
        <v>0.11211289264368045</v>
      </c>
      <c r="N425" s="230">
        <f t="shared" si="96"/>
        <v>3.4065032613421996E-3</v>
      </c>
    </row>
    <row r="426" spans="2:14">
      <c r="B426" s="84">
        <v>93</v>
      </c>
      <c r="C426" s="84">
        <f>((C139-C140+(D139-D140)+(G139-G140)+(H139-H140)+(I139-I140)+(J139-J140)+$C$42))*material_flow!$B$107*material_flow!$G$108</f>
        <v>0</v>
      </c>
      <c r="D426" s="231">
        <f>(F139-F140+$C$42)*material_flow!$B$110*material_flow!$G$111</f>
        <v>0</v>
      </c>
      <c r="E426" s="84">
        <f t="shared" si="92"/>
        <v>0</v>
      </c>
      <c r="F426" s="84">
        <f t="shared" si="97"/>
        <v>0</v>
      </c>
      <c r="G426" s="226">
        <f t="shared" si="98"/>
        <v>0</v>
      </c>
      <c r="J426" s="225">
        <f>(M139-M140+(N139-N140)+(Q139-Q140)+(R139-R140)+(S139-S140)+(T139-T140))*material_flow!$B$107*material_flow!$G$108</f>
        <v>5.4601095012050252E-2</v>
      </c>
      <c r="K426" s="84">
        <f>(P139-P140)*material_flow!$B$110*material_flow!$G$111</f>
        <v>1.1306357812097401E-8</v>
      </c>
      <c r="L426" s="225">
        <f t="shared" si="94"/>
        <v>5.4601106318408067E-2</v>
      </c>
      <c r="M426" s="230">
        <f t="shared" si="95"/>
        <v>0.10906534393848674</v>
      </c>
      <c r="N426" s="230">
        <f t="shared" si="96"/>
        <v>3.3134367244173606E-3</v>
      </c>
    </row>
    <row r="427" spans="2:14">
      <c r="B427" s="84">
        <v>94</v>
      </c>
      <c r="C427" s="84">
        <f>((C140-C141+(D140-D141)+(G140-G141)+(H140-H141)+(I140-I141)+(J140-J141)+$C$42))*material_flow!$B$107*material_flow!$G$108</f>
        <v>0</v>
      </c>
      <c r="D427" s="231">
        <f>(F140-F141+$C$42)*material_flow!$B$110*material_flow!$G$111</f>
        <v>0</v>
      </c>
      <c r="E427" s="84">
        <f t="shared" si="92"/>
        <v>0</v>
      </c>
      <c r="F427" s="84">
        <f t="shared" si="97"/>
        <v>0</v>
      </c>
      <c r="G427" s="226">
        <f t="shared" si="98"/>
        <v>0</v>
      </c>
      <c r="J427" s="225">
        <f>(M140-M141+(N140-N141)+(Q140-Q141)+(R140-R141)+(S140-S141)+(T140-T141))*material_flow!$B$107*material_flow!$G$108</f>
        <v>5.312762649674449E-2</v>
      </c>
      <c r="K427" s="84">
        <f>(P140-P141)*material_flow!$B$110*material_flow!$G$111</f>
        <v>7.9948022794555695E-9</v>
      </c>
      <c r="L427" s="225">
        <f t="shared" si="94"/>
        <v>5.3127634491546769E-2</v>
      </c>
      <c r="M427" s="230">
        <f t="shared" si="95"/>
        <v>0.10611503424505311</v>
      </c>
      <c r="N427" s="230">
        <f t="shared" si="96"/>
        <v>3.2233680484504259E-3</v>
      </c>
    </row>
    <row r="428" spans="2:14">
      <c r="B428" s="84">
        <v>95</v>
      </c>
      <c r="C428" s="84">
        <f>((C141-C142+(D141-D142)+(G141-G142)+(H141-H142)+(I141-I142)+(J141-J142)+$C$42))*material_flow!$B$107*material_flow!$G$108</f>
        <v>0</v>
      </c>
      <c r="D428" s="231">
        <f>(F141-F142+$C$42)*material_flow!$B$110*material_flow!$G$111</f>
        <v>0</v>
      </c>
      <c r="E428" s="84">
        <f t="shared" si="92"/>
        <v>0</v>
      </c>
      <c r="F428" s="84">
        <f t="shared" si="97"/>
        <v>0</v>
      </c>
      <c r="G428" s="226">
        <f t="shared" si="98"/>
        <v>0</v>
      </c>
      <c r="J428" s="225">
        <f>(M141-M142+(N141-N142)+(Q141-Q142)+(R141-R142)+(S141-S142)+(T141-T142))*material_flow!$B$107*material_flow!$G$108</f>
        <v>5.1700604758298303E-2</v>
      </c>
      <c r="K428" s="84">
        <f>(P141-P142)*material_flow!$B$110*material_flow!$G$111</f>
        <v>5.6531789060487005E-9</v>
      </c>
      <c r="L428" s="225">
        <f t="shared" si="94"/>
        <v>5.1700610411477207E-2</v>
      </c>
      <c r="M428" s="230">
        <f t="shared" si="95"/>
        <v>0.10325808601179644</v>
      </c>
      <c r="N428" s="230">
        <f t="shared" si="96"/>
        <v>3.1361732195943305E-3</v>
      </c>
    </row>
    <row r="429" spans="2:14">
      <c r="B429" s="84">
        <v>96</v>
      </c>
      <c r="C429" s="84">
        <f>((C142-C143+(D142-D143)+(G142-G143)+(H142-H143)+(I142-I143)+(J142-J143)+$C$42))*material_flow!$B$107*material_flow!$G$108</f>
        <v>0</v>
      </c>
      <c r="D429" s="231">
        <f>(F142-F143+$C$42)*material_flow!$B$110*material_flow!$G$111</f>
        <v>0</v>
      </c>
      <c r="E429" s="84">
        <f t="shared" si="92"/>
        <v>0</v>
      </c>
      <c r="F429" s="84">
        <f t="shared" si="97"/>
        <v>0</v>
      </c>
      <c r="G429" s="226">
        <f t="shared" si="98"/>
        <v>0</v>
      </c>
      <c r="J429" s="225">
        <f>(M142-M143+(N142-N143)+(Q142-Q143)+(R142-R143)+(S142-S143)+(T142-T143))*material_flow!$B$107*material_flow!$G$108</f>
        <v>5.0318262467587346E-2</v>
      </c>
      <c r="K429" s="84">
        <f>(P142-P143)*material_flow!$B$110*material_flow!$G$111</f>
        <v>3.9974011397277848E-9</v>
      </c>
      <c r="L429" s="225">
        <f t="shared" si="94"/>
        <v>5.0318266464988486E-2</v>
      </c>
      <c r="M429" s="230">
        <f t="shared" si="95"/>
        <v>0.10049089292053803</v>
      </c>
      <c r="N429" s="230">
        <f t="shared" si="96"/>
        <v>3.0517376388808971E-3</v>
      </c>
    </row>
    <row r="430" spans="2:14">
      <c r="B430" s="84">
        <v>97</v>
      </c>
      <c r="C430" s="84">
        <f>((C143-C144+(D143-D144)+(G143-G144)+(H143-H144)+(I143-I144)+(J143-J144)+$C$42))*material_flow!$B$107*material_flow!$G$108</f>
        <v>0</v>
      </c>
      <c r="D430" s="231">
        <f>(F143-F144+$C$42)*material_flow!$B$110*material_flow!$G$111</f>
        <v>0</v>
      </c>
      <c r="E430" s="84">
        <f t="shared" si="92"/>
        <v>0</v>
      </c>
      <c r="F430" s="84">
        <f t="shared" si="97"/>
        <v>0</v>
      </c>
      <c r="G430" s="226">
        <f t="shared" si="98"/>
        <v>0</v>
      </c>
      <c r="J430" s="225">
        <f>(M143-M144+(N143-N144)+(Q143-Q144)+(R143-R144)+(S143-S144)+(T143-T144))*material_flow!$B$107*material_flow!$G$108</f>
        <v>4.8978941994621515E-2</v>
      </c>
      <c r="K430" s="84">
        <f>(P143-P144)*material_flow!$B$110*material_flow!$G$111</f>
        <v>2.8265894530243503E-9</v>
      </c>
      <c r="L430" s="225">
        <f t="shared" si="94"/>
        <v>4.8978944821210971E-2</v>
      </c>
      <c r="M430" s="230">
        <f t="shared" si="95"/>
        <v>9.7810081768062718E-2</v>
      </c>
      <c r="N430" s="230">
        <f t="shared" si="96"/>
        <v>2.9699547235005007E-3</v>
      </c>
    </row>
    <row r="431" spans="2:14">
      <c r="B431" s="84">
        <v>98</v>
      </c>
      <c r="C431" s="84">
        <f>((C144-C145+(D144-D145)+(G144-G145)+(H144-H145)+(I144-I145)+(J144-J145)+$C$42))*material_flow!$B$107*material_flow!$G$108</f>
        <v>0</v>
      </c>
      <c r="D431" s="231">
        <f>(F144-F145+$C$42)*material_flow!$B$110*material_flow!$G$111</f>
        <v>0</v>
      </c>
      <c r="E431" s="84">
        <f t="shared" si="92"/>
        <v>0</v>
      </c>
      <c r="F431" s="84">
        <f t="shared" si="97"/>
        <v>0</v>
      </c>
      <c r="G431" s="226">
        <f t="shared" si="98"/>
        <v>0</v>
      </c>
      <c r="J431" s="225">
        <f>(M144-M145+(N144-N145)+(Q144-Q145)+(R144-R145)+(S144-S145)+(T144-T145))*material_flow!$B$107*material_flow!$G$108</f>
        <v>4.7681081411123837E-2</v>
      </c>
      <c r="K431" s="84">
        <f>(P144-P145)*material_flow!$B$110*material_flow!$G$111</f>
        <v>1.9987005698638924E-9</v>
      </c>
      <c r="L431" s="225">
        <f t="shared" si="94"/>
        <v>4.768108340982441E-2</v>
      </c>
      <c r="M431" s="230">
        <f t="shared" si="95"/>
        <v>9.5212481649487424E-2</v>
      </c>
      <c r="N431" s="230">
        <f t="shared" si="96"/>
        <v>2.8907247802318838E-3</v>
      </c>
    </row>
    <row r="432" spans="2:14">
      <c r="B432" s="84">
        <v>99</v>
      </c>
      <c r="C432" s="84">
        <f>((C145-C146+(D145-D146)+(G145-G146)+(H145-H146)+(I145-I146)+(J145-J146)+$C$42))*material_flow!$B$107*material_flow!$G$108</f>
        <v>0</v>
      </c>
      <c r="D432" s="231">
        <f>(F145-F146+$C$42)*material_flow!$B$110*material_flow!$G$111</f>
        <v>0</v>
      </c>
      <c r="E432" s="84">
        <f t="shared" si="92"/>
        <v>0</v>
      </c>
      <c r="F432" s="84">
        <f t="shared" si="97"/>
        <v>0</v>
      </c>
      <c r="G432" s="226">
        <f t="shared" si="98"/>
        <v>0</v>
      </c>
      <c r="J432" s="225">
        <f>(M145-M146+(N145-N146)+(Q145-Q146)+(R145-R146)+(S145-S146)+(T145-T146))*material_flow!$B$107*material_flow!$G$108</f>
        <v>4.6423203095140322E-2</v>
      </c>
      <c r="K432" s="84">
        <f>(P145-P146)*material_flow!$B$110*material_flow!$G$111</f>
        <v>1.4132947265121751E-9</v>
      </c>
      <c r="L432" s="225">
        <f t="shared" si="94"/>
        <v>4.6423204508435047E-2</v>
      </c>
      <c r="M432" s="230">
        <f t="shared" si="95"/>
        <v>9.2695098938253007E-2</v>
      </c>
      <c r="N432" s="230">
        <f t="shared" si="96"/>
        <v>2.8139540946730589E-3</v>
      </c>
    </row>
    <row r="433" spans="1:15" s="179" customFormat="1">
      <c r="B433" s="111">
        <v>100</v>
      </c>
      <c r="C433" s="179">
        <f>C432</f>
        <v>0</v>
      </c>
      <c r="D433" s="179">
        <f>D432</f>
        <v>0</v>
      </c>
      <c r="E433" s="111">
        <f t="shared" si="92"/>
        <v>0</v>
      </c>
      <c r="F433" s="111">
        <f t="shared" si="97"/>
        <v>0</v>
      </c>
      <c r="G433" s="227">
        <f t="shared" si="98"/>
        <v>0</v>
      </c>
      <c r="J433" s="233">
        <f>J432</f>
        <v>4.6423203095140322E-2</v>
      </c>
      <c r="K433" s="179">
        <f>K432</f>
        <v>1.4132947265121751E-9</v>
      </c>
      <c r="L433" s="222">
        <f t="shared" si="94"/>
        <v>4.6423204508435047E-2</v>
      </c>
      <c r="M433" s="234">
        <f>L433+(L432*EXP(-$B$306))</f>
        <v>9.1474395976654799E-2</v>
      </c>
      <c r="N433" s="234">
        <f t="shared" si="96"/>
        <v>2.7395541917883156E-3</v>
      </c>
    </row>
    <row r="434" spans="1:15">
      <c r="N434" s="235"/>
    </row>
    <row r="435" spans="1:15">
      <c r="E435" s="153" t="s">
        <v>384</v>
      </c>
      <c r="F435">
        <f>F433</f>
        <v>0</v>
      </c>
      <c r="G435" t="s">
        <v>365</v>
      </c>
      <c r="L435" s="153" t="s">
        <v>384</v>
      </c>
      <c r="M435" s="235">
        <f>M433</f>
        <v>9.1474395976654799E-2</v>
      </c>
      <c r="N435" t="s">
        <v>365</v>
      </c>
    </row>
    <row r="436" spans="1:15">
      <c r="E436" s="153" t="s">
        <v>384</v>
      </c>
      <c r="F436" s="73">
        <f>1000000*F435*44/12</f>
        <v>0</v>
      </c>
      <c r="G436" t="s">
        <v>134</v>
      </c>
      <c r="L436" s="153" t="s">
        <v>384</v>
      </c>
      <c r="M436" s="73">
        <f>1000000*M435*44/12</f>
        <v>335406.1185810676</v>
      </c>
      <c r="N436" t="s">
        <v>134</v>
      </c>
    </row>
    <row r="437" spans="1:15">
      <c r="E437" s="153" t="s">
        <v>385</v>
      </c>
      <c r="F437" s="228">
        <f>SUM(G385:G433)</f>
        <v>0</v>
      </c>
      <c r="G437" t="s">
        <v>365</v>
      </c>
      <c r="L437" s="153" t="s">
        <v>385</v>
      </c>
      <c r="M437" s="228">
        <f>SUM(N355:N433)</f>
        <v>0.4805981389934969</v>
      </c>
      <c r="N437" t="s">
        <v>365</v>
      </c>
    </row>
    <row r="438" spans="1:15">
      <c r="E438" s="153" t="s">
        <v>386</v>
      </c>
      <c r="F438" s="229">
        <f>F437*$B$308*16/12</f>
        <v>0</v>
      </c>
      <c r="G438" t="s">
        <v>387</v>
      </c>
      <c r="L438" s="153" t="s">
        <v>386</v>
      </c>
      <c r="M438" s="229">
        <f>M437*$B$308*16/12</f>
        <v>0.32039875932899792</v>
      </c>
      <c r="N438" t="s">
        <v>387</v>
      </c>
    </row>
    <row r="439" spans="1:15">
      <c r="E439" s="153" t="s">
        <v>386</v>
      </c>
      <c r="F439" s="186">
        <f>F438*$B$309</f>
        <v>0</v>
      </c>
      <c r="G439" t="s">
        <v>392</v>
      </c>
      <c r="L439" s="153" t="s">
        <v>386</v>
      </c>
      <c r="M439" s="186">
        <f>M438*$B$309</f>
        <v>8.0099689832249474</v>
      </c>
      <c r="N439" t="s">
        <v>392</v>
      </c>
    </row>
    <row r="440" spans="1:15">
      <c r="E440" s="153" t="s">
        <v>389</v>
      </c>
      <c r="F440">
        <f>F437*(1-$B$308)*44/12</f>
        <v>0</v>
      </c>
      <c r="G440" t="s">
        <v>392</v>
      </c>
      <c r="L440" s="153" t="s">
        <v>389</v>
      </c>
      <c r="M440">
        <f>M437*(1-$B$308)*44/12</f>
        <v>0.88109658815474434</v>
      </c>
      <c r="N440" t="s">
        <v>392</v>
      </c>
    </row>
    <row r="441" spans="1:15">
      <c r="E441" s="153" t="s">
        <v>388</v>
      </c>
      <c r="F441" s="73">
        <f>F440+F439</f>
        <v>0</v>
      </c>
      <c r="G441" t="s">
        <v>392</v>
      </c>
      <c r="L441" s="153" t="s">
        <v>388</v>
      </c>
      <c r="M441" s="151">
        <f>M440+M439</f>
        <v>8.8910655713796913</v>
      </c>
      <c r="N441" t="s">
        <v>392</v>
      </c>
    </row>
    <row r="442" spans="1:15">
      <c r="F442" s="73">
        <f>F441*1000000</f>
        <v>0</v>
      </c>
      <c r="G442" t="s">
        <v>134</v>
      </c>
      <c r="M442" s="73">
        <f>M441*1000000</f>
        <v>8891065.5713796914</v>
      </c>
      <c r="N442" t="s">
        <v>134</v>
      </c>
    </row>
    <row r="445" spans="1:15" s="84" customFormat="1">
      <c r="A445" s="221" t="s">
        <v>441</v>
      </c>
      <c r="C445" s="221" t="s">
        <v>8</v>
      </c>
      <c r="I445" s="212"/>
      <c r="J445" s="221" t="s">
        <v>13</v>
      </c>
    </row>
    <row r="446" spans="1:15" s="84" customFormat="1">
      <c r="C446" s="84" t="s">
        <v>365</v>
      </c>
      <c r="I446" s="212"/>
      <c r="J446" s="84" t="s">
        <v>365</v>
      </c>
    </row>
    <row r="447" spans="1:15" s="84" customFormat="1">
      <c r="B447" s="84" t="s">
        <v>333</v>
      </c>
      <c r="C447" s="84" t="s">
        <v>381</v>
      </c>
      <c r="D447" s="84" t="s">
        <v>382</v>
      </c>
      <c r="E447" s="84" t="s">
        <v>383</v>
      </c>
      <c r="F447" s="84" t="s">
        <v>379</v>
      </c>
      <c r="G447" s="84" t="s">
        <v>380</v>
      </c>
      <c r="I447" s="212"/>
      <c r="J447" s="84" t="s">
        <v>381</v>
      </c>
      <c r="K447" s="84" t="s">
        <v>382</v>
      </c>
      <c r="L447" s="84" t="s">
        <v>383</v>
      </c>
      <c r="M447" s="84" t="s">
        <v>379</v>
      </c>
      <c r="N447" s="84" t="s">
        <v>379</v>
      </c>
      <c r="O447" s="84" t="s">
        <v>380</v>
      </c>
    </row>
    <row r="448" spans="1:15" s="84" customFormat="1">
      <c r="B448" s="84">
        <v>0</v>
      </c>
      <c r="G448" s="212"/>
      <c r="H448" s="212"/>
      <c r="I448" s="212"/>
      <c r="J448" s="212"/>
    </row>
    <row r="449" spans="2:10" s="84" customFormat="1">
      <c r="B449" s="84">
        <v>1</v>
      </c>
      <c r="G449" s="212"/>
      <c r="H449" s="212"/>
      <c r="I449" s="212"/>
      <c r="J449" s="212"/>
    </row>
    <row r="450" spans="2:10" s="84" customFormat="1">
      <c r="B450" s="84">
        <v>2</v>
      </c>
      <c r="G450" s="226"/>
      <c r="H450" s="212"/>
      <c r="I450" s="212"/>
      <c r="J450" s="212"/>
    </row>
    <row r="451" spans="2:10" s="84" customFormat="1">
      <c r="B451" s="84">
        <v>3</v>
      </c>
      <c r="G451" s="226"/>
      <c r="H451" s="212"/>
      <c r="I451" s="212"/>
      <c r="J451" s="212"/>
    </row>
    <row r="452" spans="2:10" s="84" customFormat="1">
      <c r="B452" s="84">
        <v>4</v>
      </c>
      <c r="G452" s="226"/>
      <c r="H452" s="212"/>
      <c r="I452" s="212"/>
      <c r="J452" s="212"/>
    </row>
    <row r="453" spans="2:10" s="84" customFormat="1">
      <c r="B453" s="84">
        <v>5</v>
      </c>
      <c r="G453" s="226"/>
      <c r="H453" s="212"/>
      <c r="I453" s="212"/>
      <c r="J453" s="212"/>
    </row>
    <row r="454" spans="2:10" s="84" customFormat="1">
      <c r="B454" s="84">
        <v>6</v>
      </c>
      <c r="G454" s="226"/>
      <c r="H454" s="212"/>
      <c r="I454" s="212"/>
      <c r="J454" s="212"/>
    </row>
    <row r="455" spans="2:10" s="84" customFormat="1">
      <c r="B455" s="84">
        <v>7</v>
      </c>
      <c r="G455" s="226"/>
      <c r="H455" s="212"/>
      <c r="I455" s="212"/>
      <c r="J455" s="212"/>
    </row>
    <row r="456" spans="2:10" s="84" customFormat="1">
      <c r="B456" s="84">
        <v>8</v>
      </c>
      <c r="G456" s="226"/>
      <c r="H456" s="212"/>
      <c r="I456" s="212"/>
      <c r="J456" s="212"/>
    </row>
    <row r="457" spans="2:10" s="84" customFormat="1">
      <c r="B457" s="84">
        <v>9</v>
      </c>
      <c r="G457" s="226"/>
      <c r="H457" s="212"/>
      <c r="I457" s="212"/>
      <c r="J457" s="212"/>
    </row>
    <row r="458" spans="2:10" s="84" customFormat="1">
      <c r="B458" s="84">
        <v>10</v>
      </c>
      <c r="G458" s="226"/>
      <c r="H458" s="212"/>
      <c r="I458" s="212"/>
      <c r="J458" s="212"/>
    </row>
    <row r="459" spans="2:10" s="84" customFormat="1">
      <c r="B459" s="84">
        <v>11</v>
      </c>
      <c r="G459" s="226"/>
      <c r="H459" s="212"/>
      <c r="I459" s="212"/>
      <c r="J459" s="212"/>
    </row>
    <row r="460" spans="2:10" s="84" customFormat="1">
      <c r="B460" s="84">
        <v>12</v>
      </c>
      <c r="G460" s="226"/>
      <c r="H460" s="212"/>
      <c r="I460" s="212"/>
      <c r="J460" s="212"/>
    </row>
    <row r="461" spans="2:10" s="84" customFormat="1">
      <c r="B461" s="84">
        <v>13</v>
      </c>
      <c r="G461" s="226"/>
      <c r="H461" s="212"/>
      <c r="I461" s="212"/>
      <c r="J461" s="212"/>
    </row>
    <row r="462" spans="2:10" s="84" customFormat="1">
      <c r="B462" s="84">
        <v>14</v>
      </c>
      <c r="G462" s="226"/>
      <c r="H462" s="212"/>
      <c r="I462" s="212"/>
      <c r="J462" s="212"/>
    </row>
    <row r="463" spans="2:10" s="84" customFormat="1">
      <c r="B463" s="84">
        <v>15</v>
      </c>
      <c r="G463" s="226"/>
      <c r="H463" s="212"/>
      <c r="I463" s="212"/>
      <c r="J463" s="212"/>
    </row>
    <row r="464" spans="2:10" s="84" customFormat="1">
      <c r="B464" s="84">
        <v>16</v>
      </c>
      <c r="G464" s="226"/>
      <c r="H464" s="212"/>
      <c r="I464" s="212"/>
      <c r="J464" s="212"/>
    </row>
    <row r="465" spans="2:14" s="84" customFormat="1">
      <c r="B465" s="84">
        <v>17</v>
      </c>
      <c r="G465" s="226"/>
      <c r="H465" s="212"/>
      <c r="I465" s="212"/>
      <c r="J465" s="212"/>
    </row>
    <row r="466" spans="2:14" s="84" customFormat="1">
      <c r="B466" s="84">
        <v>18</v>
      </c>
      <c r="G466" s="226"/>
      <c r="H466" s="212"/>
      <c r="I466" s="212"/>
      <c r="J466" s="212"/>
    </row>
    <row r="467" spans="2:14" s="84" customFormat="1">
      <c r="B467" s="84">
        <v>19</v>
      </c>
      <c r="G467" s="226"/>
      <c r="H467" s="212"/>
      <c r="I467" s="212"/>
      <c r="J467" s="212"/>
    </row>
    <row r="468" spans="2:14" s="84" customFormat="1">
      <c r="B468" s="84">
        <v>20</v>
      </c>
      <c r="G468" s="226"/>
      <c r="H468" s="212"/>
      <c r="I468" s="212"/>
      <c r="J468" s="212"/>
    </row>
    <row r="469" spans="2:14" s="111" customFormat="1">
      <c r="B469" s="111">
        <v>21</v>
      </c>
      <c r="G469" s="227"/>
      <c r="H469" s="183"/>
      <c r="I469" s="183"/>
      <c r="J469" s="183"/>
    </row>
    <row r="470" spans="2:14" s="84" customFormat="1">
      <c r="B470" s="84">
        <v>22</v>
      </c>
      <c r="G470" s="226"/>
      <c r="H470" s="212"/>
      <c r="I470" s="212"/>
      <c r="J470" s="84">
        <f>(G199-G200+H199)*material_flow!$B$107*material_flow!$G$108</f>
        <v>0</v>
      </c>
      <c r="K470" s="84">
        <f>(I199-I200+J199)*material_flow!$B$110*material_flow!$G$111</f>
        <v>0</v>
      </c>
      <c r="L470" s="225">
        <f t="shared" ref="L470:L498" si="99">SUM(J470:K470)</f>
        <v>0</v>
      </c>
      <c r="M470" s="230">
        <f t="shared" ref="M470:M498" si="100">L470+(L469*EXP(-$B$306))</f>
        <v>0</v>
      </c>
      <c r="N470" s="230">
        <f t="shared" ref="N470:N498" si="101">M469*(1-EXP(-$B$306))</f>
        <v>0</v>
      </c>
    </row>
    <row r="471" spans="2:14" s="84" customFormat="1">
      <c r="B471" s="84">
        <v>23</v>
      </c>
      <c r="G471" s="226"/>
      <c r="H471" s="212"/>
      <c r="I471" s="212"/>
      <c r="J471" s="84">
        <f>(G200-G201+H200)*material_flow!$B$107*material_flow!$G$108</f>
        <v>0</v>
      </c>
      <c r="K471" s="84">
        <f>(I200-I201+J200)*material_flow!$B$110*material_flow!$G$111</f>
        <v>0</v>
      </c>
      <c r="L471" s="225">
        <f t="shared" si="99"/>
        <v>0</v>
      </c>
      <c r="M471" s="230">
        <f t="shared" si="100"/>
        <v>0</v>
      </c>
      <c r="N471" s="230">
        <f t="shared" si="101"/>
        <v>0</v>
      </c>
    </row>
    <row r="472" spans="2:14" s="84" customFormat="1">
      <c r="B472" s="84">
        <v>24</v>
      </c>
      <c r="G472" s="226"/>
      <c r="H472" s="212"/>
      <c r="I472" s="212"/>
      <c r="J472" s="84">
        <f>(G201-G202+H201)*material_flow!$B$107*material_flow!$G$108</f>
        <v>0</v>
      </c>
      <c r="K472" s="84">
        <f>(I201-I202+J201)*material_flow!$B$110*material_flow!$G$111</f>
        <v>0</v>
      </c>
      <c r="L472" s="225">
        <f t="shared" si="99"/>
        <v>0</v>
      </c>
      <c r="M472" s="230">
        <f t="shared" si="100"/>
        <v>0</v>
      </c>
      <c r="N472" s="230">
        <f t="shared" si="101"/>
        <v>0</v>
      </c>
    </row>
    <row r="473" spans="2:14" s="84" customFormat="1">
      <c r="B473" s="84">
        <v>25</v>
      </c>
      <c r="G473" s="226"/>
      <c r="H473" s="212"/>
      <c r="I473" s="212"/>
      <c r="J473" s="84">
        <f>(G202-G203+H202)*material_flow!$B$107*material_flow!$G$108</f>
        <v>0</v>
      </c>
      <c r="K473" s="84">
        <f>(I202-I203+J202)*material_flow!$B$110*material_flow!$G$111</f>
        <v>0</v>
      </c>
      <c r="L473" s="225">
        <f t="shared" si="99"/>
        <v>0</v>
      </c>
      <c r="M473" s="230">
        <f t="shared" si="100"/>
        <v>0</v>
      </c>
      <c r="N473" s="230">
        <f t="shared" si="101"/>
        <v>0</v>
      </c>
    </row>
    <row r="474" spans="2:14" s="84" customFormat="1">
      <c r="B474" s="84">
        <v>26</v>
      </c>
      <c r="G474" s="226"/>
      <c r="H474" s="212"/>
      <c r="I474" s="212"/>
      <c r="J474" s="84">
        <f>(G203-G204+H203)*material_flow!$B$107*material_flow!$G$108</f>
        <v>0</v>
      </c>
      <c r="K474" s="84">
        <f>(I203-I204+J203)*material_flow!$B$110*material_flow!$G$111</f>
        <v>0</v>
      </c>
      <c r="L474" s="225">
        <f t="shared" si="99"/>
        <v>0</v>
      </c>
      <c r="M474" s="230">
        <f t="shared" si="100"/>
        <v>0</v>
      </c>
      <c r="N474" s="230">
        <f t="shared" si="101"/>
        <v>0</v>
      </c>
    </row>
    <row r="475" spans="2:14" s="84" customFormat="1">
      <c r="B475" s="84">
        <v>27</v>
      </c>
      <c r="G475" s="226"/>
      <c r="H475" s="212"/>
      <c r="I475" s="212"/>
      <c r="J475" s="84">
        <f>(G204-G205+H204)*material_flow!$B$107*material_flow!$G$108</f>
        <v>0</v>
      </c>
      <c r="K475" s="84">
        <f>(I204-I205+J204)*material_flow!$B$110*material_flow!$G$111</f>
        <v>0</v>
      </c>
      <c r="L475" s="225">
        <f t="shared" si="99"/>
        <v>0</v>
      </c>
      <c r="M475" s="230">
        <f t="shared" si="100"/>
        <v>0</v>
      </c>
      <c r="N475" s="230">
        <f t="shared" si="101"/>
        <v>0</v>
      </c>
    </row>
    <row r="476" spans="2:14" s="84" customFormat="1">
      <c r="B476" s="84">
        <v>28</v>
      </c>
      <c r="G476" s="226"/>
      <c r="H476" s="212"/>
      <c r="I476" s="212"/>
      <c r="J476" s="84">
        <f>(G205-G206+H205)*material_flow!$B$107*material_flow!$G$108</f>
        <v>0</v>
      </c>
      <c r="K476" s="84">
        <f>(I205-I206+J205)*material_flow!$B$110*material_flow!$G$111</f>
        <v>0</v>
      </c>
      <c r="L476" s="225">
        <f t="shared" si="99"/>
        <v>0</v>
      </c>
      <c r="M476" s="230">
        <f t="shared" si="100"/>
        <v>0</v>
      </c>
      <c r="N476" s="230">
        <f t="shared" si="101"/>
        <v>0</v>
      </c>
    </row>
    <row r="477" spans="2:14" s="84" customFormat="1">
      <c r="B477" s="84">
        <v>29</v>
      </c>
      <c r="G477" s="226"/>
      <c r="H477" s="212"/>
      <c r="I477" s="212"/>
      <c r="J477" s="84">
        <f>(G206-G207+H206)*material_flow!$B$107*material_flow!$G$108</f>
        <v>0</v>
      </c>
      <c r="K477" s="84">
        <f>(I206-I207+J206)*material_flow!$B$110*material_flow!$G$111</f>
        <v>0</v>
      </c>
      <c r="L477" s="225">
        <f t="shared" si="99"/>
        <v>0</v>
      </c>
      <c r="M477" s="230">
        <f t="shared" si="100"/>
        <v>0</v>
      </c>
      <c r="N477" s="230">
        <f t="shared" si="101"/>
        <v>0</v>
      </c>
    </row>
    <row r="478" spans="2:14" s="84" customFormat="1">
      <c r="B478" s="84">
        <v>30</v>
      </c>
      <c r="G478" s="226"/>
      <c r="H478" s="212"/>
      <c r="I478" s="212"/>
      <c r="J478" s="84">
        <f>(G207-G208+H207)*material_flow!$B$107*material_flow!$G$108</f>
        <v>0</v>
      </c>
      <c r="K478" s="84">
        <f>(I207-I208+J207)*material_flow!$B$110*material_flow!$G$111</f>
        <v>0</v>
      </c>
      <c r="L478" s="225">
        <f t="shared" si="99"/>
        <v>0</v>
      </c>
      <c r="M478" s="230">
        <f t="shared" si="100"/>
        <v>0</v>
      </c>
      <c r="N478" s="230">
        <f t="shared" si="101"/>
        <v>0</v>
      </c>
    </row>
    <row r="479" spans="2:14" s="84" customFormat="1">
      <c r="B479" s="84">
        <v>31</v>
      </c>
      <c r="G479" s="226"/>
      <c r="H479" s="212"/>
      <c r="I479" s="212"/>
      <c r="J479" s="84">
        <f>(G208-G209+H208)*material_flow!$B$107*material_flow!$G$108</f>
        <v>0</v>
      </c>
      <c r="K479" s="84">
        <f>(I208-I209+J208)*material_flow!$B$110*material_flow!$G$111</f>
        <v>0</v>
      </c>
      <c r="L479" s="225">
        <f t="shared" si="99"/>
        <v>0</v>
      </c>
      <c r="M479" s="230">
        <f t="shared" si="100"/>
        <v>0</v>
      </c>
      <c r="N479" s="230">
        <f t="shared" si="101"/>
        <v>0</v>
      </c>
    </row>
    <row r="480" spans="2:14" s="84" customFormat="1">
      <c r="B480" s="84">
        <v>32</v>
      </c>
      <c r="G480" s="226"/>
      <c r="H480" s="212"/>
      <c r="I480" s="212"/>
      <c r="J480" s="84">
        <f>(G209-G210+H209)*material_flow!$B$107*material_flow!$G$108</f>
        <v>0</v>
      </c>
      <c r="K480" s="84">
        <f>(I209-I210+J209)*material_flow!$B$110*material_flow!$G$111</f>
        <v>0</v>
      </c>
      <c r="L480" s="225">
        <f t="shared" si="99"/>
        <v>0</v>
      </c>
      <c r="M480" s="230">
        <f t="shared" si="100"/>
        <v>0</v>
      </c>
      <c r="N480" s="230">
        <f t="shared" si="101"/>
        <v>0</v>
      </c>
    </row>
    <row r="481" spans="2:14" s="84" customFormat="1">
      <c r="B481" s="84">
        <v>33</v>
      </c>
      <c r="G481" s="226"/>
      <c r="H481" s="212"/>
      <c r="I481" s="212"/>
      <c r="J481" s="84">
        <f>(G210-G211+H210)*material_flow!$B$107*material_flow!$G$108</f>
        <v>0</v>
      </c>
      <c r="K481" s="84">
        <f>(I210-I211+J210)*material_flow!$B$110*material_flow!$G$111</f>
        <v>0</v>
      </c>
      <c r="L481" s="225">
        <f t="shared" si="99"/>
        <v>0</v>
      </c>
      <c r="M481" s="230">
        <f t="shared" si="100"/>
        <v>0</v>
      </c>
      <c r="N481" s="230">
        <f t="shared" si="101"/>
        <v>0</v>
      </c>
    </row>
    <row r="482" spans="2:14" s="84" customFormat="1">
      <c r="B482" s="84">
        <v>34</v>
      </c>
      <c r="G482" s="226"/>
      <c r="H482" s="212"/>
      <c r="I482" s="212"/>
      <c r="J482" s="84">
        <f>(G211-G212+H211)*material_flow!$B$107*material_flow!$G$108</f>
        <v>0</v>
      </c>
      <c r="K482" s="84">
        <f>(I211-I212+J211)*material_flow!$B$110*material_flow!$G$111</f>
        <v>0</v>
      </c>
      <c r="L482" s="225">
        <f t="shared" si="99"/>
        <v>0</v>
      </c>
      <c r="M482" s="230">
        <f t="shared" si="100"/>
        <v>0</v>
      </c>
      <c r="N482" s="230">
        <f t="shared" si="101"/>
        <v>0</v>
      </c>
    </row>
    <row r="483" spans="2:14" s="84" customFormat="1">
      <c r="B483" s="84">
        <v>35</v>
      </c>
      <c r="G483" s="226"/>
      <c r="H483" s="212"/>
      <c r="I483" s="212"/>
      <c r="J483" s="84">
        <f>(G212-G213+H212)*material_flow!$B$107*material_flow!$G$108</f>
        <v>0</v>
      </c>
      <c r="K483" s="84">
        <f>(I212-I213+J212)*material_flow!$B$110*material_flow!$G$111</f>
        <v>0</v>
      </c>
      <c r="L483" s="225">
        <f t="shared" si="99"/>
        <v>0</v>
      </c>
      <c r="M483" s="230">
        <f t="shared" si="100"/>
        <v>0</v>
      </c>
      <c r="N483" s="230">
        <f t="shared" si="101"/>
        <v>0</v>
      </c>
    </row>
    <row r="484" spans="2:14" s="84" customFormat="1">
      <c r="B484" s="84">
        <v>36</v>
      </c>
      <c r="G484" s="226"/>
      <c r="H484" s="212"/>
      <c r="I484" s="212"/>
      <c r="J484" s="84">
        <f>(G213-G214+H213)*material_flow!$B$107*material_flow!$G$108</f>
        <v>0</v>
      </c>
      <c r="K484" s="84">
        <f>(I213-I214+J213)*material_flow!$B$110*material_flow!$G$111</f>
        <v>0</v>
      </c>
      <c r="L484" s="225">
        <f t="shared" si="99"/>
        <v>0</v>
      </c>
      <c r="M484" s="230">
        <f t="shared" si="100"/>
        <v>0</v>
      </c>
      <c r="N484" s="230">
        <f t="shared" si="101"/>
        <v>0</v>
      </c>
    </row>
    <row r="485" spans="2:14" s="84" customFormat="1">
      <c r="B485" s="84">
        <v>37</v>
      </c>
      <c r="G485" s="226"/>
      <c r="H485" s="212"/>
      <c r="I485" s="212"/>
      <c r="J485" s="84">
        <f>(G214-G215+H214)*material_flow!$B$107*material_flow!$G$108</f>
        <v>0</v>
      </c>
      <c r="K485" s="84">
        <f>(I214-I215+J214)*material_flow!$B$110*material_flow!$G$111</f>
        <v>0</v>
      </c>
      <c r="L485" s="225">
        <f t="shared" si="99"/>
        <v>0</v>
      </c>
      <c r="M485" s="230">
        <f t="shared" si="100"/>
        <v>0</v>
      </c>
      <c r="N485" s="230">
        <f t="shared" si="101"/>
        <v>0</v>
      </c>
    </row>
    <row r="486" spans="2:14" s="84" customFormat="1">
      <c r="B486" s="84">
        <v>38</v>
      </c>
      <c r="G486" s="226"/>
      <c r="H486" s="212"/>
      <c r="I486" s="212"/>
      <c r="J486" s="84">
        <f>(G215-G216+H215)*material_flow!$B$107*material_flow!$G$108</f>
        <v>0</v>
      </c>
      <c r="K486" s="84">
        <f>(I215-I216+J215)*material_flow!$B$110*material_flow!$G$111</f>
        <v>0</v>
      </c>
      <c r="L486" s="225">
        <f t="shared" si="99"/>
        <v>0</v>
      </c>
      <c r="M486" s="230">
        <f t="shared" si="100"/>
        <v>0</v>
      </c>
      <c r="N486" s="230">
        <f t="shared" si="101"/>
        <v>0</v>
      </c>
    </row>
    <row r="487" spans="2:14" s="84" customFormat="1">
      <c r="B487" s="84">
        <v>39</v>
      </c>
      <c r="G487" s="226"/>
      <c r="H487" s="212"/>
      <c r="I487" s="212"/>
      <c r="J487" s="84">
        <f>(G216-G217+H216)*material_flow!$B$107*material_flow!$G$108</f>
        <v>0</v>
      </c>
      <c r="K487" s="84">
        <f>(I216-I217+J216)*material_flow!$B$110*material_flow!$G$111</f>
        <v>0</v>
      </c>
      <c r="L487" s="225">
        <f t="shared" si="99"/>
        <v>0</v>
      </c>
      <c r="M487" s="230">
        <f t="shared" si="100"/>
        <v>0</v>
      </c>
      <c r="N487" s="230">
        <f t="shared" si="101"/>
        <v>0</v>
      </c>
    </row>
    <row r="488" spans="2:14" s="84" customFormat="1">
      <c r="B488" s="84">
        <v>40</v>
      </c>
      <c r="G488" s="226"/>
      <c r="H488" s="212"/>
      <c r="I488" s="212"/>
      <c r="J488" s="84">
        <f>(G217-G218+H217)*material_flow!$B$107*material_flow!$G$108</f>
        <v>0</v>
      </c>
      <c r="K488" s="84">
        <f>(I217-I218+J217)*material_flow!$B$110*material_flow!$G$111</f>
        <v>0</v>
      </c>
      <c r="L488" s="225">
        <f t="shared" si="99"/>
        <v>0</v>
      </c>
      <c r="M488" s="230">
        <f t="shared" si="100"/>
        <v>0</v>
      </c>
      <c r="N488" s="230">
        <f t="shared" si="101"/>
        <v>0</v>
      </c>
    </row>
    <row r="489" spans="2:14" s="84" customFormat="1">
      <c r="B489" s="84">
        <v>41</v>
      </c>
      <c r="G489" s="226"/>
      <c r="H489" s="212"/>
      <c r="I489" s="212"/>
      <c r="J489" s="84">
        <f>(G218-G219+H218)*material_flow!$B$107*material_flow!$G$108</f>
        <v>0</v>
      </c>
      <c r="K489" s="84">
        <f>(I218-I219+J218)*material_flow!$B$110*material_flow!$G$111</f>
        <v>0</v>
      </c>
      <c r="L489" s="225">
        <f t="shared" si="99"/>
        <v>0</v>
      </c>
      <c r="M489" s="230">
        <f t="shared" si="100"/>
        <v>0</v>
      </c>
      <c r="N489" s="230">
        <f t="shared" si="101"/>
        <v>0</v>
      </c>
    </row>
    <row r="490" spans="2:14" s="84" customFormat="1">
      <c r="B490" s="84">
        <v>42</v>
      </c>
      <c r="G490" s="226"/>
      <c r="H490" s="212"/>
      <c r="I490" s="212"/>
      <c r="J490" s="84">
        <f>(G219-G220+H219)*material_flow!$B$107*material_flow!$G$108</f>
        <v>0</v>
      </c>
      <c r="K490" s="84">
        <f>(I219-I220+J219)*material_flow!$B$110*material_flow!$G$111</f>
        <v>0</v>
      </c>
      <c r="L490" s="225">
        <f t="shared" si="99"/>
        <v>0</v>
      </c>
      <c r="M490" s="230">
        <f t="shared" si="100"/>
        <v>0</v>
      </c>
      <c r="N490" s="230">
        <f t="shared" si="101"/>
        <v>0</v>
      </c>
    </row>
    <row r="491" spans="2:14" s="84" customFormat="1">
      <c r="B491" s="84">
        <v>43</v>
      </c>
      <c r="G491" s="226"/>
      <c r="H491" s="212"/>
      <c r="I491" s="212"/>
      <c r="J491" s="84">
        <f>(G220-G221+H220)*material_flow!$B$107*material_flow!$G$108</f>
        <v>0</v>
      </c>
      <c r="K491" s="84">
        <f>(I220-I221+J220)*material_flow!$B$110*material_flow!$G$111</f>
        <v>0</v>
      </c>
      <c r="L491" s="225">
        <f t="shared" si="99"/>
        <v>0</v>
      </c>
      <c r="M491" s="230">
        <f t="shared" si="100"/>
        <v>0</v>
      </c>
      <c r="N491" s="230">
        <f t="shared" si="101"/>
        <v>0</v>
      </c>
    </row>
    <row r="492" spans="2:14" s="84" customFormat="1">
      <c r="B492" s="84">
        <v>44</v>
      </c>
      <c r="G492" s="226"/>
      <c r="H492" s="212"/>
      <c r="I492" s="212"/>
      <c r="J492" s="84">
        <f>(G221-G222+H221)*material_flow!$B$107*material_flow!$G$108</f>
        <v>0</v>
      </c>
      <c r="K492" s="84">
        <f>(I221-I222+J221)*material_flow!$B$110*material_flow!$G$111</f>
        <v>0</v>
      </c>
      <c r="L492" s="225">
        <f t="shared" si="99"/>
        <v>0</v>
      </c>
      <c r="M492" s="230">
        <f t="shared" si="100"/>
        <v>0</v>
      </c>
      <c r="N492" s="230">
        <f t="shared" si="101"/>
        <v>0</v>
      </c>
    </row>
    <row r="493" spans="2:14" s="84" customFormat="1">
      <c r="B493" s="84">
        <v>45</v>
      </c>
      <c r="G493" s="226"/>
      <c r="H493" s="212"/>
      <c r="I493" s="212"/>
      <c r="J493" s="84">
        <f>(G222-G223+H222)*material_flow!$B$107*material_flow!$G$108</f>
        <v>0</v>
      </c>
      <c r="K493" s="84">
        <f>(I222-I223+J222)*material_flow!$B$110*material_flow!$G$111</f>
        <v>0</v>
      </c>
      <c r="L493" s="225">
        <f t="shared" si="99"/>
        <v>0</v>
      </c>
      <c r="M493" s="230">
        <f t="shared" si="100"/>
        <v>0</v>
      </c>
      <c r="N493" s="230">
        <f t="shared" si="101"/>
        <v>0</v>
      </c>
    </row>
    <row r="494" spans="2:14" s="84" customFormat="1">
      <c r="B494" s="84">
        <v>46</v>
      </c>
      <c r="G494" s="226"/>
      <c r="H494" s="212"/>
      <c r="I494" s="212"/>
      <c r="J494" s="84">
        <f>(G223-G224+H223)*material_flow!$B$107*material_flow!$G$108</f>
        <v>0</v>
      </c>
      <c r="K494" s="84">
        <f>(I223-I224+J223)*material_flow!$B$110*material_flow!$G$111</f>
        <v>0</v>
      </c>
      <c r="L494" s="225">
        <f t="shared" si="99"/>
        <v>0</v>
      </c>
      <c r="M494" s="230">
        <f t="shared" si="100"/>
        <v>0</v>
      </c>
      <c r="N494" s="230">
        <f t="shared" si="101"/>
        <v>0</v>
      </c>
    </row>
    <row r="495" spans="2:14" s="84" customFormat="1">
      <c r="B495" s="84">
        <v>47</v>
      </c>
      <c r="G495" s="226"/>
      <c r="H495" s="212"/>
      <c r="I495" s="212"/>
      <c r="J495" s="84">
        <f>(G224-G225+H224)*material_flow!$B$107*material_flow!$G$108</f>
        <v>0</v>
      </c>
      <c r="K495" s="84">
        <f>(I224-I225+J224)*material_flow!$B$110*material_flow!$G$111</f>
        <v>0</v>
      </c>
      <c r="L495" s="225">
        <f t="shared" si="99"/>
        <v>0</v>
      </c>
      <c r="M495" s="230">
        <f t="shared" si="100"/>
        <v>0</v>
      </c>
      <c r="N495" s="230">
        <f t="shared" si="101"/>
        <v>0</v>
      </c>
    </row>
    <row r="496" spans="2:14" s="84" customFormat="1">
      <c r="B496" s="84">
        <v>48</v>
      </c>
      <c r="G496" s="226"/>
      <c r="H496" s="212"/>
      <c r="I496" s="212"/>
      <c r="J496" s="84">
        <f>(G225-G226+H225)*material_flow!$B$107*material_flow!$G$108</f>
        <v>0</v>
      </c>
      <c r="K496" s="84">
        <f>(I225-I226+J225)*material_flow!$B$110*material_flow!$G$111</f>
        <v>0</v>
      </c>
      <c r="L496" s="225">
        <f t="shared" si="99"/>
        <v>0</v>
      </c>
      <c r="M496" s="230">
        <f t="shared" si="100"/>
        <v>0</v>
      </c>
      <c r="N496" s="230">
        <f t="shared" si="101"/>
        <v>0</v>
      </c>
    </row>
    <row r="497" spans="2:14" s="84" customFormat="1">
      <c r="B497" s="84">
        <v>49</v>
      </c>
      <c r="G497" s="226"/>
      <c r="H497" s="212"/>
      <c r="I497" s="212"/>
      <c r="J497" s="84">
        <f>(G226-G227+H226)*material_flow!$B$107*material_flow!$G$108</f>
        <v>0</v>
      </c>
      <c r="K497" s="84">
        <f>(I226-I227+J226)*material_flow!$B$110*material_flow!$G$111</f>
        <v>0</v>
      </c>
      <c r="L497" s="225">
        <f t="shared" si="99"/>
        <v>0</v>
      </c>
      <c r="M497" s="230">
        <f t="shared" si="100"/>
        <v>0</v>
      </c>
      <c r="N497" s="230">
        <f t="shared" si="101"/>
        <v>0</v>
      </c>
    </row>
    <row r="498" spans="2:14" s="111" customFormat="1">
      <c r="B498" s="111">
        <v>50</v>
      </c>
      <c r="G498" s="227">
        <f t="shared" ref="G498" si="102">F497*(1-EXP(-$B$306))</f>
        <v>0</v>
      </c>
      <c r="H498" s="183"/>
      <c r="I498" s="183"/>
      <c r="J498" s="111">
        <f>(G227-G228+H227)*material_flow!$B$107*material_flow!$G$108</f>
        <v>-0.70728196911836394</v>
      </c>
      <c r="K498" s="111">
        <f>(I227-I228+J227)*material_flow!$B$110*material_flow!$G$111</f>
        <v>-4.0568878676603883E-3</v>
      </c>
      <c r="L498" s="222">
        <f t="shared" si="99"/>
        <v>-0.71133885698602428</v>
      </c>
      <c r="M498" s="234">
        <f t="shared" si="100"/>
        <v>-0.71133885698602428</v>
      </c>
      <c r="N498" s="234">
        <f t="shared" si="101"/>
        <v>0</v>
      </c>
    </row>
    <row r="499" spans="2:14" s="84" customFormat="1">
      <c r="B499" s="84">
        <v>51</v>
      </c>
      <c r="C499" s="84">
        <f>(C228-C229+D228)*material_flow!$B$107*material_flow!$G$108</f>
        <v>0</v>
      </c>
      <c r="D499" s="84">
        <f>(E228-EF229+F228)*material_flow!$B$110*material_flow!$G$111</f>
        <v>0</v>
      </c>
      <c r="E499" s="84">
        <f>SUM(C499:D499)</f>
        <v>0</v>
      </c>
      <c r="F499" s="84">
        <f>E499+(E498*EXP(-$B$306))</f>
        <v>0</v>
      </c>
      <c r="G499" s="226">
        <f>F498*(1-EXP(-$B$306))</f>
        <v>0</v>
      </c>
      <c r="H499" s="212"/>
      <c r="I499" s="212"/>
      <c r="J499" s="84">
        <f>(G228-G229+H228)*material_flow!$B$107*material_flow!$G$108</f>
        <v>0.25444996484948623</v>
      </c>
      <c r="K499" s="84">
        <f>(I228-I229+J228)*material_flow!$B$110*material_flow!$G$111</f>
        <v>3.1200010962112701E-3</v>
      </c>
      <c r="L499" s="225">
        <f>SUM(J499:K499)</f>
        <v>0.25756996594569748</v>
      </c>
      <c r="M499" s="230">
        <f>L499+(L498*EXP(-$B$306))</f>
        <v>-0.43274565065589077</v>
      </c>
      <c r="N499" s="230">
        <f>M498*(1-EXP(-$B$306))</f>
        <v>-2.1023240384436009E-2</v>
      </c>
    </row>
    <row r="500" spans="2:14" s="84" customFormat="1">
      <c r="B500" s="84">
        <v>52</v>
      </c>
      <c r="C500" s="84">
        <f>(C229-C230+D229)*material_flow!$B$107*material_flow!$G$108</f>
        <v>0</v>
      </c>
      <c r="D500" s="84">
        <f>(E229-EF230+F229)*material_flow!$B$110*material_flow!$G$111</f>
        <v>0</v>
      </c>
      <c r="E500" s="84">
        <f t="shared" ref="E500:E548" si="103">SUM(C500:D500)</f>
        <v>0</v>
      </c>
      <c r="F500" s="84">
        <f t="shared" ref="F500:F548" si="104">E500+(E499*EXP(-$B$306))</f>
        <v>0</v>
      </c>
      <c r="G500" s="226">
        <f>F499*(1-EXP(-$B$306))</f>
        <v>0</v>
      </c>
      <c r="H500" s="212"/>
      <c r="I500" s="212"/>
      <c r="J500" s="84">
        <f>(G229-G230+H229)*material_flow!$B$107*material_flow!$G$108</f>
        <v>0.11915951273957269</v>
      </c>
      <c r="K500" s="84">
        <f>(I229-I230+J229)*material_flow!$B$110*material_flow!$G$111</f>
        <v>3.0463829203463506E-3</v>
      </c>
      <c r="L500" s="225">
        <f t="shared" ref="L500:L547" si="105">SUM(J500:K500)</f>
        <v>0.12220589565991904</v>
      </c>
      <c r="M500" s="230">
        <f t="shared" ref="M500:M546" si="106">L500+(L499*EXP(-$B$306))</f>
        <v>0.3721635186881625</v>
      </c>
      <c r="N500" s="230">
        <f t="shared" ref="N500:N547" si="107">M499*(1-EXP(-$B$306))</f>
        <v>-1.2789566814338535E-2</v>
      </c>
    </row>
    <row r="501" spans="2:14" s="84" customFormat="1">
      <c r="B501" s="84">
        <v>53</v>
      </c>
      <c r="C501" s="84">
        <f>(C230-C231+D230)*material_flow!$B$107*material_flow!$G$108</f>
        <v>0</v>
      </c>
      <c r="D501" s="84">
        <f>(E230-EF231+F230)*material_flow!$B$110*material_flow!$G$111</f>
        <v>0</v>
      </c>
      <c r="E501" s="84">
        <f t="shared" si="103"/>
        <v>0</v>
      </c>
      <c r="F501" s="84">
        <f t="shared" si="104"/>
        <v>0</v>
      </c>
      <c r="G501" s="226">
        <f t="shared" ref="G501:G548" si="108">F500*(1-EXP(-$B$306))</f>
        <v>0</v>
      </c>
      <c r="H501" s="212"/>
      <c r="I501" s="212"/>
      <c r="J501" s="84">
        <f>(G230-G231+H230)*material_flow!$B$107*material_flow!$G$108</f>
        <v>0.10659971572535479</v>
      </c>
      <c r="K501" s="84">
        <f>(I230-I231+J230)*material_flow!$B$110*material_flow!$G$111</f>
        <v>2.7482354940299306E-3</v>
      </c>
      <c r="L501" s="225">
        <f t="shared" si="105"/>
        <v>0.10934795121938472</v>
      </c>
      <c r="M501" s="230">
        <f t="shared" si="106"/>
        <v>0.22794211683584817</v>
      </c>
      <c r="N501" s="230">
        <f t="shared" si="107"/>
        <v>1.0999094227538458E-2</v>
      </c>
    </row>
    <row r="502" spans="2:14" s="84" customFormat="1">
      <c r="B502" s="84">
        <v>54</v>
      </c>
      <c r="C502" s="84">
        <f>(C231-C232+D231)*material_flow!$B$107*material_flow!$G$108</f>
        <v>0</v>
      </c>
      <c r="D502" s="84">
        <f>(E231-EF232+F231)*material_flow!$B$110*material_flow!$G$111</f>
        <v>0</v>
      </c>
      <c r="E502" s="84">
        <f t="shared" si="103"/>
        <v>0</v>
      </c>
      <c r="F502" s="84">
        <f t="shared" si="104"/>
        <v>0</v>
      </c>
      <c r="G502" s="226">
        <f t="shared" si="108"/>
        <v>0</v>
      </c>
      <c r="H502" s="212"/>
      <c r="I502" s="212"/>
      <c r="J502" s="84">
        <f>(G231-G232+H231)*material_flow!$B$107*material_flow!$G$108</f>
        <v>9.7364869833434772E-2</v>
      </c>
      <c r="K502" s="84">
        <f>(I231-I232+J231)*material_flow!$B$110*material_flow!$G$111</f>
        <v>2.3634004480790755E-3</v>
      </c>
      <c r="L502" s="225">
        <f t="shared" si="105"/>
        <v>9.9728270281513848E-2</v>
      </c>
      <c r="M502" s="230">
        <f t="shared" si="106"/>
        <v>0.20584450114504588</v>
      </c>
      <c r="N502" s="230">
        <f t="shared" si="107"/>
        <v>6.7367076449071093E-3</v>
      </c>
    </row>
    <row r="503" spans="2:14" s="84" customFormat="1">
      <c r="B503" s="84">
        <v>55</v>
      </c>
      <c r="C503" s="84">
        <f>(C232-C233+D232)*material_flow!$B$107*material_flow!$G$108</f>
        <v>0</v>
      </c>
      <c r="D503" s="84">
        <f>(E232-EF233+F232)*material_flow!$B$110*material_flow!$G$111</f>
        <v>0</v>
      </c>
      <c r="E503" s="84">
        <f t="shared" si="103"/>
        <v>0</v>
      </c>
      <c r="F503" s="84">
        <f t="shared" si="104"/>
        <v>0</v>
      </c>
      <c r="G503" s="226">
        <f t="shared" si="108"/>
        <v>0</v>
      </c>
      <c r="H503" s="212"/>
      <c r="I503" s="212"/>
      <c r="J503" s="84">
        <f>(G232-G233+H232)*material_flow!$B$107*material_flow!$G$108</f>
        <v>9.0572088289611746E-2</v>
      </c>
      <c r="K503" s="84">
        <f>(I232-I233+J232)*material_flow!$B$110*material_flow!$G$111</f>
        <v>1.968235219977113E-3</v>
      </c>
      <c r="L503" s="225">
        <f t="shared" si="105"/>
        <v>9.2540323509588865E-2</v>
      </c>
      <c r="M503" s="230">
        <f t="shared" si="106"/>
        <v>0.1893211779728024</v>
      </c>
      <c r="N503" s="230">
        <f t="shared" si="107"/>
        <v>6.0836244033153335E-3</v>
      </c>
    </row>
    <row r="504" spans="2:14" s="84" customFormat="1">
      <c r="B504" s="84">
        <v>56</v>
      </c>
      <c r="C504" s="84">
        <f>(C233-C234+D233)*material_flow!$B$107*material_flow!$G$108</f>
        <v>0</v>
      </c>
      <c r="D504" s="84">
        <f>(E233-EF234+F233)*material_flow!$B$110*material_flow!$G$111</f>
        <v>0</v>
      </c>
      <c r="E504" s="84">
        <f t="shared" si="103"/>
        <v>0</v>
      </c>
      <c r="F504" s="84">
        <f t="shared" si="104"/>
        <v>0</v>
      </c>
      <c r="G504" s="226">
        <f t="shared" si="108"/>
        <v>0</v>
      </c>
      <c r="H504" s="212"/>
      <c r="I504" s="212"/>
      <c r="J504" s="84">
        <f>(G233-G234+H233)*material_flow!$B$107*material_flow!$G$108</f>
        <v>8.5574478146656127E-2</v>
      </c>
      <c r="K504" s="84">
        <f>(I233-I234+J233)*material_flow!$B$110*material_flow!$G$111</f>
        <v>1.601804717992488E-3</v>
      </c>
      <c r="L504" s="225">
        <f t="shared" si="105"/>
        <v>8.717628286464861E-2</v>
      </c>
      <c r="M504" s="230">
        <f t="shared" si="106"/>
        <v>0.17698162648766314</v>
      </c>
      <c r="N504" s="230">
        <f t="shared" si="107"/>
        <v>5.5952864029541055E-3</v>
      </c>
    </row>
    <row r="505" spans="2:14" s="84" customFormat="1">
      <c r="B505" s="84">
        <v>57</v>
      </c>
      <c r="C505" s="84">
        <f>(C234-C235+D234)*material_flow!$B$107*material_flow!$G$108</f>
        <v>0</v>
      </c>
      <c r="D505" s="84">
        <f>(E234-EF235+F234)*material_flow!$B$110*material_flow!$G$111</f>
        <v>0</v>
      </c>
      <c r="E505" s="84">
        <f t="shared" si="103"/>
        <v>0</v>
      </c>
      <c r="F505" s="84">
        <f t="shared" si="104"/>
        <v>0</v>
      </c>
      <c r="G505" s="226">
        <f t="shared" si="108"/>
        <v>0</v>
      </c>
      <c r="H505" s="212"/>
      <c r="I505" s="212"/>
      <c r="J505" s="84">
        <f>(G234-G235+H234)*material_flow!$B$107*material_flow!$G$108</f>
        <v>8.1896879824995147E-2</v>
      </c>
      <c r="K505" s="84">
        <f>(I234-I235+J234)*material_flow!$B$110*material_flow!$G$111</f>
        <v>1.2811763464696299E-3</v>
      </c>
      <c r="L505" s="225">
        <f t="shared" si="105"/>
        <v>8.3178056171464773E-2</v>
      </c>
      <c r="M505" s="230">
        <f t="shared" si="106"/>
        <v>0.16777789050882436</v>
      </c>
      <c r="N505" s="230">
        <f t="shared" si="107"/>
        <v>5.230597542560101E-3</v>
      </c>
    </row>
    <row r="506" spans="2:14" s="84" customFormat="1">
      <c r="B506" s="84">
        <v>58</v>
      </c>
      <c r="C506" s="84">
        <f>(C235-C236+D235)*material_flow!$B$107*material_flow!$G$108</f>
        <v>0</v>
      </c>
      <c r="D506" s="84">
        <f>(E235-EF236+F235)*material_flow!$B$110*material_flow!$G$111</f>
        <v>0</v>
      </c>
      <c r="E506" s="84">
        <f t="shared" si="103"/>
        <v>0</v>
      </c>
      <c r="F506" s="84">
        <f t="shared" si="104"/>
        <v>0</v>
      </c>
      <c r="G506" s="226">
        <f t="shared" si="108"/>
        <v>0</v>
      </c>
      <c r="H506" s="212"/>
      <c r="I506" s="212"/>
      <c r="J506" s="84">
        <f>(G235-G236+H235)*material_flow!$B$107*material_flow!$G$108</f>
        <v>7.9189417054051039E-2</v>
      </c>
      <c r="K506" s="84">
        <f>(I235-I236+J235)*material_flow!$B$110*material_flow!$G$111</f>
        <v>1.0109546059727189E-3</v>
      </c>
      <c r="L506" s="225">
        <f t="shared" si="105"/>
        <v>8.0200371660023764E-2</v>
      </c>
      <c r="M506" s="230">
        <f t="shared" si="106"/>
        <v>0.16092014476086869</v>
      </c>
      <c r="N506" s="230">
        <f t="shared" si="107"/>
        <v>4.9585860363451214E-3</v>
      </c>
    </row>
    <row r="507" spans="2:14" s="84" customFormat="1">
      <c r="B507" s="84">
        <v>59</v>
      </c>
      <c r="C507" s="84">
        <f>(C236-C237+D236)*material_flow!$B$107*material_flow!$G$108</f>
        <v>0</v>
      </c>
      <c r="D507" s="84">
        <f>(E236-EF237+F236)*material_flow!$B$110*material_flow!$G$111</f>
        <v>0</v>
      </c>
      <c r="E507" s="84">
        <f t="shared" si="103"/>
        <v>0</v>
      </c>
      <c r="F507" s="84">
        <f t="shared" si="104"/>
        <v>0</v>
      </c>
      <c r="G507" s="226">
        <f t="shared" si="108"/>
        <v>0</v>
      </c>
      <c r="H507" s="212"/>
      <c r="I507" s="212"/>
      <c r="J507" s="84">
        <f>(G236-G237+H236)*material_flow!$B$107*material_flow!$G$108</f>
        <v>7.7193849571526196E-2</v>
      </c>
      <c r="K507" s="84">
        <f>(I236-I237+J236)*material_flow!$B$110*material_flow!$G$111</f>
        <v>7.8911754147535228E-4</v>
      </c>
      <c r="L507" s="225">
        <f t="shared" si="105"/>
        <v>7.7982967113001553E-2</v>
      </c>
      <c r="M507" s="230">
        <f t="shared" si="106"/>
        <v>0.15581305957940195</v>
      </c>
      <c r="N507" s="230">
        <f t="shared" si="107"/>
        <v>4.755909019704305E-3</v>
      </c>
    </row>
    <row r="508" spans="2:14" s="84" customFormat="1">
      <c r="B508" s="84">
        <v>60</v>
      </c>
      <c r="C508" s="84">
        <f>(C237-C238+D237)*material_flow!$B$107*material_flow!$G$108</f>
        <v>0</v>
      </c>
      <c r="D508" s="84">
        <f>(E237-EF238+F237)*material_flow!$B$110*material_flow!$G$111</f>
        <v>0</v>
      </c>
      <c r="E508" s="84">
        <f t="shared" si="103"/>
        <v>0</v>
      </c>
      <c r="F508" s="84">
        <f t="shared" si="104"/>
        <v>0</v>
      </c>
      <c r="G508" s="226">
        <f t="shared" si="108"/>
        <v>0</v>
      </c>
      <c r="H508" s="212"/>
      <c r="I508" s="212"/>
      <c r="J508" s="84">
        <f>(G237-G238+H237)*material_flow!$B$107*material_flow!$G$108</f>
        <v>7.571914453384905E-2</v>
      </c>
      <c r="K508" s="84">
        <f>(I237-I238+J237)*material_flow!$B$110*material_flow!$G$111</f>
        <v>6.1050342647459704E-4</v>
      </c>
      <c r="L508" s="225">
        <f t="shared" si="105"/>
        <v>7.6329647960323654E-2</v>
      </c>
      <c r="M508" s="230">
        <f t="shared" si="106"/>
        <v>0.15200787008799621</v>
      </c>
      <c r="N508" s="230">
        <f t="shared" si="107"/>
        <v>4.6049718420437353E-3</v>
      </c>
    </row>
    <row r="509" spans="2:14" s="84" customFormat="1">
      <c r="B509" s="84">
        <v>61</v>
      </c>
      <c r="C509" s="84">
        <f>(C238-C239+D238)*material_flow!$B$107*material_flow!$G$108</f>
        <v>0</v>
      </c>
      <c r="D509" s="84">
        <f>(E238-EF239+F238)*material_flow!$B$110*material_flow!$G$111</f>
        <v>0</v>
      </c>
      <c r="E509" s="84">
        <f t="shared" si="103"/>
        <v>0</v>
      </c>
      <c r="F509" s="84">
        <f t="shared" si="104"/>
        <v>0</v>
      </c>
      <c r="G509" s="226">
        <f t="shared" si="108"/>
        <v>0</v>
      </c>
      <c r="H509" s="212"/>
      <c r="I509" s="212"/>
      <c r="J509" s="84">
        <f>(G238-G239+H238)*material_flow!$B$107*material_flow!$G$108</f>
        <v>7.4623698118984019E-2</v>
      </c>
      <c r="K509" s="84">
        <f>(I238-I239+J238)*material_flow!$B$110*material_flow!$G$111</f>
        <v>4.688234548579446E-4</v>
      </c>
      <c r="L509" s="225">
        <f t="shared" si="105"/>
        <v>7.5092521573841969E-2</v>
      </c>
      <c r="M509" s="230">
        <f t="shared" si="106"/>
        <v>0.14916628751426805</v>
      </c>
      <c r="N509" s="230">
        <f t="shared" si="107"/>
        <v>4.4925114968784145E-3</v>
      </c>
    </row>
    <row r="510" spans="2:14" s="84" customFormat="1">
      <c r="B510" s="84">
        <v>62</v>
      </c>
      <c r="C510" s="84">
        <f>(C239-C240+D239)*material_flow!$B$107*material_flow!$G$108</f>
        <v>0</v>
      </c>
      <c r="D510" s="84">
        <f>(E239-EF240+F239)*material_flow!$B$110*material_flow!$G$111</f>
        <v>0</v>
      </c>
      <c r="E510" s="84">
        <f t="shared" si="103"/>
        <v>0</v>
      </c>
      <c r="F510" s="84">
        <f t="shared" si="104"/>
        <v>0</v>
      </c>
      <c r="G510" s="226">
        <f t="shared" si="108"/>
        <v>0</v>
      </c>
      <c r="H510" s="212"/>
      <c r="I510" s="212"/>
      <c r="J510" s="84">
        <f>(G239-G240+H239)*material_flow!$B$107*material_flow!$G$108</f>
        <v>7.3802363948592645E-2</v>
      </c>
      <c r="K510" s="84">
        <f>(I239-I240+J239)*material_flow!$B$110*material_flow!$G$111</f>
        <v>3.5776477498141725E-4</v>
      </c>
      <c r="L510" s="225">
        <f t="shared" si="105"/>
        <v>7.4160128723574067E-2</v>
      </c>
      <c r="M510" s="230">
        <f t="shared" si="106"/>
        <v>0.14703333088780401</v>
      </c>
      <c r="N510" s="230">
        <f t="shared" si="107"/>
        <v>4.408530040034022E-3</v>
      </c>
    </row>
    <row r="511" spans="2:14" s="84" customFormat="1">
      <c r="B511" s="84">
        <v>63</v>
      </c>
      <c r="C511" s="84">
        <f>(C240-C241+D240)*material_flow!$B$107*material_flow!$G$108</f>
        <v>0</v>
      </c>
      <c r="D511" s="84">
        <f>(E240-EF241+F240)*material_flow!$B$110*material_flow!$G$111</f>
        <v>0</v>
      </c>
      <c r="E511" s="84">
        <f t="shared" si="103"/>
        <v>0</v>
      </c>
      <c r="F511" s="84">
        <f t="shared" si="104"/>
        <v>0</v>
      </c>
      <c r="G511" s="226">
        <f t="shared" si="108"/>
        <v>0</v>
      </c>
      <c r="H511" s="212"/>
      <c r="I511" s="212"/>
      <c r="J511" s="84">
        <f>(G240-G241+H240)*material_flow!$B$107*material_flow!$G$108</f>
        <v>7.3176963314644794E-2</v>
      </c>
      <c r="K511" s="84">
        <f>(I240-I241+J240)*material_flow!$B$110*material_flow!$G$111</f>
        <v>2.715440694891065E-4</v>
      </c>
      <c r="L511" s="225">
        <f t="shared" si="105"/>
        <v>7.3448507384133901E-2</v>
      </c>
      <c r="M511" s="230">
        <f t="shared" si="106"/>
        <v>0.14541687307130879</v>
      </c>
      <c r="N511" s="230">
        <f t="shared" si="107"/>
        <v>4.3454916449747038E-3</v>
      </c>
    </row>
    <row r="512" spans="2:14" s="84" customFormat="1">
      <c r="B512" s="84">
        <v>64</v>
      </c>
      <c r="C512" s="84">
        <f>(C241-C242+D241)*material_flow!$B$107*material_flow!$G$108</f>
        <v>0</v>
      </c>
      <c r="D512" s="84">
        <f>(E241-EF242+F241)*material_flow!$B$110*material_flow!$G$111</f>
        <v>0</v>
      </c>
      <c r="E512" s="84">
        <f t="shared" si="103"/>
        <v>0</v>
      </c>
      <c r="F512" s="84">
        <f t="shared" si="104"/>
        <v>0</v>
      </c>
      <c r="G512" s="226">
        <f t="shared" si="108"/>
        <v>0</v>
      </c>
      <c r="H512" s="212"/>
      <c r="I512" s="212"/>
      <c r="J512" s="84">
        <f>(G241-G242+H241)*material_flow!$B$107*material_flow!$G$108</f>
        <v>7.2689323177026768E-2</v>
      </c>
      <c r="K512" s="84">
        <f>(I241-I242+J241)*material_flow!$B$110*material_flow!$G$111</f>
        <v>2.0513891836276799E-4</v>
      </c>
      <c r="L512" s="225">
        <f t="shared" si="105"/>
        <v>7.2894462095389537E-2</v>
      </c>
      <c r="M512" s="230">
        <f t="shared" si="106"/>
        <v>0.14417223803212692</v>
      </c>
      <c r="N512" s="230">
        <f t="shared" si="107"/>
        <v>4.2977180966668437E-3</v>
      </c>
    </row>
    <row r="513" spans="2:14" s="84" customFormat="1">
      <c r="B513" s="84">
        <v>65</v>
      </c>
      <c r="C513" s="84">
        <f>(C242-C243+D242)*material_flow!$B$107*material_flow!$G$108</f>
        <v>0</v>
      </c>
      <c r="D513" s="84">
        <f>(E242-EF243+F242)*material_flow!$B$110*material_flow!$G$111</f>
        <v>0</v>
      </c>
      <c r="E513" s="84">
        <f t="shared" si="103"/>
        <v>0</v>
      </c>
      <c r="F513" s="84">
        <f t="shared" si="104"/>
        <v>0</v>
      </c>
      <c r="G513" s="226">
        <f t="shared" si="108"/>
        <v>0</v>
      </c>
      <c r="H513" s="212"/>
      <c r="I513" s="212"/>
      <c r="J513" s="84">
        <f>(G242-G243+H242)*material_flow!$B$107*material_flow!$G$108</f>
        <v>7.2296153751542677E-2</v>
      </c>
      <c r="K513" s="84">
        <f>(I242-I243+J242)*material_flow!$B$110*material_flow!$G$111</f>
        <v>1.5433820577462039E-4</v>
      </c>
      <c r="L513" s="225">
        <f t="shared" si="105"/>
        <v>7.2450491957317301E-2</v>
      </c>
      <c r="M513" s="230">
        <f t="shared" si="106"/>
        <v>0.14319059711820908</v>
      </c>
      <c r="N513" s="230">
        <f t="shared" si="107"/>
        <v>4.2609335721569917E-3</v>
      </c>
    </row>
    <row r="514" spans="2:14" s="84" customFormat="1">
      <c r="B514" s="84">
        <v>66</v>
      </c>
      <c r="C514" s="84">
        <f>(C243-C244+D243)*material_flow!$B$107*material_flow!$G$108</f>
        <v>0</v>
      </c>
      <c r="D514" s="84">
        <f>(E243-EF244+F243)*material_flow!$B$110*material_flow!$G$111</f>
        <v>0</v>
      </c>
      <c r="E514" s="84">
        <f t="shared" si="103"/>
        <v>0</v>
      </c>
      <c r="F514" s="84">
        <f t="shared" si="104"/>
        <v>0</v>
      </c>
      <c r="G514" s="226">
        <f t="shared" si="108"/>
        <v>0</v>
      </c>
      <c r="H514" s="212"/>
      <c r="I514" s="212"/>
      <c r="J514" s="84">
        <f>(G243-G244+H243)*material_flow!$B$107*material_flow!$G$108</f>
        <v>7.1965268295474685E-2</v>
      </c>
      <c r="K514" s="84">
        <f>(I243-I244+J243)*material_flow!$B$110*material_flow!$G$111</f>
        <v>1.1569772461741372E-4</v>
      </c>
      <c r="L514" s="225">
        <f t="shared" si="105"/>
        <v>7.2080966020092105E-2</v>
      </c>
      <c r="M514" s="230">
        <f t="shared" si="106"/>
        <v>0.1423902223434628</v>
      </c>
      <c r="N514" s="230">
        <f t="shared" si="107"/>
        <v>4.2319216986991953E-3</v>
      </c>
    </row>
    <row r="515" spans="2:14" s="84" customFormat="1">
      <c r="B515" s="84">
        <v>67</v>
      </c>
      <c r="C515" s="84">
        <f>(C244-C245+D244)*material_flow!$B$107*material_flow!$G$108</f>
        <v>0</v>
      </c>
      <c r="D515" s="84">
        <f>(E244-EF245+F244)*material_flow!$B$110*material_flow!$G$111</f>
        <v>0</v>
      </c>
      <c r="E515" s="84">
        <f t="shared" si="103"/>
        <v>0</v>
      </c>
      <c r="F515" s="84">
        <f t="shared" si="104"/>
        <v>0</v>
      </c>
      <c r="G515" s="226">
        <f t="shared" si="108"/>
        <v>0</v>
      </c>
      <c r="H515" s="212"/>
      <c r="I515" s="212"/>
      <c r="J515" s="84">
        <f>(G244-G245+H244)*material_flow!$B$107*material_flow!$G$108</f>
        <v>7.1672784828474889E-2</v>
      </c>
      <c r="K515" s="84">
        <f>(I244-I245+J244)*material_flow!$B$110*material_flow!$G$111</f>
        <v>8.645218840234382E-5</v>
      </c>
      <c r="L515" s="225">
        <f t="shared" si="105"/>
        <v>7.1759237016877239E-2</v>
      </c>
      <c r="M515" s="230">
        <f t="shared" si="106"/>
        <v>0.14170988854493741</v>
      </c>
      <c r="N515" s="230">
        <f t="shared" si="107"/>
        <v>4.208267049270336E-3</v>
      </c>
    </row>
    <row r="516" spans="2:14" s="84" customFormat="1">
      <c r="B516" s="84">
        <v>68</v>
      </c>
      <c r="C516" s="84">
        <f>(C245-C246+D245)*material_flow!$B$107*material_flow!$G$108</f>
        <v>0</v>
      </c>
      <c r="D516" s="84">
        <f>(E245-EF246+F245)*material_flow!$B$110*material_flow!$G$111</f>
        <v>0</v>
      </c>
      <c r="E516" s="84">
        <f t="shared" si="103"/>
        <v>0</v>
      </c>
      <c r="F516" s="84">
        <f t="shared" si="104"/>
        <v>0</v>
      </c>
      <c r="G516" s="226">
        <f t="shared" si="108"/>
        <v>0</v>
      </c>
      <c r="H516" s="213"/>
      <c r="I516" s="213"/>
      <c r="J516" s="84">
        <f>(G245-G246+H245)*material_flow!$B$107*material_flow!$G$108</f>
        <v>7.1401048257317135E-2</v>
      </c>
      <c r="K516" s="84">
        <f>(I245-I246+J245)*material_flow!$B$110*material_flow!$G$111</f>
        <v>6.4412995026721709E-5</v>
      </c>
      <c r="L516" s="225">
        <f t="shared" si="105"/>
        <v>7.1465461252343862E-2</v>
      </c>
      <c r="M516" s="230">
        <f t="shared" si="106"/>
        <v>0.14110389230622117</v>
      </c>
      <c r="N516" s="230">
        <f t="shared" si="107"/>
        <v>4.1881601468460013E-3</v>
      </c>
    </row>
    <row r="517" spans="2:14">
      <c r="B517" s="84">
        <v>69</v>
      </c>
      <c r="C517" s="84">
        <f>(C246-C247+D246)*material_flow!$B$107*material_flow!$G$108</f>
        <v>0</v>
      </c>
      <c r="D517" s="84">
        <f>(E246-EF247+F246)*material_flow!$B$110*material_flow!$G$111</f>
        <v>0</v>
      </c>
      <c r="E517" s="84">
        <f t="shared" si="103"/>
        <v>0</v>
      </c>
      <c r="F517" s="84">
        <f t="shared" si="104"/>
        <v>0</v>
      </c>
      <c r="G517" s="226">
        <f t="shared" si="108"/>
        <v>0</v>
      </c>
      <c r="J517" s="84">
        <f>(G246-G247+H246)*material_flow!$B$107*material_flow!$G$108</f>
        <v>7.1137082586769859E-2</v>
      </c>
      <c r="K517" s="84">
        <f>(I246-I247+J246)*material_flow!$B$110*material_flow!$G$111</f>
        <v>4.7867636958688682E-5</v>
      </c>
      <c r="L517" s="225">
        <f t="shared" si="105"/>
        <v>7.1184950223728546E-2</v>
      </c>
      <c r="M517" s="230">
        <f t="shared" si="106"/>
        <v>0.14053828789904962</v>
      </c>
      <c r="N517" s="230">
        <f t="shared" si="107"/>
        <v>4.1702502513391321E-3</v>
      </c>
    </row>
    <row r="518" spans="2:14">
      <c r="B518" s="84">
        <v>70</v>
      </c>
      <c r="C518" s="84">
        <f>(C247-C248+D247)*material_flow!$B$107*material_flow!$G$108</f>
        <v>0</v>
      </c>
      <c r="D518" s="84">
        <f>(E247-EF248+F247)*material_flow!$B$110*material_flow!$G$111</f>
        <v>0</v>
      </c>
      <c r="E518" s="84">
        <f t="shared" si="103"/>
        <v>0</v>
      </c>
      <c r="F518" s="84">
        <f t="shared" si="104"/>
        <v>0</v>
      </c>
      <c r="G518" s="226">
        <f t="shared" si="108"/>
        <v>0</v>
      </c>
      <c r="J518" s="84">
        <f>(G247-G248+H247)*material_flow!$B$107*material_flow!$G$108</f>
        <v>6.803480226940567E-2</v>
      </c>
      <c r="K518" s="84">
        <f>(I247-I248+J247)*material_flow!$B$110*material_flow!$G$111</f>
        <v>1.9881463236868466E-5</v>
      </c>
      <c r="L518" s="225">
        <f t="shared" si="105"/>
        <v>6.8054683732642535E-2</v>
      </c>
      <c r="M518" s="230">
        <f t="shared" si="106"/>
        <v>0.13713580073313278</v>
      </c>
      <c r="N518" s="230">
        <f t="shared" si="107"/>
        <v>4.1535341148625643E-3</v>
      </c>
    </row>
    <row r="519" spans="2:14" s="179" customFormat="1">
      <c r="B519" s="111">
        <v>71</v>
      </c>
      <c r="C519" s="111">
        <f>(C248-C249+D248)*material_flow!$B$107*material_flow!$G$108</f>
        <v>0</v>
      </c>
      <c r="D519" s="111">
        <f>(E248-EF249+F248)*material_flow!$B$110*material_flow!$G$111</f>
        <v>0</v>
      </c>
      <c r="E519" s="111">
        <f t="shared" si="103"/>
        <v>0</v>
      </c>
      <c r="F519" s="111">
        <f t="shared" si="104"/>
        <v>0</v>
      </c>
      <c r="G519" s="227">
        <f t="shared" si="108"/>
        <v>0</v>
      </c>
      <c r="J519" s="111">
        <f>(G248-G249+H248)*material_flow!$B$107*material_flow!$G$108</f>
        <v>7.3531622910519887E-2</v>
      </c>
      <c r="K519" s="111">
        <f>(I248-I249+J248)*material_flow!$B$110*material_flow!$G$111</f>
        <v>4.9293315348732693E-5</v>
      </c>
      <c r="L519" s="222">
        <f t="shared" si="105"/>
        <v>7.3580916225868626E-2</v>
      </c>
      <c r="M519" s="234">
        <f t="shared" si="106"/>
        <v>0.13962428009126787</v>
      </c>
      <c r="N519" s="234">
        <f t="shared" si="107"/>
        <v>4.0529754220658435E-3</v>
      </c>
    </row>
    <row r="520" spans="2:14">
      <c r="B520" s="84">
        <v>72</v>
      </c>
      <c r="C520" s="84">
        <f>(C249-C250+D249)*material_flow!$B$107*material_flow!$G$108</f>
        <v>0</v>
      </c>
      <c r="D520" s="84">
        <f>(E249-EF250+F249)*material_flow!$B$110*material_flow!$G$111</f>
        <v>0</v>
      </c>
      <c r="E520" s="84">
        <f t="shared" si="103"/>
        <v>0</v>
      </c>
      <c r="F520" s="84">
        <f t="shared" si="104"/>
        <v>0</v>
      </c>
      <c r="G520" s="226">
        <f t="shared" si="108"/>
        <v>0</v>
      </c>
      <c r="J520" s="84">
        <f>(G249-G250+H249)*material_flow!$B$107*material_flow!$G$108</f>
        <v>7.0373211974702268E-2</v>
      </c>
      <c r="K520" s="84">
        <f>(I249-I250+J249)*material_flow!$B$110*material_flow!$G$111</f>
        <v>2.2617651491960738E-5</v>
      </c>
      <c r="L520" s="225">
        <f t="shared" si="105"/>
        <v>7.0395829626194228E-2</v>
      </c>
      <c r="M520" s="230">
        <f t="shared" si="106"/>
        <v>0.14180210113199537</v>
      </c>
      <c r="N520" s="230">
        <f t="shared" si="107"/>
        <v>4.126521101771077E-3</v>
      </c>
    </row>
    <row r="521" spans="2:14">
      <c r="B521" s="84">
        <v>73</v>
      </c>
      <c r="C521" s="84">
        <f>(C250-C251+D250)*material_flow!$B$107*material_flow!$G$108</f>
        <v>0</v>
      </c>
      <c r="D521" s="84">
        <f>(E250-EF251+F250)*material_flow!$B$110*material_flow!$G$111</f>
        <v>0</v>
      </c>
      <c r="E521" s="84">
        <f t="shared" si="103"/>
        <v>0</v>
      </c>
      <c r="F521" s="84">
        <f t="shared" si="104"/>
        <v>0</v>
      </c>
      <c r="G521" s="226">
        <f t="shared" si="108"/>
        <v>0</v>
      </c>
      <c r="J521" s="84">
        <f>(G250-G251+H250)*material_flow!$B$107*material_flow!$G$108</f>
        <v>7.0067807514421571E-2</v>
      </c>
      <c r="K521" s="84">
        <f>(I250-I251+J250)*material_flow!$B$110*material_flow!$G$111</f>
        <v>1.6573287589169075E-5</v>
      </c>
      <c r="L521" s="225">
        <f t="shared" si="105"/>
        <v>7.0084380802010737E-2</v>
      </c>
      <c r="M521" s="230">
        <f t="shared" si="106"/>
        <v>0.13839969924319268</v>
      </c>
      <c r="N521" s="230">
        <f t="shared" si="107"/>
        <v>4.1908854406566111E-3</v>
      </c>
    </row>
    <row r="522" spans="2:14">
      <c r="B522" s="84">
        <v>74</v>
      </c>
      <c r="C522" s="84">
        <f>(C251-C252+D251)*material_flow!$B$107*material_flow!$G$108</f>
        <v>0</v>
      </c>
      <c r="D522" s="84">
        <f>(E251-EF252+F251)*material_flow!$B$110*material_flow!$G$111</f>
        <v>0</v>
      </c>
      <c r="E522" s="84">
        <f t="shared" si="103"/>
        <v>0</v>
      </c>
      <c r="F522" s="84">
        <f t="shared" si="104"/>
        <v>0</v>
      </c>
      <c r="G522" s="226">
        <f t="shared" si="108"/>
        <v>0</v>
      </c>
      <c r="J522" s="84">
        <f>(G251-G252+H251)*material_flow!$B$107*material_flow!$G$108</f>
        <v>6.9743739870988308E-2</v>
      </c>
      <c r="K522" s="84">
        <f>(I251-I252+J251)*material_flow!$B$110*material_flow!$G$111</f>
        <v>1.2129342335732229E-5</v>
      </c>
      <c r="L522" s="225">
        <f t="shared" si="105"/>
        <v>6.9755869213324037E-2</v>
      </c>
      <c r="M522" s="230">
        <f t="shared" si="106"/>
        <v>0.13776894353414817</v>
      </c>
      <c r="N522" s="230">
        <f t="shared" si="107"/>
        <v>4.0903292681794996E-3</v>
      </c>
    </row>
    <row r="523" spans="2:14">
      <c r="B523" s="84">
        <v>75</v>
      </c>
      <c r="C523" s="84">
        <f>(C252-C253+D252)*material_flow!$B$107*material_flow!$G$108</f>
        <v>0</v>
      </c>
      <c r="D523" s="84">
        <f>(E252-EF253+F252)*material_flow!$B$110*material_flow!$G$111</f>
        <v>0</v>
      </c>
      <c r="E523" s="84">
        <f t="shared" si="103"/>
        <v>0</v>
      </c>
      <c r="F523" s="84">
        <f t="shared" si="104"/>
        <v>0</v>
      </c>
      <c r="G523" s="226">
        <f t="shared" si="108"/>
        <v>0</v>
      </c>
      <c r="J523" s="84">
        <f>(G252-G253+H252)*material_flow!$B$107*material_flow!$G$108</f>
        <v>6.9399726941020909E-2</v>
      </c>
      <c r="K523" s="84">
        <f>(I252-I253+J252)*material_flow!$B$110*material_flow!$G$111</f>
        <v>8.8668366392741388E-6</v>
      </c>
      <c r="L523" s="225">
        <f t="shared" si="105"/>
        <v>6.9408593777660177E-2</v>
      </c>
      <c r="M523" s="230">
        <f t="shared" si="106"/>
        <v>0.13710286549452438</v>
      </c>
      <c r="N523" s="230">
        <f t="shared" si="107"/>
        <v>4.0716876197374567E-3</v>
      </c>
    </row>
    <row r="524" spans="2:14">
      <c r="B524" s="84">
        <v>76</v>
      </c>
      <c r="C524" s="84">
        <f>(C253-C254+D253)*material_flow!$B$107*material_flow!$G$108</f>
        <v>0</v>
      </c>
      <c r="D524" s="84">
        <f>(E253-EF254+F253)*material_flow!$B$110*material_flow!$G$111</f>
        <v>0</v>
      </c>
      <c r="E524" s="84">
        <f t="shared" si="103"/>
        <v>0</v>
      </c>
      <c r="F524" s="84">
        <f t="shared" si="104"/>
        <v>0</v>
      </c>
      <c r="G524" s="226">
        <f t="shared" si="108"/>
        <v>0</v>
      </c>
      <c r="J524" s="84">
        <f>(G253-G254+H253)*material_flow!$B$107*material_flow!$G$108</f>
        <v>6.9035131774243017E-2</v>
      </c>
      <c r="K524" s="84">
        <f>(I253-I254+J253)*material_flow!$B$110*material_flow!$G$111</f>
        <v>6.4749294627420449E-6</v>
      </c>
      <c r="L524" s="225">
        <f t="shared" si="105"/>
        <v>6.9041606703705752E-2</v>
      </c>
      <c r="M524" s="230">
        <f t="shared" si="106"/>
        <v>0.13639886652511884</v>
      </c>
      <c r="N524" s="230">
        <f t="shared" si="107"/>
        <v>4.0520020386613197E-3</v>
      </c>
    </row>
    <row r="525" spans="2:14">
      <c r="B525" s="84">
        <v>77</v>
      </c>
      <c r="C525" s="84">
        <f>(C254-C255+D254)*material_flow!$B$107*material_flow!$G$108</f>
        <v>0</v>
      </c>
      <c r="D525" s="84">
        <f>(E254-EF255+F254)*material_flow!$B$110*material_flow!$G$111</f>
        <v>0</v>
      </c>
      <c r="E525" s="84">
        <f t="shared" si="103"/>
        <v>0</v>
      </c>
      <c r="F525" s="84">
        <f t="shared" si="104"/>
        <v>0</v>
      </c>
      <c r="G525" s="226">
        <f t="shared" si="108"/>
        <v>0</v>
      </c>
      <c r="J525" s="84">
        <f>(G254-G255+H254)*material_flow!$B$107*material_flow!$G$108</f>
        <v>6.8649799573972561E-2</v>
      </c>
      <c r="K525" s="84">
        <f>(I254-I255+J254)*material_flow!$B$110*material_flow!$G$111</f>
        <v>4.7235147419818668E-6</v>
      </c>
      <c r="L525" s="225">
        <f t="shared" si="105"/>
        <v>6.8654523088714545E-2</v>
      </c>
      <c r="M525" s="230">
        <f t="shared" si="106"/>
        <v>0.13565564194333851</v>
      </c>
      <c r="N525" s="230">
        <f t="shared" si="107"/>
        <v>4.0311957247381389E-3</v>
      </c>
    </row>
    <row r="526" spans="2:14">
      <c r="B526" s="84">
        <v>78</v>
      </c>
      <c r="C526" s="84">
        <f>(C255-C256+D255)*material_flow!$B$107*material_flow!$G$108</f>
        <v>0</v>
      </c>
      <c r="D526" s="84">
        <f>(E255-EF256+F255)*material_flow!$B$110*material_flow!$G$111</f>
        <v>0</v>
      </c>
      <c r="E526" s="84">
        <f t="shared" si="103"/>
        <v>0</v>
      </c>
      <c r="F526" s="84">
        <f t="shared" si="104"/>
        <v>0</v>
      </c>
      <c r="G526" s="226">
        <f t="shared" si="108"/>
        <v>0</v>
      </c>
      <c r="J526" s="84">
        <f>(G255-G256+H255)*material_flow!$B$107*material_flow!$G$108</f>
        <v>6.8243933356528536E-2</v>
      </c>
      <c r="K526" s="84">
        <f>(I255-I256+J255)*material_flow!$B$110*material_flow!$G$111</f>
        <v>3.4425938788089862E-6</v>
      </c>
      <c r="L526" s="225">
        <f t="shared" si="105"/>
        <v>6.8247375950407349E-2</v>
      </c>
      <c r="M526" s="230">
        <f t="shared" si="106"/>
        <v>0.13487285123975329</v>
      </c>
      <c r="N526" s="230">
        <f t="shared" si="107"/>
        <v>4.0092301187699877E-3</v>
      </c>
    </row>
    <row r="527" spans="2:14">
      <c r="B527" s="84">
        <v>79</v>
      </c>
      <c r="C527" s="84">
        <f>(C256-C257+D256)*material_flow!$B$107*material_flow!$G$108</f>
        <v>0</v>
      </c>
      <c r="D527" s="84">
        <f>(E256-EF257+F256)*material_flow!$B$110*material_flow!$G$111</f>
        <v>0</v>
      </c>
      <c r="E527" s="84">
        <f t="shared" si="103"/>
        <v>0</v>
      </c>
      <c r="F527" s="84">
        <f t="shared" si="104"/>
        <v>0</v>
      </c>
      <c r="G527" s="226">
        <f t="shared" si="108"/>
        <v>0</v>
      </c>
      <c r="J527" s="84">
        <f>(G256-G257+H256)*material_flow!$B$107*material_flow!$G$108</f>
        <v>6.7817998969883705E-2</v>
      </c>
      <c r="K527" s="84">
        <f>(I256-I257+J256)*material_flow!$B$110*material_flow!$G$111</f>
        <v>2.5068055821633338E-6</v>
      </c>
      <c r="L527" s="225">
        <f t="shared" si="105"/>
        <v>6.7820505775465875E-2</v>
      </c>
      <c r="M527" s="230">
        <f t="shared" si="106"/>
        <v>0.13405086694294455</v>
      </c>
      <c r="N527" s="230">
        <f t="shared" si="107"/>
        <v>3.9860951571823386E-3</v>
      </c>
    </row>
    <row r="528" spans="2:14">
      <c r="B528" s="84">
        <v>80</v>
      </c>
      <c r="C528" s="84">
        <f>(C257-C258+D257)*material_flow!$B$107*material_flow!$G$108</f>
        <v>0</v>
      </c>
      <c r="D528" s="84">
        <f>(E257-EF258+F257)*material_flow!$B$110*material_flow!$G$111</f>
        <v>0</v>
      </c>
      <c r="E528" s="84">
        <f t="shared" si="103"/>
        <v>0</v>
      </c>
      <c r="F528" s="84">
        <f t="shared" si="104"/>
        <v>0</v>
      </c>
      <c r="G528" s="226">
        <f t="shared" si="108"/>
        <v>0</v>
      </c>
      <c r="J528" s="84">
        <f>(G257-G258+H257)*material_flow!$B$107*material_flow!$G$108</f>
        <v>6.7372652472603489E-2</v>
      </c>
      <c r="K528" s="84">
        <f>(I257-I258+J257)*material_flow!$B$110*material_flow!$G$111</f>
        <v>1.8238615131234748E-6</v>
      </c>
      <c r="L528" s="225">
        <f t="shared" si="105"/>
        <v>6.7374476334116612E-2</v>
      </c>
      <c r="M528" s="230">
        <f t="shared" si="106"/>
        <v>0.13319058324691829</v>
      </c>
      <c r="N528" s="230">
        <f t="shared" si="107"/>
        <v>3.9618018498586522E-3</v>
      </c>
    </row>
    <row r="529" spans="2:14">
      <c r="B529" s="84">
        <v>81</v>
      </c>
      <c r="C529" s="84">
        <f>(C258-C259+D258)*material_flow!$B$107*material_flow!$G$108</f>
        <v>0</v>
      </c>
      <c r="D529" s="84">
        <f>(E258-EF259+F258)*material_flow!$B$110*material_flow!$G$111</f>
        <v>0</v>
      </c>
      <c r="E529" s="84">
        <f t="shared" si="103"/>
        <v>0</v>
      </c>
      <c r="F529" s="84">
        <f t="shared" si="104"/>
        <v>0</v>
      </c>
      <c r="G529" s="226">
        <f t="shared" si="108"/>
        <v>0</v>
      </c>
      <c r="J529" s="84">
        <f>(G258-G259+H258)*material_flow!$B$107*material_flow!$G$108</f>
        <v>6.6908684588458139E-2</v>
      </c>
      <c r="K529" s="84">
        <f>(I258-I259+J258)*material_flow!$B$110*material_flow!$G$111</f>
        <v>1.3259268966678673E-6</v>
      </c>
      <c r="L529" s="225">
        <f t="shared" si="105"/>
        <v>6.6910010515354806E-2</v>
      </c>
      <c r="M529" s="230">
        <f t="shared" si="106"/>
        <v>0.13229327014896794</v>
      </c>
      <c r="N529" s="230">
        <f t="shared" si="107"/>
        <v>3.9363766242256782E-3</v>
      </c>
    </row>
    <row r="530" spans="2:14">
      <c r="B530" s="84">
        <v>82</v>
      </c>
      <c r="C530" s="84">
        <f>(C259-C260+D259)*material_flow!$B$107*material_flow!$G$108</f>
        <v>0</v>
      </c>
      <c r="D530" s="84">
        <f>(E259-EF260+F259)*material_flow!$B$110*material_flow!$G$111</f>
        <v>0</v>
      </c>
      <c r="E530" s="84">
        <f t="shared" si="103"/>
        <v>0</v>
      </c>
      <c r="F530" s="84">
        <f t="shared" si="104"/>
        <v>0</v>
      </c>
      <c r="G530" s="226">
        <f t="shared" si="108"/>
        <v>0</v>
      </c>
      <c r="J530" s="84">
        <f>(G259-G260+H259)*material_flow!$B$107*material_flow!$G$108</f>
        <v>6.6426978233759038E-2</v>
      </c>
      <c r="K530" s="84">
        <f>(I259-I260+J259)*material_flow!$B$110*material_flow!$G$111</f>
        <v>9.6321304342122878E-7</v>
      </c>
      <c r="L530" s="225">
        <f t="shared" si="105"/>
        <v>6.642794144680246E-2</v>
      </c>
      <c r="M530" s="230">
        <f t="shared" si="106"/>
        <v>0.13136046230111226</v>
      </c>
      <c r="N530" s="230">
        <f t="shared" si="107"/>
        <v>3.9098570143758209E-3</v>
      </c>
    </row>
    <row r="531" spans="2:14">
      <c r="B531" s="84">
        <v>83</v>
      </c>
      <c r="C531" s="84">
        <f>(C260-C261+D260)*material_flow!$B$107*material_flow!$G$108</f>
        <v>0</v>
      </c>
      <c r="D531" s="84">
        <f>(E260-EF261+F260)*material_flow!$B$110*material_flow!$G$111</f>
        <v>0</v>
      </c>
      <c r="E531" s="84">
        <f t="shared" si="103"/>
        <v>0</v>
      </c>
      <c r="F531" s="84">
        <f t="shared" si="104"/>
        <v>0</v>
      </c>
      <c r="G531" s="226">
        <f t="shared" si="108"/>
        <v>0</v>
      </c>
      <c r="J531" s="84">
        <f>(G260-G261+H260)*material_flow!$B$107*material_flow!$G$108</f>
        <v>6.5928476075862594E-2</v>
      </c>
      <c r="K531" s="84">
        <f>(I260-I261+J260)*material_flow!$B$110*material_flow!$G$111</f>
        <v>6.9922550112703322E-7</v>
      </c>
      <c r="L531" s="225">
        <f t="shared" si="105"/>
        <v>6.5929175301363718E-2</v>
      </c>
      <c r="M531" s="230">
        <f t="shared" si="106"/>
        <v>0.13039387438123501</v>
      </c>
      <c r="N531" s="230">
        <f t="shared" si="107"/>
        <v>3.8822883761306815E-3</v>
      </c>
    </row>
    <row r="532" spans="2:14">
      <c r="B532" s="84">
        <v>84</v>
      </c>
      <c r="C532" s="84">
        <f>(C261-C262+D261)*material_flow!$B$107*material_flow!$G$108</f>
        <v>0</v>
      </c>
      <c r="D532" s="84">
        <f>(E261-EF262+F261)*material_flow!$B$110*material_flow!$G$111</f>
        <v>0</v>
      </c>
      <c r="E532" s="84">
        <f t="shared" si="103"/>
        <v>0</v>
      </c>
      <c r="F532" s="84">
        <f t="shared" si="104"/>
        <v>0</v>
      </c>
      <c r="G532" s="226">
        <f t="shared" si="108"/>
        <v>0</v>
      </c>
      <c r="J532" s="84">
        <f>(G261-G262+H261)*material_flow!$B$107*material_flow!$G$108</f>
        <v>6.541415580480095E-2</v>
      </c>
      <c r="K532" s="84">
        <f>(I261-I262+J261)*material_flow!$B$110*material_flow!$G$111</f>
        <v>5.0724766514035981E-7</v>
      </c>
      <c r="L532" s="225">
        <f t="shared" si="105"/>
        <v>6.5414663052466085E-2</v>
      </c>
      <c r="M532" s="230">
        <f t="shared" si="106"/>
        <v>0.12939533675421111</v>
      </c>
      <c r="N532" s="230">
        <f t="shared" si="107"/>
        <v>3.8537213858802523E-3</v>
      </c>
    </row>
    <row r="533" spans="2:14">
      <c r="B533" s="84">
        <v>85</v>
      </c>
      <c r="C533" s="84">
        <f>(C262-C263+D262)*material_flow!$B$107*material_flow!$G$108</f>
        <v>0</v>
      </c>
      <c r="D533" s="84">
        <f>(E262-EF263+F262)*material_flow!$B$110*material_flow!$G$111</f>
        <v>0</v>
      </c>
      <c r="E533" s="84">
        <f t="shared" si="103"/>
        <v>0</v>
      </c>
      <c r="F533" s="84">
        <f t="shared" si="104"/>
        <v>0</v>
      </c>
      <c r="G533" s="226">
        <f t="shared" si="108"/>
        <v>0</v>
      </c>
      <c r="J533" s="84">
        <f>(G262-G263+H262)*material_flow!$B$107*material_flow!$G$108</f>
        <v>6.488501134631397E-2</v>
      </c>
      <c r="K533" s="84">
        <f>(I262-I263+J262)*material_flow!$B$110*material_flow!$G$111</f>
        <v>3.677437769600666E-7</v>
      </c>
      <c r="L533" s="225">
        <f t="shared" si="105"/>
        <v>6.4885379090090928E-2</v>
      </c>
      <c r="M533" s="230">
        <f t="shared" si="106"/>
        <v>0.12836674667793727</v>
      </c>
      <c r="N533" s="230">
        <f t="shared" si="107"/>
        <v>3.8242101390818218E-3</v>
      </c>
    </row>
    <row r="534" spans="2:14">
      <c r="B534" s="84">
        <v>86</v>
      </c>
      <c r="C534" s="84">
        <f>(C263-C264+D263)*material_flow!$B$107*material_flow!$G$108</f>
        <v>0</v>
      </c>
      <c r="D534" s="84">
        <f>(E263-EF264+F263)*material_flow!$B$110*material_flow!$G$111</f>
        <v>0</v>
      </c>
      <c r="E534" s="84">
        <f t="shared" si="103"/>
        <v>0</v>
      </c>
      <c r="F534" s="84">
        <f t="shared" si="104"/>
        <v>0</v>
      </c>
      <c r="G534" s="226">
        <f t="shared" si="108"/>
        <v>0</v>
      </c>
      <c r="J534" s="84">
        <f>(G263-G264+H263)*material_flow!$B$107*material_flow!$G$108</f>
        <v>6.4342038658409678E-2</v>
      </c>
      <c r="K534" s="84">
        <f>(I263-I264+J263)*material_flow!$B$110*material_flow!$G$111</f>
        <v>2.6644440428505267E-7</v>
      </c>
      <c r="L534" s="225">
        <f t="shared" si="105"/>
        <v>6.4342305102813968E-2</v>
      </c>
      <c r="M534" s="230">
        <f t="shared" si="106"/>
        <v>0.12731003143339448</v>
      </c>
      <c r="N534" s="230">
        <f t="shared" si="107"/>
        <v>3.7938107081802491E-3</v>
      </c>
    </row>
    <row r="535" spans="2:14">
      <c r="B535" s="84">
        <v>87</v>
      </c>
      <c r="C535" s="84">
        <f>(C264-C265+D264)*material_flow!$B$107*material_flow!$G$108</f>
        <v>0</v>
      </c>
      <c r="D535" s="84">
        <f>(E264-EF265+F264)*material_flow!$B$110*material_flow!$G$111</f>
        <v>0</v>
      </c>
      <c r="E535" s="84">
        <f t="shared" si="103"/>
        <v>0</v>
      </c>
      <c r="F535" s="84">
        <f t="shared" si="104"/>
        <v>0</v>
      </c>
      <c r="G535" s="226">
        <f t="shared" si="108"/>
        <v>0</v>
      </c>
      <c r="J535" s="84">
        <f>(G264-G265+H264)*material_flow!$B$107*material_flow!$G$108</f>
        <v>6.3786225068039534E-2</v>
      </c>
      <c r="K535" s="84">
        <f>(I264-I265+J264)*material_flow!$B$110*material_flow!$G$111</f>
        <v>1.9293740167830825E-7</v>
      </c>
      <c r="L535" s="225">
        <f t="shared" si="105"/>
        <v>6.3786418005441214E-2</v>
      </c>
      <c r="M535" s="230">
        <f t="shared" si="106"/>
        <v>0.12622712061068242</v>
      </c>
      <c r="N535" s="230">
        <f t="shared" si="107"/>
        <v>3.7625800529366292E-3</v>
      </c>
    </row>
    <row r="536" spans="2:14">
      <c r="B536" s="84">
        <v>88</v>
      </c>
      <c r="C536" s="84">
        <f>(C265-C266+D265)*material_flow!$B$107*material_flow!$G$108</f>
        <v>0</v>
      </c>
      <c r="D536" s="84">
        <f>(E265-EF266+F265)*material_flow!$B$110*material_flow!$G$111</f>
        <v>0</v>
      </c>
      <c r="E536" s="84">
        <f t="shared" si="103"/>
        <v>0</v>
      </c>
      <c r="F536" s="84">
        <f t="shared" si="104"/>
        <v>0</v>
      </c>
      <c r="G536" s="226">
        <f t="shared" si="108"/>
        <v>0</v>
      </c>
      <c r="J536" s="84">
        <f>(G265-G266+H265)*material_flow!$B$107*material_flow!$G$108</f>
        <v>6.3218541344186599E-2</v>
      </c>
      <c r="K536" s="84">
        <f>(I265-I266+J265)*material_flow!$B$110*material_flow!$G$111</f>
        <v>1.3963248799996269E-7</v>
      </c>
      <c r="L536" s="225">
        <f t="shared" si="105"/>
        <v>6.3218680976674602E-2</v>
      </c>
      <c r="M536" s="230">
        <f t="shared" si="106"/>
        <v>0.12511992543111317</v>
      </c>
      <c r="N536" s="230">
        <f t="shared" si="107"/>
        <v>3.7305752013568282E-3</v>
      </c>
    </row>
    <row r="537" spans="2:14">
      <c r="B537" s="84">
        <v>89</v>
      </c>
      <c r="C537" s="84">
        <f>(C266-C267+D266)*material_flow!$B$107*material_flow!$G$108</f>
        <v>0</v>
      </c>
      <c r="D537" s="84">
        <f>(E266-EF267+F266)*material_flow!$B$110*material_flow!$G$111</f>
        <v>0</v>
      </c>
      <c r="E537" s="84">
        <f t="shared" si="103"/>
        <v>0</v>
      </c>
      <c r="F537" s="84">
        <f t="shared" si="104"/>
        <v>0</v>
      </c>
      <c r="G537" s="226">
        <f t="shared" si="108"/>
        <v>0</v>
      </c>
      <c r="J537" s="84">
        <f>(G266-G267+H266)*material_flow!$B$107*material_flow!$G$108</f>
        <v>6.2639935886912412E-2</v>
      </c>
      <c r="K537" s="84">
        <f>(I266-I267+J266)*material_flow!$B$110*material_flow!$G$111</f>
        <v>1.0100145743829161E-7</v>
      </c>
      <c r="L537" s="225">
        <f t="shared" si="105"/>
        <v>6.2640036888369846E-2</v>
      </c>
      <c r="M537" s="230">
        <f t="shared" si="106"/>
        <v>0.12399032347901176</v>
      </c>
      <c r="N537" s="230">
        <f t="shared" si="107"/>
        <v>3.6978526385669955E-3</v>
      </c>
    </row>
    <row r="538" spans="2:14">
      <c r="B538" s="84">
        <v>90</v>
      </c>
      <c r="C538" s="84">
        <f>(C267-C268+D267)*material_flow!$B$107*material_flow!$G$108</f>
        <v>0</v>
      </c>
      <c r="D538" s="84">
        <f>(E267-EF268+F267)*material_flow!$B$110*material_flow!$G$111</f>
        <v>0</v>
      </c>
      <c r="E538" s="84">
        <f t="shared" si="103"/>
        <v>0</v>
      </c>
      <c r="F538" s="84">
        <f t="shared" si="104"/>
        <v>0</v>
      </c>
      <c r="G538" s="226">
        <f t="shared" si="108"/>
        <v>0</v>
      </c>
      <c r="J538" s="84">
        <f>(G267-G268+H267)*material_flow!$B$107*material_flow!$G$108</f>
        <v>6.2051330552404617E-2</v>
      </c>
      <c r="K538" s="84">
        <f>(I267-I268+J267)*material_flow!$B$110*material_flow!$G$111</f>
        <v>7.3021386928699536E-8</v>
      </c>
      <c r="L538" s="225">
        <f t="shared" si="105"/>
        <v>6.2051403573791547E-2</v>
      </c>
      <c r="M538" s="230">
        <f t="shared" si="106"/>
        <v>0.12284014759342385</v>
      </c>
      <c r="N538" s="230">
        <f t="shared" si="107"/>
        <v>3.6644678555700747E-3</v>
      </c>
    </row>
    <row r="539" spans="2:14">
      <c r="B539" s="84">
        <v>91</v>
      </c>
      <c r="C539" s="84">
        <f>(C268-C269+D268)*material_flow!$B$107*material_flow!$G$108</f>
        <v>0</v>
      </c>
      <c r="D539" s="84">
        <f>(E268-EF269+F268)*material_flow!$B$110*material_flow!$G$111</f>
        <v>0</v>
      </c>
      <c r="E539" s="84">
        <f t="shared" si="103"/>
        <v>0</v>
      </c>
      <c r="F539" s="84">
        <f t="shared" si="104"/>
        <v>0</v>
      </c>
      <c r="G539" s="226">
        <f t="shared" si="108"/>
        <v>0</v>
      </c>
      <c r="J539" s="84">
        <f>(G268-G269+H268)*material_flow!$B$107*material_flow!$G$108</f>
        <v>6.1453617742034804E-2</v>
      </c>
      <c r="K539" s="84">
        <f>(I268-I269+J268)*material_flow!$B$110*material_flow!$G$111</f>
        <v>5.2767107018714547E-8</v>
      </c>
      <c r="L539" s="225">
        <f>SUM(J539:K539)</f>
        <v>6.1453670509141821E-2</v>
      </c>
      <c r="M539" s="230">
        <f>L539+(L538*EXP(-$B$306))</f>
        <v>0.12167117795774376</v>
      </c>
      <c r="N539" s="230">
        <f t="shared" si="107"/>
        <v>3.6304750209461517E-3</v>
      </c>
    </row>
    <row r="540" spans="2:14">
      <c r="B540" s="84">
        <v>92</v>
      </c>
      <c r="C540" s="84">
        <f>(C269-C270+D269)*material_flow!$B$107*material_flow!$G$108</f>
        <v>0</v>
      </c>
      <c r="D540" s="84">
        <f>(E269-EF270+F269)*material_flow!$B$110*material_flow!$G$111</f>
        <v>0</v>
      </c>
      <c r="E540" s="84">
        <f t="shared" si="103"/>
        <v>0</v>
      </c>
      <c r="F540" s="84">
        <f t="shared" si="104"/>
        <v>0</v>
      </c>
      <c r="G540" s="226">
        <f t="shared" si="108"/>
        <v>0</v>
      </c>
      <c r="J540" s="84">
        <f>(G269-G270+H269)*material_flow!$B$107*material_flow!$G$108</f>
        <v>6.0847658466695785E-2</v>
      </c>
      <c r="K540" s="84">
        <f>(I269-I270+J269)*material_flow!$B$110*material_flow!$G$111</f>
        <v>3.8113264928708857E-8</v>
      </c>
      <c r="L540" s="225">
        <f t="shared" si="105"/>
        <v>6.0847696579960711E-2</v>
      </c>
      <c r="M540" s="230">
        <f t="shared" si="106"/>
        <v>0.12048513664571907</v>
      </c>
      <c r="N540" s="230">
        <f>M539*(1-EXP(-$B$306))</f>
        <v>3.5959267470656322E-3</v>
      </c>
    </row>
    <row r="541" spans="2:14">
      <c r="B541" s="84">
        <v>93</v>
      </c>
      <c r="C541" s="84">
        <f>(C270-C271+D270)*material_flow!$B$107*material_flow!$G$108</f>
        <v>0</v>
      </c>
      <c r="D541" s="84">
        <f>(E270-EF271+F270)*material_flow!$B$110*material_flow!$G$111</f>
        <v>0</v>
      </c>
      <c r="E541" s="84">
        <f t="shared" si="103"/>
        <v>0</v>
      </c>
      <c r="F541" s="84">
        <f t="shared" si="104"/>
        <v>0</v>
      </c>
      <c r="G541" s="226">
        <f t="shared" si="108"/>
        <v>0</v>
      </c>
      <c r="J541" s="84">
        <f>(G270-G271+H270)*material_flow!$B$107*material_flow!$G$108</f>
        <v>6.0234281161942807E-2</v>
      </c>
      <c r="K541" s="84">
        <f>(I270-I271+J270)*material_flow!$B$110*material_flow!$G$111</f>
        <v>2.7516742659141639E-8</v>
      </c>
      <c r="L541" s="225">
        <f t="shared" si="105"/>
        <v>6.0234308678685469E-2</v>
      </c>
      <c r="M541" s="230">
        <f t="shared" si="106"/>
        <v>0.11928368405142317</v>
      </c>
      <c r="N541" s="230">
        <f t="shared" si="107"/>
        <v>3.5608739288993151E-3</v>
      </c>
    </row>
    <row r="542" spans="2:14">
      <c r="B542" s="84">
        <v>94</v>
      </c>
      <c r="C542" s="84">
        <f>(C271-C272+D271)*material_flow!$B$107*material_flow!$G$108</f>
        <v>0</v>
      </c>
      <c r="D542" s="84">
        <f>(E271-EF272+F271)*material_flow!$B$110*material_flow!$G$111</f>
        <v>0</v>
      </c>
      <c r="E542" s="84">
        <f t="shared" si="103"/>
        <v>0</v>
      </c>
      <c r="F542" s="84">
        <f t="shared" si="104"/>
        <v>0</v>
      </c>
      <c r="G542" s="226">
        <f t="shared" si="108"/>
        <v>0</v>
      </c>
      <c r="J542" s="84">
        <f>(G271-G272+H271)*material_flow!$B$107*material_flow!$G$108</f>
        <v>5.9614281079272656E-2</v>
      </c>
      <c r="K542" s="84">
        <f>(I271-I272+J271)*material_flow!$B$110*material_flow!$G$111</f>
        <v>1.9857918196533986E-8</v>
      </c>
      <c r="L542" s="225">
        <f t="shared" si="105"/>
        <v>5.9614300937190855E-2</v>
      </c>
      <c r="M542" s="230">
        <f t="shared" si="106"/>
        <v>0.11806841676080332</v>
      </c>
      <c r="N542" s="230">
        <f t="shared" si="107"/>
        <v>3.5253656385081391E-3</v>
      </c>
    </row>
    <row r="543" spans="2:14">
      <c r="B543" s="84">
        <v>95</v>
      </c>
      <c r="C543" s="84">
        <f>(C272-C273+D272)*material_flow!$B$107*material_flow!$G$108</f>
        <v>0</v>
      </c>
      <c r="D543" s="84">
        <f>(E272-EF273+F272)*material_flow!$B$110*material_flow!$G$111</f>
        <v>0</v>
      </c>
      <c r="E543" s="84">
        <f t="shared" si="103"/>
        <v>0</v>
      </c>
      <c r="F543" s="84">
        <f t="shared" si="104"/>
        <v>0</v>
      </c>
      <c r="G543" s="226">
        <f t="shared" si="108"/>
        <v>0</v>
      </c>
      <c r="J543" s="84">
        <f>(G272-G273+H272)*material_flow!$B$107*material_flow!$G$108</f>
        <v>5.8988420117453359E-2</v>
      </c>
      <c r="K543" s="84">
        <f>(I272-I273+J272)*material_flow!$B$110*material_flow!$G$111</f>
        <v>1.4324965904463007E-8</v>
      </c>
      <c r="L543" s="225">
        <f t="shared" si="105"/>
        <v>5.8988434442419267E-2</v>
      </c>
      <c r="M543" s="230">
        <f t="shared" si="106"/>
        <v>0.11684086652253278</v>
      </c>
      <c r="N543" s="230">
        <f t="shared" si="107"/>
        <v>3.4894490621379193E-3</v>
      </c>
    </row>
    <row r="544" spans="2:14">
      <c r="B544" s="84">
        <v>96</v>
      </c>
      <c r="C544" s="84">
        <f>(C273-C274+D273)*material_flow!$B$107*material_flow!$G$108</f>
        <v>0</v>
      </c>
      <c r="D544" s="84">
        <f>(E273-EF274+F273)*material_flow!$B$110*material_flow!$G$111</f>
        <v>0</v>
      </c>
      <c r="E544" s="84">
        <f t="shared" si="103"/>
        <v>0</v>
      </c>
      <c r="F544" s="84">
        <f t="shared" si="104"/>
        <v>0</v>
      </c>
      <c r="G544" s="226">
        <f t="shared" si="108"/>
        <v>0</v>
      </c>
      <c r="J544" s="84">
        <f>(G273-G274+H273)*material_flow!$B$107*material_flow!$G$108</f>
        <v>5.8357426987877124E-2</v>
      </c>
      <c r="K544" s="84">
        <f>(I273-I274+J273)*material_flow!$B$110*material_flow!$G$111</f>
        <v>1.0329601964356765E-8</v>
      </c>
      <c r="L544" s="225">
        <f t="shared" si="105"/>
        <v>5.835743731747909E-2</v>
      </c>
      <c r="M544" s="230">
        <f t="shared" si="106"/>
        <v>0.11560250005314385</v>
      </c>
      <c r="N544" s="230">
        <f t="shared" si="107"/>
        <v>3.4531694698034317E-3</v>
      </c>
    </row>
    <row r="545" spans="2:14">
      <c r="B545" s="84">
        <v>97</v>
      </c>
      <c r="C545" s="84">
        <f>(C274-C275+D274)*material_flow!$B$107*material_flow!$G$108</f>
        <v>0</v>
      </c>
      <c r="D545" s="84">
        <f>(E274-EF275+F274)*material_flow!$B$110*material_flow!$G$111</f>
        <v>0</v>
      </c>
      <c r="E545" s="84">
        <f t="shared" si="103"/>
        <v>0</v>
      </c>
      <c r="F545" s="84">
        <f t="shared" si="104"/>
        <v>0</v>
      </c>
      <c r="G545" s="226">
        <f t="shared" si="108"/>
        <v>0</v>
      </c>
      <c r="J545" s="84">
        <f>(G274-G275+H274)*material_flow!$B$107*material_flow!$G$108</f>
        <v>5.7721997631224271E-2</v>
      </c>
      <c r="K545" s="84">
        <f>(I274-I275+J274)*material_flow!$B$110*material_flow!$G$111</f>
        <v>7.4457802396775953E-9</v>
      </c>
      <c r="L545" s="225">
        <f t="shared" si="105"/>
        <v>5.7722005077004514E-2</v>
      </c>
      <c r="M545" s="230">
        <f t="shared" si="106"/>
        <v>0.11435471947108913</v>
      </c>
      <c r="N545" s="230">
        <f t="shared" si="107"/>
        <v>3.4165702095292241E-3</v>
      </c>
    </row>
    <row r="546" spans="2:14">
      <c r="B546" s="84">
        <v>98</v>
      </c>
      <c r="C546" s="84">
        <f>(C275-C276+D275)*material_flow!$B$107*material_flow!$G$108</f>
        <v>0</v>
      </c>
      <c r="D546" s="84">
        <f>(E275-EF276+F275)*material_flow!$B$110*material_flow!$G$111</f>
        <v>0</v>
      </c>
      <c r="E546" s="84">
        <f t="shared" si="103"/>
        <v>0</v>
      </c>
      <c r="F546" s="84">
        <f t="shared" si="104"/>
        <v>0</v>
      </c>
      <c r="G546" s="226">
        <f t="shared" si="108"/>
        <v>0</v>
      </c>
      <c r="J546" s="84">
        <f>(G275-G276+H275)*material_flow!$B$107*material_flow!$G$108</f>
        <v>5.7082795821001266E-2</v>
      </c>
      <c r="K546" s="84">
        <f>(I275-I276+J275)*material_flow!$B$110*material_flow!$G$111</f>
        <v>5.3651224152232696E-9</v>
      </c>
      <c r="L546" s="225">
        <f t="shared" si="105"/>
        <v>5.7082801186123681E-2</v>
      </c>
      <c r="M546" s="230">
        <f t="shared" si="106"/>
        <v>0.11309886320056703</v>
      </c>
      <c r="N546" s="230">
        <f t="shared" si="107"/>
        <v>3.3796927201780653E-3</v>
      </c>
    </row>
    <row r="547" spans="2:14">
      <c r="B547" s="84">
        <v>99</v>
      </c>
      <c r="C547" s="84">
        <f>(C276-C277+D276)*material_flow!$B$107*material_flow!$G$108</f>
        <v>0</v>
      </c>
      <c r="D547" s="84">
        <f>(E276-EF277+F276)*material_flow!$B$110*material_flow!$G$111</f>
        <v>0</v>
      </c>
      <c r="E547" s="84">
        <f t="shared" si="103"/>
        <v>0</v>
      </c>
      <c r="F547" s="84">
        <f t="shared" si="104"/>
        <v>0</v>
      </c>
      <c r="G547" s="226">
        <f t="shared" si="108"/>
        <v>0</v>
      </c>
      <c r="J547" s="84">
        <f>(G276-G277+H276)*material_flow!$B$107*material_flow!$G$108</f>
        <v>5.5671276908467592E-2</v>
      </c>
      <c r="K547" s="84">
        <f>(I276-I277+J276)*material_flow!$B$110*material_flow!$G$111</f>
        <v>3.7937144417003203E-9</v>
      </c>
      <c r="L547" s="225">
        <f t="shared" si="105"/>
        <v>5.5671280702182031E-2</v>
      </c>
      <c r="M547" s="230">
        <f>L547+(L546*EXP(-$B$306))</f>
        <v>0.11106703015569325</v>
      </c>
      <c r="N547" s="230">
        <f t="shared" si="107"/>
        <v>3.3425765581630239E-3</v>
      </c>
    </row>
    <row r="548" spans="2:14" s="179" customFormat="1">
      <c r="B548" s="111">
        <v>100</v>
      </c>
      <c r="C548" s="111">
        <f>(C277-C278+D277)*material_flow!$B$107*material_flow!$G$108</f>
        <v>0</v>
      </c>
      <c r="D548" s="111">
        <f>(E277-EF278+F277)*material_flow!$B$110*material_flow!$G$111</f>
        <v>0</v>
      </c>
      <c r="E548" s="111">
        <f t="shared" si="103"/>
        <v>0</v>
      </c>
      <c r="F548" s="111">
        <f t="shared" si="104"/>
        <v>0</v>
      </c>
      <c r="G548" s="227">
        <f t="shared" si="108"/>
        <v>0</v>
      </c>
      <c r="J548" s="111">
        <f>(G277-G278+H277)*material_flow!$B$107*material_flow!$G$108</f>
        <v>2.4261523082341556</v>
      </c>
      <c r="K548" s="111">
        <f>(I277-I278+J277)*material_flow!$B$110*material_flow!$G$111</f>
        <v>9.5797805833477772E-9</v>
      </c>
      <c r="L548" s="222">
        <f>SUM(J548:K548)</f>
        <v>2.4261523178139361</v>
      </c>
      <c r="M548" s="234">
        <f>L548+(L547*EXP(-$B$306))</f>
        <v>2.4801782635182938</v>
      </c>
      <c r="N548" s="234">
        <f>M547*(1-EXP(-$B$306))</f>
        <v>3.282526816603269E-3</v>
      </c>
    </row>
    <row r="549" spans="2:14">
      <c r="N549" s="235"/>
    </row>
    <row r="550" spans="2:14">
      <c r="E550" s="153" t="s">
        <v>384</v>
      </c>
      <c r="F550">
        <f>F548</f>
        <v>0</v>
      </c>
      <c r="G550" t="s">
        <v>365</v>
      </c>
      <c r="L550" s="153" t="s">
        <v>384</v>
      </c>
      <c r="M550" s="235">
        <f>M548</f>
        <v>2.4801782635182938</v>
      </c>
      <c r="N550" t="s">
        <v>365</v>
      </c>
    </row>
    <row r="551" spans="2:14">
      <c r="E551" s="153" t="s">
        <v>384</v>
      </c>
      <c r="F551" s="73">
        <f>1000000*F550*44/12</f>
        <v>0</v>
      </c>
      <c r="G551" t="s">
        <v>134</v>
      </c>
      <c r="L551" s="153" t="s">
        <v>384</v>
      </c>
      <c r="M551" s="73">
        <f>1000000*M550*44/12</f>
        <v>9093986.9662337434</v>
      </c>
      <c r="N551" t="s">
        <v>134</v>
      </c>
    </row>
    <row r="552" spans="2:14">
      <c r="E552" s="153" t="s">
        <v>385</v>
      </c>
      <c r="F552" s="228">
        <f>SUM(G500:G548)</f>
        <v>0</v>
      </c>
      <c r="G552" t="s">
        <v>365</v>
      </c>
      <c r="L552" s="153" t="s">
        <v>385</v>
      </c>
      <c r="M552" s="228">
        <f>SUM(N470:N548)</f>
        <v>0.17121437794208205</v>
      </c>
      <c r="N552" t="s">
        <v>365</v>
      </c>
    </row>
    <row r="553" spans="2:14">
      <c r="E553" s="153" t="s">
        <v>386</v>
      </c>
      <c r="F553" s="229">
        <f>F552*$B$308*16/12</f>
        <v>0</v>
      </c>
      <c r="G553" t="s">
        <v>387</v>
      </c>
      <c r="L553" s="153" t="s">
        <v>386</v>
      </c>
      <c r="M553" s="229">
        <f>M552*$B$308*16/12</f>
        <v>0.1141429186280547</v>
      </c>
      <c r="N553" t="s">
        <v>387</v>
      </c>
    </row>
    <row r="554" spans="2:14">
      <c r="E554" s="153" t="s">
        <v>386</v>
      </c>
      <c r="F554" s="268">
        <f>F553*$B$309</f>
        <v>0</v>
      </c>
      <c r="G554" t="s">
        <v>392</v>
      </c>
      <c r="L554" s="153" t="s">
        <v>386</v>
      </c>
      <c r="M554" s="186">
        <f>M553*$B$309</f>
        <v>2.8535729657013675</v>
      </c>
      <c r="N554" t="s">
        <v>392</v>
      </c>
    </row>
    <row r="555" spans="2:14">
      <c r="E555" s="153" t="s">
        <v>389</v>
      </c>
      <c r="F555">
        <f>F552*(1-$B$308)*44/12</f>
        <v>0</v>
      </c>
      <c r="G555" t="s">
        <v>392</v>
      </c>
      <c r="L555" s="153" t="s">
        <v>389</v>
      </c>
      <c r="M555">
        <f>M552*(1-$B$308)*44/12</f>
        <v>0.31389302622715043</v>
      </c>
      <c r="N555" t="s">
        <v>392</v>
      </c>
    </row>
    <row r="556" spans="2:14">
      <c r="E556" s="153" t="s">
        <v>388</v>
      </c>
      <c r="F556" s="151">
        <f>F555+F554</f>
        <v>0</v>
      </c>
      <c r="G556" t="s">
        <v>392</v>
      </c>
      <c r="L556" s="153" t="s">
        <v>388</v>
      </c>
      <c r="M556" s="269">
        <f>M555+M554</f>
        <v>3.167465991928518</v>
      </c>
      <c r="N556" t="s">
        <v>392</v>
      </c>
    </row>
    <row r="557" spans="2:14">
      <c r="F557" s="73">
        <f>F556*1000000</f>
        <v>0</v>
      </c>
      <c r="G557" t="s">
        <v>134</v>
      </c>
      <c r="M557" s="73">
        <f>M556*1000000</f>
        <v>3167465.9919285178</v>
      </c>
      <c r="N557" t="s">
        <v>134</v>
      </c>
    </row>
  </sheetData>
  <mergeCells count="5">
    <mergeCell ref="W45:Y45"/>
    <mergeCell ref="Z45:AB45"/>
    <mergeCell ref="D29:E29"/>
    <mergeCell ref="F29:K29"/>
    <mergeCell ref="L29:Q29"/>
  </mergeCells>
  <pageMargins left="0.7" right="0.7" top="0.75" bottom="0.75" header="0.3" footer="0.3"/>
  <pageSetup paperSize="9" orientation="portrait" verticalDpi="0"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2:F23"/>
  <sheetViews>
    <sheetView workbookViewId="0">
      <selection activeCell="B59" sqref="B59"/>
    </sheetView>
  </sheetViews>
  <sheetFormatPr defaultColWidth="8.7265625" defaultRowHeight="14.5"/>
  <cols>
    <col min="1" max="1" width="23" style="265" customWidth="1"/>
    <col min="2" max="2" width="44.26953125" style="265" customWidth="1"/>
    <col min="3" max="3" width="26.26953125" style="265" customWidth="1"/>
    <col min="4" max="4" width="16.81640625" style="265" customWidth="1"/>
    <col min="5" max="5" width="20" style="265" customWidth="1"/>
    <col min="6" max="6" width="20.26953125" style="265" customWidth="1"/>
    <col min="7" max="7" width="24.453125" style="265" customWidth="1"/>
    <col min="8" max="8" width="11" style="265" bestFit="1" customWidth="1"/>
    <col min="9" max="9" width="14.54296875" style="265" customWidth="1"/>
    <col min="10" max="16384" width="8.7265625" style="265"/>
  </cols>
  <sheetData>
    <row r="2" spans="1:6">
      <c r="A2" s="389" t="s">
        <v>510</v>
      </c>
    </row>
    <row r="4" spans="1:6" ht="29">
      <c r="B4" s="264" t="s">
        <v>504</v>
      </c>
      <c r="C4" s="265">
        <f>material_flow!D53</f>
        <v>0.38614199999999999</v>
      </c>
      <c r="D4" s="265" t="s">
        <v>608</v>
      </c>
    </row>
    <row r="5" spans="1:6" ht="29">
      <c r="B5" s="264" t="s">
        <v>508</v>
      </c>
      <c r="C5" s="265">
        <f>material_flow!B54</f>
        <v>2.85</v>
      </c>
      <c r="D5" s="265" t="s">
        <v>426</v>
      </c>
    </row>
    <row r="6" spans="1:6">
      <c r="B6" s="264"/>
    </row>
    <row r="7" spans="1:6">
      <c r="B7" s="390"/>
      <c r="C7" s="391"/>
      <c r="E7" s="392"/>
    </row>
    <row r="8" spans="1:6" ht="29">
      <c r="C8" s="393" t="s">
        <v>509</v>
      </c>
      <c r="E8" s="389" t="s">
        <v>453</v>
      </c>
      <c r="F8" s="393" t="s">
        <v>507</v>
      </c>
    </row>
    <row r="9" spans="1:6">
      <c r="B9" s="390" t="s">
        <v>457</v>
      </c>
      <c r="C9" s="391">
        <f>(HWP!D162/C_model!$R$107)/(1-20%)</f>
        <v>0</v>
      </c>
      <c r="D9" s="265" t="s">
        <v>171</v>
      </c>
      <c r="E9" s="394">
        <f>C9*$C$4</f>
        <v>0</v>
      </c>
      <c r="F9" s="395">
        <f>C9*$C$5</f>
        <v>0</v>
      </c>
    </row>
    <row r="10" spans="1:6">
      <c r="B10" s="390" t="s">
        <v>456</v>
      </c>
      <c r="C10" s="391">
        <f>(HWP!N162/C_model!$R$107)/(1-20%)</f>
        <v>578848104.37645996</v>
      </c>
      <c r="D10" s="265" t="s">
        <v>171</v>
      </c>
      <c r="E10" s="394">
        <f>C10*$C$4</f>
        <v>223517564.720135</v>
      </c>
      <c r="F10" s="395">
        <f>C10*$C$5</f>
        <v>1649717097.4729109</v>
      </c>
    </row>
    <row r="11" spans="1:6">
      <c r="B11" s="390" t="s">
        <v>455</v>
      </c>
      <c r="C11" s="391">
        <f>(HWP!D300/C_model!$R$107)/(1-20%)</f>
        <v>0</v>
      </c>
      <c r="D11" s="265" t="s">
        <v>171</v>
      </c>
      <c r="E11" s="394">
        <f>C11*$C$4</f>
        <v>0</v>
      </c>
      <c r="F11" s="395">
        <f>C11*$C$5</f>
        <v>0</v>
      </c>
    </row>
    <row r="12" spans="1:6">
      <c r="B12" s="390" t="s">
        <v>454</v>
      </c>
      <c r="C12" s="391">
        <f>(HWP!K300/C_model!$R$107)/(1-20%)</f>
        <v>196600482.38560945</v>
      </c>
      <c r="D12" s="265" t="s">
        <v>171</v>
      </c>
      <c r="E12" s="394">
        <f>C12*$C$4</f>
        <v>75915703.469344005</v>
      </c>
      <c r="F12" s="395">
        <f>C12*$C$5</f>
        <v>560311374.79898691</v>
      </c>
    </row>
    <row r="15" spans="1:6">
      <c r="B15" s="396"/>
    </row>
    <row r="16" spans="1:6">
      <c r="A16" s="389" t="s">
        <v>811</v>
      </c>
      <c r="B16" s="396"/>
    </row>
    <row r="17" spans="2:4">
      <c r="B17" s="396"/>
    </row>
    <row r="18" spans="2:4">
      <c r="B18" s="265" t="s">
        <v>814</v>
      </c>
      <c r="C18" s="475">
        <v>0.38600000000000001</v>
      </c>
    </row>
    <row r="19" spans="2:4">
      <c r="B19" s="265" t="s">
        <v>812</v>
      </c>
      <c r="C19" s="265">
        <v>19</v>
      </c>
      <c r="D19" s="265" t="s">
        <v>426</v>
      </c>
    </row>
    <row r="20" spans="2:4">
      <c r="B20" s="45"/>
      <c r="C20" s="45">
        <v>5.3</v>
      </c>
      <c r="D20" s="45" t="s">
        <v>608</v>
      </c>
    </row>
    <row r="21" spans="2:4">
      <c r="B21" s="45" t="s">
        <v>813</v>
      </c>
      <c r="C21" s="441">
        <v>17</v>
      </c>
      <c r="D21" s="45" t="s">
        <v>426</v>
      </c>
    </row>
    <row r="22" spans="2:4">
      <c r="B22" s="45"/>
      <c r="C22" s="45">
        <v>4.8</v>
      </c>
      <c r="D22" s="45" t="s">
        <v>608</v>
      </c>
    </row>
    <row r="23" spans="2:4">
      <c r="B23" s="265" t="s">
        <v>815</v>
      </c>
      <c r="C23" s="442">
        <f>C18*C19</f>
        <v>7.3340000000000005</v>
      </c>
      <c r="D23" s="265" t="s">
        <v>608</v>
      </c>
    </row>
  </sheetData>
  <pageMargins left="0.7" right="0.7" top="0.75" bottom="0.75" header="0.3" footer="0.3"/>
  <pageSetup paperSize="9" orientation="portrait" verticalDpi="0"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V80"/>
  <sheetViews>
    <sheetView topLeftCell="A31" zoomScale="75" workbookViewId="0">
      <selection activeCell="B59" sqref="B59"/>
    </sheetView>
  </sheetViews>
  <sheetFormatPr defaultRowHeight="14.5"/>
  <cols>
    <col min="1" max="1" width="40.453125" customWidth="1"/>
    <col min="2" max="2" width="15.54296875" customWidth="1"/>
    <col min="3" max="3" width="16.54296875" customWidth="1"/>
    <col min="4" max="4" width="19.54296875" customWidth="1"/>
    <col min="5" max="5" width="17.26953125" customWidth="1"/>
    <col min="6" max="6" width="14.7265625" customWidth="1"/>
    <col min="7" max="7" width="13" customWidth="1"/>
    <col min="8" max="8" width="14.7265625" customWidth="1"/>
    <col min="9" max="9" width="11.81640625" customWidth="1"/>
    <col min="10" max="10" width="12.26953125" customWidth="1"/>
    <col min="11" max="11" width="11" bestFit="1" customWidth="1"/>
    <col min="12" max="12" width="10.26953125" customWidth="1"/>
    <col min="14" max="14" width="16.1796875" customWidth="1"/>
    <col min="16" max="16" width="78.1796875" customWidth="1"/>
  </cols>
  <sheetData>
    <row r="1" spans="1:22">
      <c r="A1" s="9" t="s">
        <v>682</v>
      </c>
    </row>
    <row r="2" spans="1:22">
      <c r="A2" s="9"/>
      <c r="B2" s="9"/>
      <c r="D2" s="564"/>
      <c r="E2" s="564"/>
      <c r="P2" s="1" t="s">
        <v>870</v>
      </c>
      <c r="Q2" s="1" t="s">
        <v>871</v>
      </c>
    </row>
    <row r="3" spans="1:22" ht="43.5">
      <c r="B3" s="1" t="s">
        <v>431</v>
      </c>
      <c r="D3" s="1"/>
      <c r="E3" s="1"/>
      <c r="F3" s="1"/>
      <c r="P3" s="41" t="s">
        <v>872</v>
      </c>
      <c r="Q3" s="408" t="s">
        <v>869</v>
      </c>
    </row>
    <row r="4" spans="1:22" ht="29">
      <c r="A4" s="145" t="s">
        <v>59</v>
      </c>
      <c r="B4" t="s">
        <v>430</v>
      </c>
      <c r="G4" s="5"/>
      <c r="P4" s="41" t="s">
        <v>873</v>
      </c>
      <c r="Q4" s="408" t="s">
        <v>869</v>
      </c>
    </row>
    <row r="5" spans="1:22" ht="43.5">
      <c r="A5" s="145" t="s">
        <v>60</v>
      </c>
      <c r="B5" t="s">
        <v>430</v>
      </c>
      <c r="F5" s="5"/>
      <c r="G5" s="5"/>
      <c r="P5" s="41" t="s">
        <v>875</v>
      </c>
      <c r="Q5" s="408" t="s">
        <v>874</v>
      </c>
    </row>
    <row r="6" spans="1:22" ht="43.5">
      <c r="A6" s="149" t="s">
        <v>21</v>
      </c>
      <c r="B6" t="s">
        <v>430</v>
      </c>
      <c r="G6" s="5"/>
      <c r="P6" s="41" t="s">
        <v>879</v>
      </c>
      <c r="Q6" s="408" t="s">
        <v>878</v>
      </c>
    </row>
    <row r="7" spans="1:22" ht="29">
      <c r="A7" s="145" t="s">
        <v>22</v>
      </c>
      <c r="B7" t="s">
        <v>430</v>
      </c>
      <c r="P7" s="41" t="s">
        <v>876</v>
      </c>
      <c r="Q7" s="408" t="s">
        <v>874</v>
      </c>
    </row>
    <row r="8" spans="1:22">
      <c r="A8" s="340" t="s">
        <v>24</v>
      </c>
      <c r="B8" t="s">
        <v>430</v>
      </c>
      <c r="P8" s="41" t="s">
        <v>877</v>
      </c>
    </row>
    <row r="9" spans="1:22">
      <c r="A9" s="149" t="s">
        <v>6</v>
      </c>
      <c r="B9" t="s">
        <v>430</v>
      </c>
    </row>
    <row r="10" spans="1:22" ht="58">
      <c r="A10" s="149" t="s">
        <v>23</v>
      </c>
      <c r="B10" s="41" t="s">
        <v>429</v>
      </c>
    </row>
    <row r="11" spans="1:22">
      <c r="A11" s="149" t="s">
        <v>123</v>
      </c>
      <c r="B11" t="s">
        <v>430</v>
      </c>
    </row>
    <row r="12" spans="1:22">
      <c r="B12" s="149"/>
    </row>
    <row r="13" spans="1:22">
      <c r="A13" s="149" t="s">
        <v>683</v>
      </c>
      <c r="C13" s="153"/>
    </row>
    <row r="14" spans="1:22">
      <c r="A14" s="149"/>
      <c r="C14" s="153"/>
    </row>
    <row r="15" spans="1:22" s="5" customFormat="1" ht="30.65" customHeight="1" thickBot="1">
      <c r="A15"/>
      <c r="B15" s="591" t="s">
        <v>661</v>
      </c>
      <c r="C15" s="592"/>
      <c r="D15" s="592"/>
      <c r="E15" s="592"/>
      <c r="F15" s="357"/>
      <c r="G15" s="335"/>
      <c r="H15" s="335"/>
      <c r="I15"/>
      <c r="J15"/>
      <c r="K15"/>
      <c r="L15"/>
      <c r="M15"/>
      <c r="N15"/>
      <c r="O15"/>
      <c r="P15"/>
      <c r="S15"/>
      <c r="T15"/>
      <c r="U15"/>
      <c r="V15"/>
    </row>
    <row r="16" spans="1:22" s="5" customFormat="1" ht="30.65" customHeight="1">
      <c r="A16" s="259"/>
      <c r="B16" s="28" t="s">
        <v>662</v>
      </c>
      <c r="C16" s="28" t="s">
        <v>663</v>
      </c>
      <c r="D16" s="590" t="s">
        <v>664</v>
      </c>
      <c r="E16" s="590"/>
      <c r="F16" s="358" t="s">
        <v>665</v>
      </c>
      <c r="G16" s="363" t="s">
        <v>701</v>
      </c>
      <c r="H16" s="335"/>
      <c r="I16"/>
      <c r="J16" s="1" t="s">
        <v>924</v>
      </c>
      <c r="K16"/>
      <c r="L16"/>
      <c r="M16"/>
      <c r="N16"/>
      <c r="O16"/>
      <c r="P16"/>
      <c r="S16"/>
      <c r="T16"/>
      <c r="U16"/>
      <c r="V16"/>
    </row>
    <row r="17" spans="1:22">
      <c r="A17" s="260" t="s">
        <v>670</v>
      </c>
      <c r="B17" s="28">
        <v>1</v>
      </c>
      <c r="C17" s="352">
        <v>1.7500000000000002E-2</v>
      </c>
      <c r="D17" s="353">
        <v>7</v>
      </c>
      <c r="E17" s="28"/>
      <c r="F17" s="359"/>
      <c r="G17" s="29"/>
      <c r="J17" s="273">
        <f>D17</f>
        <v>7</v>
      </c>
      <c r="K17" t="s">
        <v>171</v>
      </c>
      <c r="L17" s="273">
        <f>L33</f>
        <v>36.932586816154839</v>
      </c>
      <c r="M17" t="s">
        <v>920</v>
      </c>
      <c r="Q17" s="5"/>
      <c r="R17" s="5"/>
    </row>
    <row r="18" spans="1:22">
      <c r="A18" s="260" t="s">
        <v>671</v>
      </c>
      <c r="B18" s="28">
        <v>1</v>
      </c>
      <c r="C18" s="344">
        <v>4.4000000000000003E-3</v>
      </c>
      <c r="D18" s="347">
        <v>2</v>
      </c>
      <c r="E18" s="28"/>
      <c r="F18" s="359"/>
      <c r="G18" s="29"/>
      <c r="J18" s="12">
        <f>J17*0.9*C_model!R107</f>
        <v>3.1468499999999997</v>
      </c>
      <c r="K18" t="s">
        <v>367</v>
      </c>
      <c r="Q18" s="5"/>
      <c r="R18" s="5"/>
    </row>
    <row r="19" spans="1:22">
      <c r="A19" s="260" t="s">
        <v>672</v>
      </c>
      <c r="B19" s="28">
        <v>1</v>
      </c>
      <c r="C19" s="344">
        <v>2.5000000000000001E-2</v>
      </c>
      <c r="D19" s="28"/>
      <c r="E19" s="28"/>
      <c r="F19" s="359"/>
      <c r="G19" s="29"/>
      <c r="I19" t="s">
        <v>921</v>
      </c>
      <c r="J19" s="12">
        <f>J18/J18</f>
        <v>1</v>
      </c>
      <c r="K19" t="s">
        <v>367</v>
      </c>
      <c r="L19">
        <f>L17/J18*12/44</f>
        <v>3.2008273915608112</v>
      </c>
      <c r="M19" t="s">
        <v>367</v>
      </c>
      <c r="Q19" s="5"/>
      <c r="R19" s="5"/>
    </row>
    <row r="20" spans="1:22">
      <c r="A20" s="260" t="s">
        <v>673</v>
      </c>
      <c r="B20" s="28">
        <v>3</v>
      </c>
      <c r="C20" s="28"/>
      <c r="D20" s="28"/>
      <c r="E20" s="28"/>
      <c r="F20" s="359"/>
      <c r="G20" s="29"/>
      <c r="L20" t="s">
        <v>888</v>
      </c>
      <c r="N20" t="s">
        <v>889</v>
      </c>
      <c r="Q20" s="5"/>
      <c r="R20" s="5"/>
    </row>
    <row r="21" spans="1:22" s="5" customFormat="1" ht="30.65" customHeight="1">
      <c r="A21" s="260" t="s">
        <v>735</v>
      </c>
      <c r="B21" s="28">
        <v>1</v>
      </c>
      <c r="C21" s="345">
        <v>0.1308</v>
      </c>
      <c r="D21" s="347">
        <v>261</v>
      </c>
      <c r="E21" s="347"/>
      <c r="F21" s="360">
        <f>D21*database!M23</f>
        <v>28.047095716190132</v>
      </c>
      <c r="G21" s="362">
        <f>D21*database!E23</f>
        <v>198.53158752828045</v>
      </c>
      <c r="H21" t="s">
        <v>867</v>
      </c>
      <c r="I21" t="s">
        <v>922</v>
      </c>
      <c r="J21"/>
      <c r="K21"/>
      <c r="L21" t="e">
        <f>L19*#REF!</f>
        <v>#REF!</v>
      </c>
      <c r="M21" t="s">
        <v>367</v>
      </c>
      <c r="N21" t="e">
        <f>L19*#REF!*#REF!</f>
        <v>#REF!</v>
      </c>
      <c r="O21"/>
      <c r="P21"/>
      <c r="S21"/>
      <c r="T21"/>
      <c r="U21"/>
      <c r="V21"/>
    </row>
    <row r="22" spans="1:22">
      <c r="A22" s="260" t="s">
        <v>666</v>
      </c>
      <c r="B22" s="84">
        <v>1</v>
      </c>
      <c r="C22" s="345">
        <v>8.4900000000000003E-2</v>
      </c>
      <c r="D22" s="347">
        <v>126</v>
      </c>
      <c r="E22" s="347"/>
      <c r="F22" s="361">
        <f>D22*database!M24</f>
        <v>30.676132335084606</v>
      </c>
      <c r="G22" s="189">
        <f>D22*database!E24</f>
        <v>284.44520345607492</v>
      </c>
      <c r="I22" t="s">
        <v>923</v>
      </c>
      <c r="L22" s="5" t="e">
        <f>L19*#REF!*#REF!</f>
        <v>#REF!</v>
      </c>
      <c r="M22" s="5"/>
      <c r="N22" t="e">
        <f>L19*#REF!*#REF!</f>
        <v>#REF!</v>
      </c>
      <c r="O22" t="s">
        <v>367</v>
      </c>
      <c r="Q22" s="5"/>
      <c r="R22" s="5"/>
    </row>
    <row r="23" spans="1:22">
      <c r="A23" s="260"/>
      <c r="B23" s="28"/>
      <c r="C23" s="345"/>
      <c r="D23" s="347" t="s">
        <v>680</v>
      </c>
      <c r="E23" s="347" t="s">
        <v>681</v>
      </c>
      <c r="F23" s="361"/>
      <c r="G23" s="29"/>
      <c r="Q23" s="5"/>
      <c r="R23" s="5"/>
    </row>
    <row r="24" spans="1:22">
      <c r="A24" s="260" t="s">
        <v>667</v>
      </c>
      <c r="B24" s="28"/>
      <c r="C24" s="345">
        <v>0.01</v>
      </c>
      <c r="D24" s="347">
        <v>31</v>
      </c>
      <c r="E24" s="347">
        <v>9</v>
      </c>
      <c r="F24" s="360">
        <f>D24*database!M25+E24*database!M26</f>
        <v>8.8854910999647085</v>
      </c>
      <c r="G24" s="362">
        <f>D24*database!$E$25+concrete_substitution!E24*database!$E$26</f>
        <v>37.915792034433544</v>
      </c>
      <c r="Q24" s="5"/>
      <c r="R24" s="5"/>
    </row>
    <row r="25" spans="1:22">
      <c r="A25" s="260" t="s">
        <v>668</v>
      </c>
      <c r="B25" s="28"/>
      <c r="C25" s="345">
        <v>0.02</v>
      </c>
      <c r="D25" s="347">
        <v>62</v>
      </c>
      <c r="E25" s="347">
        <v>18</v>
      </c>
      <c r="F25" s="361">
        <f>D25*database!M25+E25*database!M26</f>
        <v>17.770982199929417</v>
      </c>
      <c r="G25" s="189">
        <f>D25*database!$E$25+concrete_substitution!E25*database!$E$26</f>
        <v>75.831584068867087</v>
      </c>
      <c r="Q25" s="5"/>
      <c r="R25" s="5"/>
    </row>
    <row r="26" spans="1:22" ht="15" thickBot="1">
      <c r="A26" s="261" t="s">
        <v>669</v>
      </c>
      <c r="B26" s="262"/>
      <c r="C26" s="351">
        <v>0.02</v>
      </c>
      <c r="D26" s="263">
        <v>25.4</v>
      </c>
      <c r="E26" s="263">
        <v>6.8</v>
      </c>
      <c r="F26" s="402">
        <f>D26*database!M25+E26*database!M26</f>
        <v>6.7861647735824313</v>
      </c>
      <c r="G26" s="58">
        <f>D26*database!$E$25+concrete_substitution!E26*database!$E$26</f>
        <v>29.371700601324196</v>
      </c>
      <c r="Q26" s="5"/>
      <c r="R26" s="5"/>
    </row>
    <row r="27" spans="1:22">
      <c r="A27" s="149"/>
      <c r="C27" s="153"/>
    </row>
    <row r="28" spans="1:22" s="41" customFormat="1">
      <c r="A28" s="593" t="s">
        <v>708</v>
      </c>
      <c r="B28" s="594"/>
      <c r="C28" s="594"/>
      <c r="D28" s="594"/>
      <c r="E28" s="594"/>
      <c r="F28" s="594"/>
      <c r="G28" s="594"/>
      <c r="H28" s="594"/>
      <c r="I28" s="594"/>
      <c r="J28" s="594"/>
      <c r="K28" s="595"/>
      <c r="L28" s="354"/>
      <c r="M28" s="81"/>
    </row>
    <row r="29" spans="1:22" s="41" customFormat="1" ht="29.15" customHeight="1">
      <c r="A29" s="342"/>
      <c r="B29" s="589" t="s">
        <v>684</v>
      </c>
      <c r="C29" s="589"/>
      <c r="D29" s="589" t="s">
        <v>685</v>
      </c>
      <c r="E29" s="589"/>
      <c r="F29" s="589" t="s">
        <v>576</v>
      </c>
      <c r="G29" s="589"/>
      <c r="H29" s="589" t="s">
        <v>686</v>
      </c>
      <c r="I29" s="589"/>
      <c r="J29" s="589" t="s">
        <v>49</v>
      </c>
      <c r="K29" s="589"/>
      <c r="L29" s="587" t="s">
        <v>703</v>
      </c>
      <c r="M29" s="587"/>
      <c r="N29" s="588"/>
      <c r="O29" s="81"/>
      <c r="P29" s="81"/>
      <c r="Q29" s="81"/>
      <c r="R29" s="81"/>
    </row>
    <row r="30" spans="1:22" s="41" customFormat="1" ht="29">
      <c r="A30" s="342"/>
      <c r="B30" s="377" t="s">
        <v>134</v>
      </c>
      <c r="C30" s="377" t="s">
        <v>702</v>
      </c>
      <c r="D30" s="377" t="s">
        <v>134</v>
      </c>
      <c r="E30" s="377" t="s">
        <v>702</v>
      </c>
      <c r="F30" s="377" t="s">
        <v>134</v>
      </c>
      <c r="G30" s="377" t="s">
        <v>702</v>
      </c>
      <c r="H30" s="377" t="s">
        <v>134</v>
      </c>
      <c r="I30" s="377" t="s">
        <v>702</v>
      </c>
      <c r="J30" s="377" t="s">
        <v>134</v>
      </c>
      <c r="K30" s="377" t="s">
        <v>702</v>
      </c>
      <c r="L30" s="81" t="s">
        <v>134</v>
      </c>
      <c r="M30" s="81" t="s">
        <v>702</v>
      </c>
      <c r="N30" s="366" t="s">
        <v>704</v>
      </c>
      <c r="O30" s="81"/>
      <c r="P30" s="81"/>
      <c r="Q30" s="81"/>
      <c r="R30" s="81"/>
      <c r="S30" s="81"/>
    </row>
    <row r="31" spans="1:22">
      <c r="A31" s="260" t="s">
        <v>687</v>
      </c>
      <c r="B31" s="378">
        <f>F21</f>
        <v>28.047095716190132</v>
      </c>
      <c r="C31" s="378">
        <f>G21</f>
        <v>198.53158752828045</v>
      </c>
      <c r="D31" s="378">
        <f>F22</f>
        <v>30.676132335084606</v>
      </c>
      <c r="E31" s="378">
        <f>G22</f>
        <v>284.44520345607492</v>
      </c>
      <c r="F31" s="378">
        <f>F24+F25</f>
        <v>26.656473299894124</v>
      </c>
      <c r="G31" s="378">
        <f>G24+G25</f>
        <v>113.74737610330064</v>
      </c>
      <c r="H31" s="378"/>
      <c r="I31" s="378"/>
      <c r="J31" s="379">
        <f>B31+D31+F31+H31</f>
        <v>85.379701351168862</v>
      </c>
      <c r="K31" s="379">
        <f>C31+E31+G31+I31</f>
        <v>596.72416708765604</v>
      </c>
      <c r="L31" s="347">
        <v>0</v>
      </c>
      <c r="M31" s="347">
        <v>0</v>
      </c>
      <c r="N31" s="367" t="s">
        <v>688</v>
      </c>
      <c r="O31" s="28"/>
      <c r="P31" s="28"/>
      <c r="Q31" s="28"/>
      <c r="R31" s="28"/>
      <c r="S31" s="28"/>
    </row>
    <row r="32" spans="1:22">
      <c r="A32" s="260" t="s">
        <v>689</v>
      </c>
      <c r="B32" s="378">
        <f>2*F21</f>
        <v>56.094191432380264</v>
      </c>
      <c r="C32" s="378">
        <f>2*G21</f>
        <v>397.06317505656091</v>
      </c>
      <c r="D32" s="378"/>
      <c r="E32" s="378"/>
      <c r="F32" s="378">
        <f>2*F24</f>
        <v>17.770982199929417</v>
      </c>
      <c r="G32" s="378">
        <f>2*G24</f>
        <v>75.831584068867087</v>
      </c>
      <c r="H32" s="378">
        <f>F26</f>
        <v>6.7861647735824313</v>
      </c>
      <c r="I32" s="378">
        <f>G26</f>
        <v>29.371700601324196</v>
      </c>
      <c r="J32" s="379">
        <f t="shared" ref="J32:K34" si="0">B32+D32+F32+H32</f>
        <v>80.651338405892105</v>
      </c>
      <c r="K32" s="379">
        <f t="shared" si="0"/>
        <v>502.2664597267522</v>
      </c>
      <c r="L32" s="347">
        <v>0</v>
      </c>
      <c r="M32" s="347">
        <v>0</v>
      </c>
      <c r="N32" s="368" t="s">
        <v>688</v>
      </c>
      <c r="O32" s="28"/>
      <c r="P32" s="28"/>
      <c r="Q32" s="28"/>
      <c r="R32" s="28"/>
      <c r="S32" s="28"/>
    </row>
    <row r="33" spans="1:19">
      <c r="A33" s="260" t="s">
        <v>690</v>
      </c>
      <c r="B33" s="378">
        <f>F21</f>
        <v>28.047095716190132</v>
      </c>
      <c r="C33" s="378">
        <f>G21</f>
        <v>198.53158752828045</v>
      </c>
      <c r="D33" s="378"/>
      <c r="E33" s="378"/>
      <c r="F33" s="378">
        <f>F24</f>
        <v>8.8854910999647085</v>
      </c>
      <c r="G33" s="378">
        <f>G24</f>
        <v>37.915792034433544</v>
      </c>
      <c r="H33" s="378">
        <f>F26</f>
        <v>6.7861647735824313</v>
      </c>
      <c r="I33" s="378">
        <f>G26</f>
        <v>29.371700601324196</v>
      </c>
      <c r="J33" s="379">
        <f t="shared" si="0"/>
        <v>43.718751589737266</v>
      </c>
      <c r="K33" s="379">
        <f t="shared" si="0"/>
        <v>265.81908016403821</v>
      </c>
      <c r="L33" s="348">
        <f>F21+F24</f>
        <v>36.932586816154839</v>
      </c>
      <c r="M33" s="348">
        <f>G21+G24</f>
        <v>236.44737956271399</v>
      </c>
      <c r="N33" s="368" t="s">
        <v>705</v>
      </c>
      <c r="O33" s="28"/>
      <c r="P33" s="28"/>
      <c r="Q33" s="28"/>
      <c r="R33" s="28"/>
      <c r="S33" s="28"/>
    </row>
    <row r="34" spans="1:19">
      <c r="A34" s="260" t="s">
        <v>691</v>
      </c>
      <c r="B34" s="378"/>
      <c r="C34" s="378"/>
      <c r="D34" s="378">
        <f>F22</f>
        <v>30.676132335084606</v>
      </c>
      <c r="E34" s="378">
        <f>G22</f>
        <v>284.44520345607492</v>
      </c>
      <c r="F34" s="378">
        <f>F25</f>
        <v>17.770982199929417</v>
      </c>
      <c r="G34" s="378">
        <f>G25</f>
        <v>75.831584068867087</v>
      </c>
      <c r="H34" s="378"/>
      <c r="I34" s="378"/>
      <c r="J34" s="379">
        <f t="shared" si="0"/>
        <v>48.447114535014023</v>
      </c>
      <c r="K34" s="379">
        <f>C34+E34+G34+I34</f>
        <v>360.27678752494199</v>
      </c>
      <c r="L34" s="401">
        <f>F21+F24</f>
        <v>36.932586816154839</v>
      </c>
      <c r="M34" s="401">
        <f>G21+G24</f>
        <v>236.44737956271399</v>
      </c>
      <c r="N34" s="368" t="s">
        <v>705</v>
      </c>
      <c r="O34" s="28"/>
      <c r="P34" s="28"/>
      <c r="Q34" s="28"/>
      <c r="R34" s="28"/>
      <c r="S34" s="28"/>
    </row>
    <row r="35" spans="1:19">
      <c r="A35" s="260" t="s">
        <v>692</v>
      </c>
      <c r="B35" s="346"/>
      <c r="C35" s="346"/>
      <c r="D35" s="346"/>
      <c r="E35" s="346"/>
      <c r="F35" s="346"/>
      <c r="G35" s="346"/>
      <c r="H35" s="347"/>
      <c r="I35" s="347"/>
      <c r="J35" s="347"/>
      <c r="K35" s="364"/>
      <c r="L35" s="364">
        <f>J32</f>
        <v>80.651338405892105</v>
      </c>
      <c r="M35" s="364">
        <f>K32</f>
        <v>502.2664597267522</v>
      </c>
      <c r="N35" s="368" t="s">
        <v>694</v>
      </c>
      <c r="O35" s="28"/>
      <c r="P35" s="28"/>
      <c r="Q35" s="28"/>
      <c r="R35" s="28"/>
    </row>
    <row r="36" spans="1:19">
      <c r="A36" s="371" t="s">
        <v>710</v>
      </c>
      <c r="B36" s="346"/>
      <c r="C36" s="346"/>
      <c r="D36" s="346"/>
      <c r="E36" s="346"/>
      <c r="F36" s="346"/>
      <c r="G36" s="346"/>
      <c r="H36" s="347"/>
      <c r="I36" s="347"/>
      <c r="J36" s="347"/>
      <c r="K36" s="364"/>
      <c r="L36" s="364"/>
      <c r="M36" s="364"/>
      <c r="N36" s="368"/>
      <c r="O36" s="28"/>
      <c r="P36" s="28"/>
      <c r="Q36" s="28"/>
      <c r="R36" s="28"/>
    </row>
    <row r="37" spans="1:19">
      <c r="A37" s="261"/>
      <c r="B37" s="349"/>
      <c r="C37" s="349"/>
      <c r="D37" s="349"/>
      <c r="E37" s="349"/>
      <c r="F37" s="349"/>
      <c r="G37" s="349"/>
      <c r="H37" s="350" t="s">
        <v>516</v>
      </c>
      <c r="I37" s="350"/>
      <c r="J37" s="262"/>
      <c r="K37" s="365"/>
      <c r="L37" s="365">
        <f>J31</f>
        <v>85.379701351168862</v>
      </c>
      <c r="M37" s="365">
        <f>K31</f>
        <v>596.72416708765604</v>
      </c>
      <c r="N37" s="369" t="s">
        <v>693</v>
      </c>
      <c r="O37" s="343"/>
      <c r="P37" s="28"/>
      <c r="Q37" s="28"/>
      <c r="R37" s="28"/>
    </row>
    <row r="38" spans="1:19">
      <c r="C38" t="s">
        <v>438</v>
      </c>
      <c r="D38" t="s">
        <v>439</v>
      </c>
    </row>
    <row r="39" spans="1:19">
      <c r="B39" s="153" t="s">
        <v>787</v>
      </c>
      <c r="C39" s="423">
        <f>HWP!C26</f>
        <v>9.5000000000000001E-2</v>
      </c>
      <c r="D39" s="423">
        <f>HWP!C26</f>
        <v>9.5000000000000001E-2</v>
      </c>
    </row>
    <row r="40" spans="1:19">
      <c r="B40" s="139" t="s">
        <v>641</v>
      </c>
      <c r="C40" s="11">
        <f>100%-C39</f>
        <v>0.90500000000000003</v>
      </c>
      <c r="D40" s="11">
        <f>100%-D39</f>
        <v>0.90500000000000003</v>
      </c>
    </row>
    <row r="41" spans="1:19">
      <c r="B41" s="139" t="s">
        <v>855</v>
      </c>
      <c r="C41" s="273">
        <f>$C$40*(material_flow!E39)*material_flow!AE68/(C_model!R107*(1-20%))</f>
        <v>0</v>
      </c>
      <c r="D41" s="273">
        <f>$C$40*(material_flow!E41)*material_flow!AF68/(C_model!R107*(1-20%))</f>
        <v>475854.22635507089</v>
      </c>
      <c r="E41" t="s">
        <v>655</v>
      </c>
    </row>
    <row r="42" spans="1:19">
      <c r="B42" s="139" t="s">
        <v>856</v>
      </c>
      <c r="C42" s="273">
        <f>$C$40*(material_flow!E40)*material_flow!AE68/(C_model!R107*(1-20%))</f>
        <v>0</v>
      </c>
      <c r="D42" s="273">
        <f>$C$40*(material_flow!E42)*material_flow!AF68/(C_model!R107*(1-20%))</f>
        <v>0</v>
      </c>
      <c r="E42" t="s">
        <v>857</v>
      </c>
    </row>
    <row r="43" spans="1:19" s="5" customFormat="1">
      <c r="A43" s="337"/>
      <c r="B43" s="139" t="s">
        <v>858</v>
      </c>
      <c r="C43" s="341">
        <f>C41*1000/$D$17</f>
        <v>0</v>
      </c>
      <c r="D43" s="341">
        <f>D41*1000/$D$17</f>
        <v>67979175.193581551</v>
      </c>
      <c r="E43" s="5" t="s">
        <v>420</v>
      </c>
      <c r="F43" s="5" t="s">
        <v>709</v>
      </c>
    </row>
    <row r="44" spans="1:19" s="5" customFormat="1">
      <c r="A44" s="337"/>
      <c r="B44" s="139" t="s">
        <v>859</v>
      </c>
      <c r="C44" s="341">
        <f>C42*1000/$D$17</f>
        <v>0</v>
      </c>
      <c r="D44" s="341">
        <f>D42*1000/$D$17</f>
        <v>0</v>
      </c>
      <c r="E44" s="5" t="s">
        <v>159</v>
      </c>
    </row>
    <row r="45" spans="1:19" s="5" customFormat="1">
      <c r="A45" s="337"/>
      <c r="B45" s="139"/>
      <c r="C45" s="338"/>
      <c r="D45" s="338"/>
    </row>
    <row r="46" spans="1:19" s="5" customFormat="1">
      <c r="A46" s="337"/>
      <c r="B46" s="596" t="s">
        <v>695</v>
      </c>
      <c r="C46" s="597" t="s">
        <v>445</v>
      </c>
      <c r="D46" s="597"/>
      <c r="E46" s="598" t="s">
        <v>707</v>
      </c>
      <c r="F46" s="598"/>
    </row>
    <row r="47" spans="1:19" s="5" customFormat="1">
      <c r="A47" s="339"/>
      <c r="B47" s="596"/>
      <c r="C47" t="s">
        <v>438</v>
      </c>
      <c r="D47" t="s">
        <v>439</v>
      </c>
      <c r="E47" t="s">
        <v>438</v>
      </c>
      <c r="F47" t="s">
        <v>439</v>
      </c>
      <c r="G47" s="4"/>
    </row>
    <row r="48" spans="1:19">
      <c r="B48" s="32" t="s">
        <v>853</v>
      </c>
      <c r="C48" s="355">
        <f>C43*$L$34</f>
        <v>0</v>
      </c>
      <c r="D48" s="355">
        <f>D43*$L$34</f>
        <v>2510646789.5275502</v>
      </c>
      <c r="E48" s="355">
        <f>C43*$M$34</f>
        <v>0</v>
      </c>
      <c r="F48" s="355">
        <f>D43*$M$34</f>
        <v>16073497839.357008</v>
      </c>
      <c r="G48" s="186"/>
      <c r="Q48" s="5"/>
      <c r="R48" s="5"/>
    </row>
    <row r="49" spans="1:18">
      <c r="B49" s="32" t="s">
        <v>854</v>
      </c>
      <c r="C49" s="355">
        <f>C44*$L$34</f>
        <v>0</v>
      </c>
      <c r="D49" s="355">
        <f>D44*$L$34</f>
        <v>0</v>
      </c>
      <c r="E49" s="355">
        <f>C44*$M$34</f>
        <v>0</v>
      </c>
      <c r="F49" s="355">
        <f>D44*$M$34</f>
        <v>0</v>
      </c>
      <c r="G49" s="186"/>
      <c r="Q49" s="5"/>
      <c r="R49" s="5"/>
    </row>
    <row r="50" spans="1:18">
      <c r="B50" s="32" t="s">
        <v>860</v>
      </c>
      <c r="C50" s="400">
        <f>C43*$L$35</f>
        <v>0</v>
      </c>
      <c r="D50" s="400">
        <f>D43*$L$35</f>
        <v>5482611463.0909719</v>
      </c>
      <c r="E50" s="400">
        <f>C43*$M$35</f>
        <v>0</v>
      </c>
      <c r="F50" s="400">
        <f>D43*$M$35</f>
        <v>34143659659.624859</v>
      </c>
      <c r="Q50" s="5"/>
      <c r="R50" s="5"/>
    </row>
    <row r="51" spans="1:18">
      <c r="B51" s="32" t="s">
        <v>860</v>
      </c>
      <c r="C51" s="400">
        <f>C44*$L$35</f>
        <v>0</v>
      </c>
      <c r="D51" s="400">
        <f>D44*$L$35</f>
        <v>0</v>
      </c>
      <c r="E51" s="400">
        <f>C44*$M$35</f>
        <v>0</v>
      </c>
      <c r="F51" s="400">
        <f>D44*$M$35</f>
        <v>0</v>
      </c>
      <c r="Q51" s="5"/>
      <c r="R51" s="5"/>
    </row>
    <row r="52" spans="1:18">
      <c r="B52" s="32" t="s">
        <v>861</v>
      </c>
      <c r="C52" s="400">
        <f>C43*$L$37</f>
        <v>0</v>
      </c>
      <c r="D52" s="400">
        <f>D43*$L$37</f>
        <v>5804041676.1267796</v>
      </c>
      <c r="E52" s="400">
        <f>C43*$M$37</f>
        <v>0</v>
      </c>
      <c r="F52" s="400">
        <f>D43*$M$37</f>
        <v>40564816696.695801</v>
      </c>
      <c r="G52" s="186"/>
      <c r="H52" s="186"/>
      <c r="I52" s="186"/>
      <c r="J52" s="186"/>
      <c r="Q52" s="5"/>
      <c r="R52" s="5"/>
    </row>
    <row r="53" spans="1:18">
      <c r="B53" s="32" t="s">
        <v>861</v>
      </c>
      <c r="C53" s="400">
        <f>C44*$L$37</f>
        <v>0</v>
      </c>
      <c r="D53" s="400">
        <f>D44*$L$37</f>
        <v>0</v>
      </c>
      <c r="E53" s="400">
        <f>C44*$M$37</f>
        <v>0</v>
      </c>
      <c r="F53" s="400">
        <f>D44*$M$37</f>
        <v>0</v>
      </c>
      <c r="Q53" s="5"/>
      <c r="R53" s="5"/>
    </row>
    <row r="54" spans="1:18">
      <c r="F54" s="5"/>
      <c r="Q54" s="5"/>
      <c r="R54" s="5"/>
    </row>
    <row r="55" spans="1:18" ht="43.5">
      <c r="A55" s="149" t="s">
        <v>448</v>
      </c>
      <c r="G55" s="55" t="s">
        <v>650</v>
      </c>
    </row>
    <row r="56" spans="1:18" ht="58">
      <c r="B56" s="55" t="s">
        <v>437</v>
      </c>
      <c r="C56" s="55" t="s">
        <v>432</v>
      </c>
      <c r="D56" s="55" t="s">
        <v>433</v>
      </c>
      <c r="F56" s="55" t="s">
        <v>647</v>
      </c>
      <c r="G56" s="55" t="s">
        <v>642</v>
      </c>
      <c r="H56" s="55" t="s">
        <v>643</v>
      </c>
      <c r="I56" s="55" t="s">
        <v>644</v>
      </c>
      <c r="J56" s="55" t="s">
        <v>654</v>
      </c>
      <c r="K56" s="55" t="s">
        <v>653</v>
      </c>
    </row>
    <row r="57" spans="1:18">
      <c r="A57" s="1" t="s">
        <v>436</v>
      </c>
      <c r="B57">
        <v>0.04</v>
      </c>
      <c r="C57">
        <v>3.52</v>
      </c>
      <c r="D57">
        <v>1.58</v>
      </c>
      <c r="F57" t="s">
        <v>648</v>
      </c>
      <c r="G57">
        <v>6</v>
      </c>
      <c r="H57" s="403">
        <f>G57*material_flow!$B$44/1000</f>
        <v>2.694</v>
      </c>
      <c r="I57" s="70">
        <f>H57/88</f>
        <v>3.0613636363636364E-2</v>
      </c>
      <c r="J57">
        <f>H57*2/3</f>
        <v>1.796</v>
      </c>
      <c r="K57" s="137">
        <f>J57/88</f>
        <v>2.0409090909090908E-2</v>
      </c>
    </row>
    <row r="58" spans="1:18">
      <c r="A58" s="149" t="s">
        <v>434</v>
      </c>
      <c r="B58">
        <v>0.06</v>
      </c>
      <c r="C58">
        <v>5.28</v>
      </c>
      <c r="D58" s="149">
        <v>2.38</v>
      </c>
      <c r="F58" t="s">
        <v>645</v>
      </c>
      <c r="G58">
        <v>2</v>
      </c>
      <c r="H58">
        <f>G58*material_flow!$B$44/1000</f>
        <v>0.89800000000000002</v>
      </c>
      <c r="I58" s="137">
        <f t="shared" ref="I58:I60" si="1">H58/88</f>
        <v>1.0204545454545454E-2</v>
      </c>
    </row>
    <row r="59" spans="1:18">
      <c r="A59" s="149" t="s">
        <v>435</v>
      </c>
      <c r="B59">
        <v>0.09</v>
      </c>
      <c r="C59">
        <v>7.92</v>
      </c>
      <c r="D59">
        <v>3.56</v>
      </c>
      <c r="F59" t="s">
        <v>646</v>
      </c>
      <c r="G59">
        <v>2</v>
      </c>
      <c r="H59">
        <f>G59*material_flow!$B$44/1000</f>
        <v>0.89800000000000002</v>
      </c>
      <c r="I59" s="137">
        <f t="shared" si="1"/>
        <v>1.0204545454545454E-2</v>
      </c>
    </row>
    <row r="60" spans="1:18">
      <c r="F60" t="s">
        <v>651</v>
      </c>
      <c r="G60">
        <v>2.6</v>
      </c>
      <c r="H60">
        <f>G60*material_flow!$B$44/1000</f>
        <v>1.1674</v>
      </c>
      <c r="I60" s="137">
        <f t="shared" si="1"/>
        <v>1.326590909090909E-2</v>
      </c>
    </row>
    <row r="61" spans="1:18">
      <c r="F61" t="s">
        <v>649</v>
      </c>
      <c r="H61">
        <f>SUM(H57:H60)</f>
        <v>5.6574</v>
      </c>
      <c r="I61" s="137">
        <f>SUM(I57:I60)</f>
        <v>6.4288636363636353E-2</v>
      </c>
      <c r="J61" t="s">
        <v>652</v>
      </c>
    </row>
    <row r="62" spans="1:18">
      <c r="A62" s="9" t="s">
        <v>467</v>
      </c>
      <c r="C62" s="153"/>
    </row>
    <row r="63" spans="1:18">
      <c r="C63" s="153"/>
    </row>
    <row r="64" spans="1:18">
      <c r="C64" s="153" t="s">
        <v>468</v>
      </c>
      <c r="D64" s="11">
        <v>0.2</v>
      </c>
      <c r="E64" s="273"/>
    </row>
    <row r="65" spans="2:18">
      <c r="C65" s="153"/>
      <c r="D65" s="11"/>
      <c r="E65" s="273"/>
    </row>
    <row r="66" spans="2:18" ht="58">
      <c r="B66" s="153"/>
      <c r="C66" s="1"/>
      <c r="D66" s="1"/>
      <c r="E66" s="563" t="s">
        <v>697</v>
      </c>
      <c r="F66" s="563"/>
      <c r="H66" s="10" t="s">
        <v>698</v>
      </c>
      <c r="I66" s="10" t="s">
        <v>392</v>
      </c>
      <c r="J66" s="1" t="s">
        <v>706</v>
      </c>
      <c r="K66" s="10"/>
    </row>
    <row r="67" spans="2:18" ht="72.5">
      <c r="B67" s="153"/>
      <c r="C67" s="10" t="s">
        <v>740</v>
      </c>
      <c r="D67" s="10" t="s">
        <v>699</v>
      </c>
      <c r="E67" s="1" t="s">
        <v>8</v>
      </c>
      <c r="F67" s="1" t="s">
        <v>13</v>
      </c>
      <c r="G67" s="10" t="s">
        <v>656</v>
      </c>
      <c r="H67" s="1"/>
      <c r="I67" s="1"/>
      <c r="K67" s="1"/>
    </row>
    <row r="68" spans="2:18">
      <c r="B68" s="149" t="s">
        <v>696</v>
      </c>
      <c r="C68" s="283">
        <f>100000*H57</f>
        <v>269400</v>
      </c>
      <c r="D68" s="356">
        <f>C68*1000/D17</f>
        <v>38485714.285714284</v>
      </c>
      <c r="E68" s="283" t="e">
        <f>C68/(C41*20/100)</f>
        <v>#DIV/0!</v>
      </c>
      <c r="F68" s="283">
        <f>C68/(D41*20/100)</f>
        <v>2.8306988262302437</v>
      </c>
      <c r="G68" s="11" t="e">
        <f>(E68-F68)/F68</f>
        <v>#DIV/0!</v>
      </c>
      <c r="H68" s="283">
        <f>D68*L34</f>
        <v>1421376984.0388732</v>
      </c>
      <c r="I68" s="283">
        <f>H68/1000000</f>
        <v>1421.3769840388732</v>
      </c>
      <c r="J68" s="370">
        <f>D68*M34/1000000</f>
        <v>9099.8462934564486</v>
      </c>
    </row>
    <row r="69" spans="2:18">
      <c r="C69" s="153"/>
    </row>
    <row r="70" spans="2:18">
      <c r="C70" s="153"/>
    </row>
    <row r="71" spans="2:18">
      <c r="E71" s="170"/>
      <c r="G71" s="170"/>
      <c r="H71" s="170"/>
    </row>
    <row r="72" spans="2:18">
      <c r="B72" s="149" t="s">
        <v>700</v>
      </c>
      <c r="C72" s="170" t="s">
        <v>8</v>
      </c>
      <c r="D72" s="170" t="s">
        <v>13</v>
      </c>
      <c r="E72" s="336"/>
      <c r="H72" s="336"/>
    </row>
    <row r="73" spans="2:18">
      <c r="B73" s="149" t="s">
        <v>469</v>
      </c>
      <c r="C73" s="274" t="e">
        <f>E68*(#REF!*20/100)</f>
        <v>#DIV/0!</v>
      </c>
      <c r="D73" s="274" t="e">
        <f>F68*(#REF!*20/100)</f>
        <v>#REF!</v>
      </c>
      <c r="E73" s="310" t="e">
        <f>(C73-D73)/C73</f>
        <v>#DIV/0!</v>
      </c>
      <c r="H73" s="310"/>
    </row>
    <row r="74" spans="2:18">
      <c r="B74" s="149" t="s">
        <v>640</v>
      </c>
      <c r="C74" s="274" t="e">
        <f>E68*(#REF!*20/100)</f>
        <v>#DIV/0!</v>
      </c>
      <c r="D74" s="274" t="e">
        <f>F68*(#REF!*20/100)</f>
        <v>#REF!</v>
      </c>
      <c r="E74" s="274"/>
      <c r="H74" s="274"/>
    </row>
    <row r="75" spans="2:18">
      <c r="F75" s="5"/>
      <c r="Q75" s="5"/>
      <c r="R75" s="5"/>
    </row>
    <row r="76" spans="2:18">
      <c r="F76" s="5"/>
      <c r="Q76" s="5"/>
      <c r="R76" s="5"/>
    </row>
    <row r="77" spans="2:18">
      <c r="F77" s="5"/>
      <c r="Q77" s="5"/>
      <c r="R77" s="5"/>
    </row>
    <row r="78" spans="2:18">
      <c r="F78" s="5"/>
      <c r="Q78" s="5"/>
      <c r="R78" s="5"/>
    </row>
    <row r="79" spans="2:18">
      <c r="F79" s="5"/>
      <c r="Q79" s="5"/>
      <c r="R79" s="5"/>
    </row>
    <row r="80" spans="2:18">
      <c r="C80" s="153"/>
      <c r="Q80" s="5"/>
      <c r="R80" s="5"/>
    </row>
  </sheetData>
  <mergeCells count="14">
    <mergeCell ref="D16:E16"/>
    <mergeCell ref="B15:E15"/>
    <mergeCell ref="E66:F66"/>
    <mergeCell ref="D2:E2"/>
    <mergeCell ref="B29:C29"/>
    <mergeCell ref="A28:K28"/>
    <mergeCell ref="B46:B47"/>
    <mergeCell ref="C46:D46"/>
    <mergeCell ref="E46:F46"/>
    <mergeCell ref="L29:N29"/>
    <mergeCell ref="H29:I29"/>
    <mergeCell ref="F29:G29"/>
    <mergeCell ref="D29:E29"/>
    <mergeCell ref="J29:K29"/>
  </mergeCells>
  <hyperlinks>
    <hyperlink ref="Q3" r:id="rId1"/>
    <hyperlink ref="Q5" r:id="rId2"/>
    <hyperlink ref="Q4" r:id="rId3"/>
    <hyperlink ref="Q7" r:id="rId4"/>
    <hyperlink ref="Q6" r:id="rId5"/>
  </hyperlinks>
  <pageMargins left="0.7" right="0.7" top="0.75" bottom="0.75" header="0.3" footer="0.3"/>
  <pageSetup paperSize="9" orientation="portrait" r:id="rId6"/>
  <legacyDrawing r:id="rId7"/>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F13"/>
  <sheetViews>
    <sheetView workbookViewId="0">
      <selection activeCell="U26" sqref="U26"/>
    </sheetView>
  </sheetViews>
  <sheetFormatPr defaultRowHeight="14.5"/>
  <cols>
    <col min="1" max="1" width="27.7265625" customWidth="1"/>
    <col min="2" max="2" width="11.26953125" customWidth="1"/>
    <col min="3" max="3" width="16.54296875" bestFit="1" customWidth="1"/>
    <col min="4" max="4" width="15.81640625" customWidth="1"/>
    <col min="5" max="5" width="16.7265625" customWidth="1"/>
    <col min="6" max="6" width="22.54296875" customWidth="1"/>
    <col min="7" max="7" width="22.81640625" customWidth="1"/>
    <col min="8" max="8" width="12.1796875" customWidth="1"/>
    <col min="9" max="11" width="21.1796875" customWidth="1"/>
    <col min="12" max="12" width="20" customWidth="1"/>
    <col min="13" max="13" width="24.453125" customWidth="1"/>
    <col min="15" max="15" width="25.453125" customWidth="1"/>
    <col min="16" max="16" width="25.7265625" customWidth="1"/>
  </cols>
  <sheetData>
    <row r="2" spans="1:6">
      <c r="B2" t="s">
        <v>1008</v>
      </c>
    </row>
    <row r="3" spans="1:6">
      <c r="A3" s="1" t="s">
        <v>1006</v>
      </c>
      <c r="B3" t="s">
        <v>885</v>
      </c>
      <c r="C3" t="s">
        <v>886</v>
      </c>
      <c r="D3" t="s">
        <v>887</v>
      </c>
      <c r="E3" t="s">
        <v>1007</v>
      </c>
    </row>
    <row r="4" spans="1:6">
      <c r="A4" t="s">
        <v>1013</v>
      </c>
      <c r="B4" s="11">
        <v>0.13</v>
      </c>
      <c r="C4" s="11">
        <v>0.33</v>
      </c>
      <c r="D4" s="11">
        <v>0.67</v>
      </c>
      <c r="E4" s="11">
        <v>1</v>
      </c>
      <c r="F4" s="11"/>
    </row>
    <row r="5" spans="1:6">
      <c r="A5" t="s">
        <v>991</v>
      </c>
      <c r="B5" s="11">
        <v>0.13</v>
      </c>
      <c r="C5" s="11">
        <v>0.33</v>
      </c>
      <c r="D5" s="11">
        <v>0.67</v>
      </c>
      <c r="E5" s="11">
        <v>1</v>
      </c>
      <c r="F5" s="11"/>
    </row>
    <row r="6" spans="1:6">
      <c r="A6" t="s">
        <v>987</v>
      </c>
      <c r="B6" s="11">
        <f>0.72*B9+0.17*B4+0.11*B10</f>
        <v>0.3876</v>
      </c>
      <c r="C6" s="11">
        <f t="shared" ref="C6:E6" si="0">0.72*C9+0.17*C4+0.11*C10</f>
        <v>0.62150000000000005</v>
      </c>
      <c r="D6" s="11">
        <f t="shared" si="0"/>
        <v>0.81989999999999996</v>
      </c>
      <c r="E6" s="11">
        <f t="shared" si="0"/>
        <v>0.92300000000000004</v>
      </c>
      <c r="F6" s="11"/>
    </row>
    <row r="7" spans="1:6">
      <c r="A7" t="s">
        <v>961</v>
      </c>
      <c r="B7" s="11">
        <f>B6</f>
        <v>0.3876</v>
      </c>
      <c r="C7" s="11">
        <f t="shared" ref="C7:E7" si="1">C6</f>
        <v>0.62150000000000005</v>
      </c>
      <c r="D7" s="11">
        <f t="shared" si="1"/>
        <v>0.81989999999999996</v>
      </c>
      <c r="E7" s="11">
        <f t="shared" si="1"/>
        <v>0.92300000000000004</v>
      </c>
      <c r="F7" s="11"/>
    </row>
    <row r="8" spans="1:6">
      <c r="A8" t="s">
        <v>1000</v>
      </c>
      <c r="B8" s="11">
        <v>0.25</v>
      </c>
      <c r="C8" s="11">
        <v>0.6</v>
      </c>
      <c r="D8" s="11">
        <v>0.7</v>
      </c>
      <c r="E8" s="11">
        <v>0.79</v>
      </c>
      <c r="F8" s="11"/>
    </row>
    <row r="9" spans="1:6">
      <c r="A9" t="s">
        <v>1107</v>
      </c>
      <c r="B9" s="11">
        <v>0.5</v>
      </c>
      <c r="C9" s="11">
        <v>0.77</v>
      </c>
      <c r="D9" s="11">
        <v>0.95</v>
      </c>
      <c r="E9" s="11">
        <v>1</v>
      </c>
    </row>
    <row r="10" spans="1:6">
      <c r="A10" t="s">
        <v>1108</v>
      </c>
      <c r="B10" s="11">
        <v>0.05</v>
      </c>
      <c r="C10" s="11">
        <v>0.1</v>
      </c>
      <c r="D10" s="11">
        <v>0.2</v>
      </c>
      <c r="E10" s="11">
        <v>0.3</v>
      </c>
    </row>
    <row r="11" spans="1:6">
      <c r="A11" s="555" t="s">
        <v>1109</v>
      </c>
      <c r="B11" s="612">
        <v>0.1</v>
      </c>
      <c r="C11" s="612">
        <v>0.33</v>
      </c>
      <c r="D11" s="612">
        <v>0.67</v>
      </c>
      <c r="E11" s="612">
        <v>0.95</v>
      </c>
    </row>
    <row r="12" spans="1:6">
      <c r="A12" s="1" t="s">
        <v>1110</v>
      </c>
    </row>
    <row r="13" spans="1:6">
      <c r="A13" t="s">
        <v>1111</v>
      </c>
      <c r="B13" s="11">
        <v>0.05</v>
      </c>
      <c r="C13" s="11">
        <v>0.1</v>
      </c>
      <c r="D13" s="11">
        <v>0.2</v>
      </c>
      <c r="E13" s="11">
        <v>0.33</v>
      </c>
    </row>
  </sheetData>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96"/>
  <sheetViews>
    <sheetView workbookViewId="0">
      <selection activeCell="U26" sqref="U26"/>
    </sheetView>
  </sheetViews>
  <sheetFormatPr defaultColWidth="9.26953125" defaultRowHeight="10.5"/>
  <cols>
    <col min="1" max="1" width="12.81640625" style="285" customWidth="1"/>
    <col min="2" max="2" width="25" style="285" customWidth="1"/>
    <col min="3" max="3" width="17.1796875" style="285" customWidth="1"/>
    <col min="4" max="4" width="6.1796875" style="285" customWidth="1"/>
    <col min="5" max="5" width="7.7265625" style="285" customWidth="1"/>
    <col min="6" max="6" width="8.81640625" style="285" customWidth="1"/>
    <col min="7" max="7" width="9.7265625" style="285" customWidth="1"/>
    <col min="8" max="8" width="8.54296875" style="285" customWidth="1"/>
    <col min="9" max="9" width="5.26953125" style="285" customWidth="1"/>
    <col min="10" max="10" width="8.81640625" style="285" customWidth="1"/>
    <col min="11" max="11" width="13.54296875" style="285" customWidth="1"/>
    <col min="12" max="14" width="9.26953125" style="288"/>
    <col min="15" max="16384" width="9.26953125" style="285"/>
  </cols>
  <sheetData>
    <row r="1" spans="1:14">
      <c r="A1" s="301" t="s">
        <v>627</v>
      </c>
      <c r="B1" s="308" t="s">
        <v>628</v>
      </c>
      <c r="C1" s="301" t="s">
        <v>612</v>
      </c>
      <c r="D1" s="302" t="s">
        <v>71</v>
      </c>
      <c r="E1" s="603" t="s">
        <v>8</v>
      </c>
      <c r="F1" s="603"/>
      <c r="G1" s="603" t="s">
        <v>13</v>
      </c>
      <c r="H1" s="603"/>
      <c r="I1" s="604" t="s">
        <v>614</v>
      </c>
      <c r="J1" s="604"/>
      <c r="K1" s="304" t="s">
        <v>613</v>
      </c>
      <c r="L1" s="299" t="s">
        <v>71</v>
      </c>
      <c r="M1" s="602" t="s">
        <v>545</v>
      </c>
      <c r="N1" s="602"/>
    </row>
    <row r="2" spans="1:14" ht="11" thickBot="1">
      <c r="A2" s="303"/>
      <c r="B2" s="303"/>
      <c r="C2" s="303"/>
      <c r="D2" s="304"/>
      <c r="E2" s="304" t="s">
        <v>484</v>
      </c>
      <c r="F2" s="304" t="s">
        <v>485</v>
      </c>
      <c r="G2" s="304" t="s">
        <v>484</v>
      </c>
      <c r="H2" s="304" t="s">
        <v>485</v>
      </c>
      <c r="I2" s="304" t="s">
        <v>611</v>
      </c>
      <c r="J2" s="304" t="s">
        <v>610</v>
      </c>
      <c r="K2" s="304"/>
      <c r="L2" s="300"/>
      <c r="M2" s="286" t="s">
        <v>484</v>
      </c>
      <c r="N2" s="286" t="s">
        <v>485</v>
      </c>
    </row>
    <row r="3" spans="1:14">
      <c r="A3" s="289" t="s">
        <v>465</v>
      </c>
      <c r="B3" s="287" t="s">
        <v>487</v>
      </c>
      <c r="C3" s="287"/>
      <c r="D3" s="285" t="s">
        <v>486</v>
      </c>
      <c r="E3" s="306">
        <v>1</v>
      </c>
      <c r="F3" s="306"/>
      <c r="G3" s="306">
        <v>1</v>
      </c>
      <c r="H3" s="306"/>
      <c r="I3" s="306"/>
      <c r="J3" s="306"/>
      <c r="K3" s="290"/>
    </row>
    <row r="4" spans="1:14">
      <c r="A4" s="291"/>
      <c r="B4" s="291" t="s">
        <v>489</v>
      </c>
      <c r="C4" s="291" t="s">
        <v>550</v>
      </c>
      <c r="D4" s="285" t="s">
        <v>78</v>
      </c>
      <c r="E4" s="306">
        <v>15</v>
      </c>
      <c r="F4" s="306"/>
      <c r="G4" s="306">
        <v>15</v>
      </c>
      <c r="H4" s="306"/>
      <c r="I4" s="306">
        <v>940.92822502088325</v>
      </c>
      <c r="J4" s="306">
        <v>65.46562377356247</v>
      </c>
      <c r="K4" s="290" t="s">
        <v>545</v>
      </c>
    </row>
    <row r="5" spans="1:14">
      <c r="A5" s="291"/>
      <c r="B5" s="291" t="s">
        <v>314</v>
      </c>
      <c r="C5" s="291" t="s">
        <v>609</v>
      </c>
      <c r="D5" s="285" t="s">
        <v>171</v>
      </c>
      <c r="E5" s="306">
        <v>0.84</v>
      </c>
      <c r="F5" s="306"/>
      <c r="G5" s="306">
        <v>0.84</v>
      </c>
      <c r="H5" s="306"/>
      <c r="I5" s="306"/>
      <c r="J5" s="306"/>
      <c r="K5" s="290" t="s">
        <v>545</v>
      </c>
    </row>
    <row r="6" spans="1:14">
      <c r="A6" s="289" t="s">
        <v>178</v>
      </c>
      <c r="B6" s="287" t="s">
        <v>488</v>
      </c>
      <c r="C6" s="287" t="s">
        <v>546</v>
      </c>
      <c r="D6" s="285" t="s">
        <v>526</v>
      </c>
      <c r="E6" s="306">
        <v>50000</v>
      </c>
      <c r="F6" s="306"/>
      <c r="G6" s="306">
        <v>50000</v>
      </c>
      <c r="H6" s="306"/>
      <c r="I6" s="306">
        <v>1.1881174541950001</v>
      </c>
      <c r="J6" s="306">
        <v>0.1208592220467725</v>
      </c>
      <c r="K6" s="290" t="s">
        <v>545</v>
      </c>
    </row>
    <row r="7" spans="1:14">
      <c r="A7" s="287"/>
      <c r="B7" s="291" t="s">
        <v>489</v>
      </c>
      <c r="C7" s="291" t="s">
        <v>546</v>
      </c>
      <c r="D7" s="285" t="s">
        <v>78</v>
      </c>
      <c r="E7" s="306">
        <v>30</v>
      </c>
      <c r="F7" s="306"/>
      <c r="G7" s="306">
        <v>30</v>
      </c>
      <c r="H7" s="306"/>
      <c r="I7" s="306">
        <v>940.92822502088325</v>
      </c>
      <c r="J7" s="306">
        <v>65.46562377356247</v>
      </c>
      <c r="K7" s="290" t="s">
        <v>545</v>
      </c>
    </row>
    <row r="8" spans="1:14">
      <c r="A8" s="287"/>
      <c r="B8" s="291" t="s">
        <v>490</v>
      </c>
      <c r="C8" s="291" t="s">
        <v>609</v>
      </c>
      <c r="D8" s="285" t="s">
        <v>171</v>
      </c>
      <c r="E8" s="306">
        <f>0.832*2</f>
        <v>1.6639999999999999</v>
      </c>
      <c r="F8" s="306"/>
      <c r="G8" s="306">
        <f>0.832*2</f>
        <v>1.6639999999999999</v>
      </c>
      <c r="H8" s="306"/>
      <c r="I8" s="306"/>
      <c r="J8" s="306"/>
      <c r="K8" s="290" t="s">
        <v>545</v>
      </c>
    </row>
    <row r="9" spans="1:14" ht="21">
      <c r="A9" s="289" t="s">
        <v>491</v>
      </c>
      <c r="B9" s="287" t="s">
        <v>543</v>
      </c>
      <c r="C9" s="287" t="s">
        <v>546</v>
      </c>
      <c r="D9" s="285" t="s">
        <v>78</v>
      </c>
      <c r="E9" s="306">
        <v>64</v>
      </c>
      <c r="F9" s="306"/>
      <c r="G9" s="306">
        <v>78</v>
      </c>
      <c r="H9" s="306"/>
      <c r="I9" s="306">
        <v>784.49695189248723</v>
      </c>
      <c r="J9" s="306">
        <v>55.823581319300651</v>
      </c>
      <c r="K9" s="290" t="s">
        <v>545</v>
      </c>
    </row>
    <row r="10" spans="1:14">
      <c r="A10" s="287"/>
      <c r="B10" s="287" t="s">
        <v>544</v>
      </c>
      <c r="C10" s="287" t="s">
        <v>546</v>
      </c>
      <c r="D10" s="285" t="s">
        <v>78</v>
      </c>
      <c r="E10" s="306">
        <v>64</v>
      </c>
      <c r="F10" s="306"/>
      <c r="G10" s="306">
        <v>78</v>
      </c>
      <c r="H10" s="306"/>
      <c r="I10" s="306">
        <v>646.06518480287491</v>
      </c>
      <c r="J10" s="306">
        <v>45.552027985359125</v>
      </c>
      <c r="K10" s="290" t="s">
        <v>545</v>
      </c>
    </row>
    <row r="11" spans="1:14">
      <c r="A11" s="289" t="s">
        <v>536</v>
      </c>
      <c r="B11" s="287" t="s">
        <v>538</v>
      </c>
      <c r="C11" s="305" t="s">
        <v>615</v>
      </c>
      <c r="D11" s="285" t="s">
        <v>367</v>
      </c>
      <c r="E11" s="306">
        <f>C_model!E107*1000</f>
        <v>222433.564018384</v>
      </c>
      <c r="F11" s="306"/>
      <c r="G11" s="306">
        <f>C_model!K107*1000</f>
        <v>3207174201.4376707</v>
      </c>
      <c r="H11" s="306"/>
      <c r="I11" s="306"/>
      <c r="J11" s="306"/>
      <c r="K11" s="297" t="s">
        <v>621</v>
      </c>
    </row>
    <row r="12" spans="1:14" ht="21">
      <c r="A12" s="287"/>
      <c r="B12" s="287" t="s">
        <v>537</v>
      </c>
      <c r="C12" s="297" t="s">
        <v>616</v>
      </c>
      <c r="D12" s="285" t="s">
        <v>159</v>
      </c>
      <c r="E12" s="306"/>
      <c r="F12" s="306">
        <f>material_flow!D39+material_flow!D40</f>
        <v>1739.410325651131</v>
      </c>
      <c r="G12" s="306"/>
      <c r="H12" s="306">
        <f>material_flow!D41+material_flow!D42+material_flow!D7+material_flow!D8</f>
        <v>13751782.64434983</v>
      </c>
      <c r="I12" s="306"/>
      <c r="J12" s="306"/>
      <c r="K12" s="297" t="s">
        <v>621</v>
      </c>
    </row>
    <row r="13" spans="1:14" ht="21">
      <c r="A13" s="289" t="s">
        <v>312</v>
      </c>
      <c r="B13" s="287" t="s">
        <v>493</v>
      </c>
      <c r="C13" s="287" t="s">
        <v>546</v>
      </c>
      <c r="D13" s="285" t="s">
        <v>492</v>
      </c>
      <c r="E13" s="306" t="e">
        <f>#REF!+#REF!</f>
        <v>#REF!</v>
      </c>
      <c r="F13" s="306"/>
      <c r="G13" s="306">
        <f>SUM(GWP_impact!C33:C36)</f>
        <v>1909601141.7023177</v>
      </c>
      <c r="H13" s="306"/>
      <c r="I13" s="306"/>
      <c r="J13" s="306"/>
      <c r="K13" s="290" t="s">
        <v>545</v>
      </c>
    </row>
    <row r="14" spans="1:14">
      <c r="A14" s="292" t="s">
        <v>80</v>
      </c>
      <c r="B14" s="287" t="s">
        <v>537</v>
      </c>
      <c r="C14" s="287" t="s">
        <v>549</v>
      </c>
      <c r="D14" s="287" t="s">
        <v>159</v>
      </c>
      <c r="E14" s="307">
        <f>(material_flow!D39+material_flow!D40)*(material_flow!H60+material_flow!H61+material_flow!H63+material_flow!H64+material_flow!H66+material_flow!H73)</f>
        <v>0</v>
      </c>
      <c r="F14" s="307"/>
      <c r="G14" s="307">
        <f>(material_flow!D41+material_flow!D42)*(material_flow!I60+material_flow!I61+material_flow!I63+material_flow!I64+material_flow!I66+material_flow!I73)+(material_flow!D7+material_flow!D8)*(material_flow!D12+material_flow!D16)</f>
        <v>12514122.206358345</v>
      </c>
      <c r="H14" s="307"/>
      <c r="I14" s="306"/>
      <c r="J14" s="306"/>
      <c r="K14" s="297"/>
      <c r="L14" s="298" t="s">
        <v>159</v>
      </c>
      <c r="M14" s="298"/>
      <c r="N14" s="298"/>
    </row>
    <row r="15" spans="1:14">
      <c r="A15" s="292"/>
      <c r="B15" s="287" t="s">
        <v>539</v>
      </c>
      <c r="C15" s="287" t="s">
        <v>545</v>
      </c>
      <c r="D15" s="287" t="s">
        <v>127</v>
      </c>
      <c r="E15" s="307">
        <f>F17*M15</f>
        <v>0</v>
      </c>
      <c r="F15" s="307"/>
      <c r="G15" s="307">
        <f>H17*M15</f>
        <v>11025469.709720738</v>
      </c>
      <c r="H15" s="307"/>
      <c r="I15" s="307"/>
      <c r="J15" s="307"/>
      <c r="K15" s="290"/>
      <c r="L15" s="298" t="s">
        <v>127</v>
      </c>
      <c r="M15" s="298">
        <v>1.18434931926898E-2</v>
      </c>
      <c r="N15" s="298"/>
    </row>
    <row r="16" spans="1:14">
      <c r="A16" s="292"/>
      <c r="B16" s="287" t="s">
        <v>523</v>
      </c>
      <c r="C16" s="287" t="s">
        <v>545</v>
      </c>
      <c r="D16" s="287" t="s">
        <v>171</v>
      </c>
      <c r="E16" s="307">
        <f>F17*M16</f>
        <v>0</v>
      </c>
      <c r="F16" s="307"/>
      <c r="G16" s="307">
        <f>H17*M16</f>
        <v>9783.1632635549922</v>
      </c>
      <c r="H16" s="307"/>
      <c r="I16" s="307"/>
      <c r="J16" s="307"/>
      <c r="K16" s="297"/>
      <c r="L16" s="298" t="s">
        <v>171</v>
      </c>
      <c r="M16" s="298">
        <v>1.05090150864712E-5</v>
      </c>
      <c r="N16" s="298"/>
    </row>
    <row r="17" spans="1:14">
      <c r="A17" s="292"/>
      <c r="B17" s="287" t="s">
        <v>540</v>
      </c>
      <c r="C17" s="287" t="s">
        <v>617</v>
      </c>
      <c r="D17" s="287" t="s">
        <v>171</v>
      </c>
      <c r="E17" s="307"/>
      <c r="F17" s="307">
        <f>material_flow!L80*(material_flow!B39+material_flow!B40)*1000</f>
        <v>0</v>
      </c>
      <c r="G17" s="307"/>
      <c r="H17" s="307">
        <f>(material_flow!J17*(material_flow!D7+material_flow!D8)+material_flow!M80*(material_flow!B41+material_flow!B42))*1000</f>
        <v>930930556.57988024</v>
      </c>
      <c r="I17" s="306">
        <v>298.90460981706354</v>
      </c>
      <c r="J17" s="306">
        <v>20.225379937104055</v>
      </c>
      <c r="K17" s="290" t="s">
        <v>545</v>
      </c>
      <c r="L17" s="298" t="s">
        <v>171</v>
      </c>
      <c r="M17" s="298"/>
      <c r="N17" s="298">
        <v>1</v>
      </c>
    </row>
    <row r="18" spans="1:14">
      <c r="A18" s="292"/>
      <c r="B18" s="287" t="s">
        <v>552</v>
      </c>
      <c r="C18" s="287" t="s">
        <v>617</v>
      </c>
      <c r="D18" s="287" t="s">
        <v>159</v>
      </c>
      <c r="E18" s="307"/>
      <c r="F18" s="307">
        <f>(material_flow!P60+material_flow!P61+material_flow!P63+material_flow!P64+material_flow!P66+material_flow!P73)*(material_flow!D39+material_flow!D40)</f>
        <v>0</v>
      </c>
      <c r="G18" s="307"/>
      <c r="H18" s="307">
        <f>(material_flow!M12+material_flow!M13+material_flow!M15+material_flow!M16)*(material_flow!D7+material_flow!D8)+(material_flow!Q60+material_flow!Q61+material_flow!Q63+material_flow!Q64+material_flow!Q66+material_flow!Q73)*(material_flow!D41+material_flow!D42)</f>
        <v>11173323.398534236</v>
      </c>
      <c r="I18" s="307"/>
      <c r="J18" s="307"/>
      <c r="K18" s="297"/>
      <c r="L18" s="298"/>
      <c r="M18" s="298"/>
      <c r="N18" s="298"/>
    </row>
    <row r="19" spans="1:14">
      <c r="A19" s="289" t="s">
        <v>557</v>
      </c>
      <c r="B19" s="287" t="s">
        <v>551</v>
      </c>
      <c r="C19" s="287" t="s">
        <v>545</v>
      </c>
      <c r="D19" s="287" t="s">
        <v>127</v>
      </c>
      <c r="E19" s="307">
        <f>SUM($F$23:$F$23)*M19</f>
        <v>0</v>
      </c>
      <c r="F19" s="307"/>
      <c r="G19" s="307">
        <f>SUM($H$23:$H$23)*M19</f>
        <v>131497624.15700907</v>
      </c>
      <c r="H19" s="307"/>
      <c r="I19" s="307"/>
      <c r="J19" s="307"/>
      <c r="K19" s="297"/>
      <c r="L19" s="298" t="s">
        <v>127</v>
      </c>
      <c r="M19" s="298">
        <v>26.137134170270301</v>
      </c>
      <c r="N19" s="298"/>
    </row>
    <row r="20" spans="1:14">
      <c r="A20" s="292"/>
      <c r="B20" s="287" t="s">
        <v>524</v>
      </c>
      <c r="C20" s="287" t="s">
        <v>545</v>
      </c>
      <c r="D20" s="287" t="s">
        <v>393</v>
      </c>
      <c r="E20" s="307">
        <f>SUM($F$23:$F$23)*M20</f>
        <v>0</v>
      </c>
      <c r="F20" s="307"/>
      <c r="G20" s="307">
        <f>SUM($H$23:$H$23)*M20</f>
        <v>87934958.601581246</v>
      </c>
      <c r="H20" s="307"/>
      <c r="I20" s="307"/>
      <c r="J20" s="307"/>
      <c r="K20" s="297"/>
      <c r="L20" s="298" t="s">
        <v>393</v>
      </c>
      <c r="M20" s="298">
        <v>17.4783980011869</v>
      </c>
      <c r="N20" s="298"/>
    </row>
    <row r="21" spans="1:14">
      <c r="A21" s="292"/>
      <c r="B21" s="287" t="s">
        <v>523</v>
      </c>
      <c r="C21" s="287" t="s">
        <v>545</v>
      </c>
      <c r="D21" s="287" t="s">
        <v>171</v>
      </c>
      <c r="E21" s="307">
        <f>SUM($F$23:$F$23)*M21</f>
        <v>0</v>
      </c>
      <c r="F21" s="307"/>
      <c r="G21" s="307">
        <f>SUM($H$23:$H$23)*M21</f>
        <v>478344.7163380374</v>
      </c>
      <c r="H21" s="307"/>
      <c r="I21" s="307"/>
      <c r="J21" s="307"/>
      <c r="K21" s="297"/>
      <c r="L21" s="298" t="s">
        <v>171</v>
      </c>
      <c r="M21" s="298">
        <v>9.5078219935282093E-2</v>
      </c>
      <c r="N21" s="298"/>
    </row>
    <row r="22" spans="1:14">
      <c r="A22" s="287"/>
      <c r="B22" s="287" t="s">
        <v>553</v>
      </c>
      <c r="C22" s="287" t="s">
        <v>617</v>
      </c>
      <c r="D22" s="287" t="s">
        <v>159</v>
      </c>
      <c r="E22" s="307">
        <f>(material_flow!P66+material_flow!P73)*(material_flow!D39+material_flow!D40)</f>
        <v>0</v>
      </c>
      <c r="F22" s="307"/>
      <c r="G22" s="307">
        <f>(material_flow!Q66+material_flow!Q73)*(material_flow!D41+material_flow!D42)</f>
        <v>9147391.1339648422</v>
      </c>
      <c r="H22" s="307"/>
      <c r="I22" s="307"/>
      <c r="J22" s="307"/>
      <c r="K22" s="297"/>
      <c r="L22" s="298" t="s">
        <v>159</v>
      </c>
      <c r="M22" s="298">
        <v>1.4572736513445099</v>
      </c>
      <c r="N22" s="298"/>
    </row>
    <row r="23" spans="1:14">
      <c r="A23" s="287"/>
      <c r="B23" s="287" t="s">
        <v>554</v>
      </c>
      <c r="C23" s="287" t="s">
        <v>547</v>
      </c>
      <c r="D23" s="287" t="s">
        <v>159</v>
      </c>
      <c r="E23" s="307"/>
      <c r="F23" s="307">
        <f>(material_flow!U66+material_flow!U73)*(material_flow!$D$39+material_flow!$D$40)</f>
        <v>0</v>
      </c>
      <c r="G23" s="307"/>
      <c r="H23" s="307">
        <f>(material_flow!AF68+material_flow!AF66+material_flow!AF67)*(material_flow!$D$41+material_flow!$D$42)</f>
        <v>5031065.1236806642</v>
      </c>
      <c r="I23" s="306">
        <v>362.76537122785305</v>
      </c>
      <c r="J23" s="306">
        <v>24.750813152611258</v>
      </c>
      <c r="K23" s="290" t="s">
        <v>545</v>
      </c>
      <c r="L23" s="298" t="s">
        <v>159</v>
      </c>
      <c r="M23" s="298"/>
      <c r="N23" s="298">
        <v>1</v>
      </c>
    </row>
    <row r="24" spans="1:14">
      <c r="A24" s="287"/>
      <c r="B24" s="287" t="s">
        <v>541</v>
      </c>
      <c r="C24" s="287" t="s">
        <v>547</v>
      </c>
      <c r="D24" s="287" t="s">
        <v>171</v>
      </c>
      <c r="E24" s="307"/>
      <c r="F24" s="307">
        <f>(material_flow!U69+material_flow!U76)*(material_flow!B39+material_flow!B40)*0.5*1000</f>
        <v>0</v>
      </c>
      <c r="G24" s="307"/>
      <c r="H24" s="307">
        <f>(material_flow!V69+material_flow!V76)*(material_flow!B41+material_flow!B42)*0.5*1000</f>
        <v>1429003979.3654065</v>
      </c>
      <c r="I24" s="307"/>
      <c r="J24" s="307"/>
      <c r="K24" s="297"/>
      <c r="L24" s="298" t="s">
        <v>247</v>
      </c>
      <c r="M24" s="298"/>
      <c r="N24" s="298" t="s">
        <v>555</v>
      </c>
    </row>
    <row r="25" spans="1:14" ht="21">
      <c r="A25" s="289" t="s">
        <v>219</v>
      </c>
      <c r="B25" s="287" t="s">
        <v>524</v>
      </c>
      <c r="C25" s="287" t="s">
        <v>545</v>
      </c>
      <c r="D25" s="287" t="s">
        <v>393</v>
      </c>
      <c r="E25" s="307">
        <f>F27*M25</f>
        <v>0</v>
      </c>
      <c r="F25" s="307"/>
      <c r="G25" s="307">
        <f>H27*M25</f>
        <v>84018787.565467089</v>
      </c>
      <c r="H25" s="307"/>
      <c r="I25" s="307"/>
      <c r="J25" s="307"/>
      <c r="K25" s="297"/>
      <c r="L25" s="298" t="s">
        <v>393</v>
      </c>
      <c r="M25" s="298">
        <v>16.7</v>
      </c>
      <c r="N25" s="298"/>
    </row>
    <row r="26" spans="1:14">
      <c r="A26" s="287"/>
      <c r="B26" s="287" t="s">
        <v>554</v>
      </c>
      <c r="C26" s="287" t="s">
        <v>547</v>
      </c>
      <c r="D26" s="287" t="s">
        <v>159</v>
      </c>
      <c r="E26" s="307">
        <f>F23</f>
        <v>0</v>
      </c>
      <c r="F26" s="307"/>
      <c r="G26" s="307">
        <f>H23</f>
        <v>5031065.1236806642</v>
      </c>
      <c r="H26" s="307"/>
      <c r="I26" s="307"/>
      <c r="J26" s="307"/>
      <c r="K26" s="297"/>
      <c r="L26" s="298" t="s">
        <v>159</v>
      </c>
      <c r="M26" s="298">
        <v>1.0416666666666701</v>
      </c>
      <c r="N26" s="298"/>
    </row>
    <row r="27" spans="1:14" ht="21">
      <c r="A27" s="287"/>
      <c r="B27" s="287" t="s">
        <v>556</v>
      </c>
      <c r="C27" s="287" t="s">
        <v>558</v>
      </c>
      <c r="D27" s="287" t="s">
        <v>159</v>
      </c>
      <c r="E27" s="307"/>
      <c r="F27" s="307">
        <f>E26</f>
        <v>0</v>
      </c>
      <c r="G27" s="307"/>
      <c r="H27" s="307">
        <f>G26</f>
        <v>5031065.1236806642</v>
      </c>
      <c r="I27" s="306">
        <v>403.15282511499998</v>
      </c>
      <c r="J27" s="306">
        <v>28.636192776718737</v>
      </c>
      <c r="K27" s="290" t="s">
        <v>545</v>
      </c>
      <c r="L27" s="298" t="s">
        <v>159</v>
      </c>
      <c r="M27" s="298"/>
      <c r="N27" s="298">
        <v>1</v>
      </c>
    </row>
    <row r="28" spans="1:14">
      <c r="A28" s="289" t="s">
        <v>82</v>
      </c>
      <c r="B28" s="287" t="s">
        <v>524</v>
      </c>
      <c r="C28" s="287" t="s">
        <v>545</v>
      </c>
      <c r="D28" s="287" t="s">
        <v>393</v>
      </c>
      <c r="E28" s="307">
        <f>F30*M28</f>
        <v>0</v>
      </c>
      <c r="F28" s="307"/>
      <c r="G28" s="307">
        <f>H30*M28</f>
        <v>43623224.384260669</v>
      </c>
      <c r="H28" s="307"/>
      <c r="I28" s="307"/>
      <c r="J28" s="307"/>
      <c r="K28" s="297"/>
      <c r="L28" s="298" t="s">
        <v>393</v>
      </c>
      <c r="M28" s="298">
        <v>8.6707731487972595</v>
      </c>
      <c r="N28" s="298"/>
    </row>
    <row r="29" spans="1:14">
      <c r="A29" s="287"/>
      <c r="B29" s="287" t="s">
        <v>578</v>
      </c>
      <c r="C29" s="287" t="s">
        <v>547</v>
      </c>
      <c r="D29" s="287" t="s">
        <v>159</v>
      </c>
      <c r="E29" s="307">
        <f>F27</f>
        <v>0</v>
      </c>
      <c r="F29" s="307"/>
      <c r="G29" s="307">
        <f>H27</f>
        <v>5031065.1236806642</v>
      </c>
      <c r="H29" s="307"/>
      <c r="I29" s="307"/>
      <c r="J29" s="307"/>
      <c r="K29" s="297"/>
      <c r="L29" s="298" t="s">
        <v>159</v>
      </c>
      <c r="M29" s="298">
        <f>0.835811689119006+0.208952922279751</f>
        <v>1.044764611398757</v>
      </c>
      <c r="N29" s="298"/>
    </row>
    <row r="30" spans="1:14" ht="21">
      <c r="A30" s="287"/>
      <c r="B30" s="287" t="s">
        <v>579</v>
      </c>
      <c r="C30" s="287" t="s">
        <v>633</v>
      </c>
      <c r="D30" s="287" t="s">
        <v>159</v>
      </c>
      <c r="E30" s="307"/>
      <c r="F30" s="307">
        <f>E29</f>
        <v>0</v>
      </c>
      <c r="G30" s="307"/>
      <c r="H30" s="307">
        <f>G29</f>
        <v>5031065.1236806642</v>
      </c>
      <c r="I30" s="306">
        <v>468.80453232100007</v>
      </c>
      <c r="J30" s="306">
        <v>35.16351977807934</v>
      </c>
      <c r="K30" s="290" t="s">
        <v>545</v>
      </c>
      <c r="L30" s="298" t="s">
        <v>159</v>
      </c>
      <c r="M30" s="298"/>
      <c r="N30" s="298">
        <v>1</v>
      </c>
    </row>
    <row r="31" spans="1:14">
      <c r="A31" s="287"/>
      <c r="B31" s="287" t="s">
        <v>541</v>
      </c>
      <c r="C31" s="287" t="s">
        <v>547</v>
      </c>
      <c r="D31" s="287" t="s">
        <v>171</v>
      </c>
      <c r="E31" s="307"/>
      <c r="F31" s="307">
        <f>F24</f>
        <v>0</v>
      </c>
      <c r="G31" s="307"/>
      <c r="H31" s="307">
        <f>H24</f>
        <v>1429003979.3654065</v>
      </c>
      <c r="I31" s="307"/>
      <c r="J31" s="307"/>
      <c r="K31" s="297"/>
      <c r="L31" s="298"/>
      <c r="M31" s="298"/>
      <c r="N31" s="298"/>
    </row>
    <row r="32" spans="1:14" ht="21">
      <c r="A32" s="289" t="s">
        <v>320</v>
      </c>
      <c r="B32" s="287" t="s">
        <v>524</v>
      </c>
      <c r="C32" s="287" t="s">
        <v>545</v>
      </c>
      <c r="D32" s="287" t="s">
        <v>393</v>
      </c>
      <c r="E32" s="307">
        <f>F36*M32</f>
        <v>0</v>
      </c>
      <c r="F32" s="307"/>
      <c r="G32" s="307">
        <f>H36*M32</f>
        <v>773197.0487729091</v>
      </c>
      <c r="H32" s="307"/>
      <c r="I32" s="307"/>
      <c r="J32" s="307"/>
      <c r="K32" s="297"/>
      <c r="L32" s="298" t="s">
        <v>393</v>
      </c>
      <c r="M32" s="298">
        <v>7.1428571428571396E-4</v>
      </c>
      <c r="N32" s="298"/>
    </row>
    <row r="33" spans="1:14">
      <c r="A33" s="289"/>
      <c r="B33" s="287" t="s">
        <v>582</v>
      </c>
      <c r="C33" s="287" t="s">
        <v>545</v>
      </c>
      <c r="D33" s="287" t="s">
        <v>171</v>
      </c>
      <c r="E33" s="307">
        <f>F36*M33</f>
        <v>0</v>
      </c>
      <c r="F33" s="307"/>
      <c r="G33" s="307">
        <f>H36*M33</f>
        <v>1082475868.2820733</v>
      </c>
      <c r="H33" s="307"/>
      <c r="I33" s="307"/>
      <c r="J33" s="307"/>
      <c r="K33" s="297"/>
      <c r="L33" s="298" t="s">
        <v>171</v>
      </c>
      <c r="M33" s="298">
        <v>1</v>
      </c>
      <c r="N33" s="298"/>
    </row>
    <row r="34" spans="1:14">
      <c r="A34" s="287"/>
      <c r="B34" s="287" t="s">
        <v>580</v>
      </c>
      <c r="C34" s="287" t="s">
        <v>547</v>
      </c>
      <c r="D34" s="287" t="s">
        <v>171</v>
      </c>
      <c r="E34" s="307">
        <f>(material_flow!D39+material_flow!D40)*material_flow!B44*(material_flow!AA67+material_flow!AA74)</f>
        <v>0</v>
      </c>
      <c r="F34" s="307"/>
      <c r="G34" s="307">
        <f>(material_flow!D7+material_flow!D8)*material_flow!B44*material_flow!Q19+(material_flow!D41+material_flow!D42)*material_flow!B44*material_flow!AF67</f>
        <v>779261339.35152066</v>
      </c>
      <c r="H34" s="307"/>
      <c r="I34" s="307"/>
      <c r="J34" s="307"/>
      <c r="K34" s="297"/>
      <c r="L34" s="298" t="s">
        <v>171</v>
      </c>
      <c r="M34" s="298">
        <v>1</v>
      </c>
      <c r="N34" s="298"/>
    </row>
    <row r="35" spans="1:14">
      <c r="A35" s="287"/>
      <c r="B35" s="287" t="s">
        <v>581</v>
      </c>
      <c r="C35" s="287" t="s">
        <v>559</v>
      </c>
      <c r="D35" s="287" t="s">
        <v>171</v>
      </c>
      <c r="E35" s="307">
        <f>(material_flow!D39+material_flow!D40)*material_flow!B44*material_flow!P64</f>
        <v>0</v>
      </c>
      <c r="F35" s="307"/>
      <c r="G35" s="307">
        <f>(material_flow!D7+material_flow!D8)*material_flow!B44*material_flow!M16+(material_flow!D41+material_flow!D42)*material_flow!B44*material_flow!Q64</f>
        <v>303214528.93055272</v>
      </c>
      <c r="H35" s="307"/>
      <c r="I35" s="307"/>
      <c r="J35" s="307"/>
      <c r="K35" s="297"/>
      <c r="L35" s="298"/>
      <c r="M35" s="298"/>
      <c r="N35" s="298"/>
    </row>
    <row r="36" spans="1:14">
      <c r="A36" s="287"/>
      <c r="B36" s="287" t="s">
        <v>527</v>
      </c>
      <c r="C36" s="287" t="s">
        <v>560</v>
      </c>
      <c r="D36" s="287" t="s">
        <v>171</v>
      </c>
      <c r="E36" s="307"/>
      <c r="F36" s="307">
        <f>(material_flow!W86+material_flow!W87)</f>
        <v>0</v>
      </c>
      <c r="G36" s="307"/>
      <c r="H36" s="307">
        <f>material_flow!J22+material_flow!J23+material_flow!X86+material_flow!X87</f>
        <v>1082475868.2820733</v>
      </c>
      <c r="I36" s="306">
        <v>0.15375416961569066</v>
      </c>
      <c r="J36" s="306">
        <v>1.1490858572286064E-2</v>
      </c>
      <c r="K36" s="290" t="s">
        <v>545</v>
      </c>
      <c r="L36" s="298" t="s">
        <v>171</v>
      </c>
      <c r="M36" s="298"/>
      <c r="N36" s="298">
        <v>1</v>
      </c>
    </row>
    <row r="37" spans="1:14" ht="21">
      <c r="A37" s="289" t="s">
        <v>235</v>
      </c>
      <c r="B37" s="287" t="s">
        <v>524</v>
      </c>
      <c r="C37" s="287" t="s">
        <v>545</v>
      </c>
      <c r="D37" s="287" t="s">
        <v>393</v>
      </c>
      <c r="E37" s="307">
        <f>F43*M37</f>
        <v>0</v>
      </c>
      <c r="F37" s="307"/>
      <c r="G37" s="307">
        <f>H43*M37</f>
        <v>476263206.08416498</v>
      </c>
      <c r="H37" s="307"/>
      <c r="I37" s="307"/>
      <c r="J37" s="307"/>
      <c r="K37" s="297"/>
      <c r="L37" s="298" t="s">
        <v>393</v>
      </c>
      <c r="M37" s="298">
        <v>101.08108048210001</v>
      </c>
      <c r="N37" s="298"/>
    </row>
    <row r="38" spans="1:14">
      <c r="A38" s="289"/>
      <c r="B38" s="287" t="s">
        <v>561</v>
      </c>
      <c r="C38" s="287" t="s">
        <v>545</v>
      </c>
      <c r="D38" s="287" t="s">
        <v>127</v>
      </c>
      <c r="E38" s="307">
        <f>F43*M38</f>
        <v>0</v>
      </c>
      <c r="F38" s="307"/>
      <c r="G38" s="307">
        <f>H43*M38</f>
        <v>5588307599.851037</v>
      </c>
      <c r="H38" s="307"/>
      <c r="I38" s="307"/>
      <c r="J38" s="307"/>
      <c r="K38" s="297"/>
      <c r="L38" s="298" t="s">
        <v>127</v>
      </c>
      <c r="M38" s="298">
        <f>142.193866101262+1043.85654267092</f>
        <v>1186.050408772182</v>
      </c>
      <c r="N38" s="298"/>
    </row>
    <row r="39" spans="1:14">
      <c r="A39" s="289"/>
      <c r="B39" s="287" t="s">
        <v>564</v>
      </c>
      <c r="C39" s="287" t="s">
        <v>545</v>
      </c>
      <c r="D39" s="287" t="s">
        <v>171</v>
      </c>
      <c r="E39" s="307">
        <f>F43*M39</f>
        <v>0</v>
      </c>
      <c r="F39" s="307"/>
      <c r="G39" s="307">
        <f>H43*M39</f>
        <v>233552149.13742724</v>
      </c>
      <c r="H39" s="307"/>
      <c r="I39" s="307"/>
      <c r="J39" s="307"/>
      <c r="K39" s="297"/>
      <c r="L39" s="298" t="s">
        <v>171</v>
      </c>
      <c r="M39" s="298">
        <v>49.568606774876002</v>
      </c>
      <c r="N39" s="298"/>
    </row>
    <row r="40" spans="1:14">
      <c r="A40" s="289"/>
      <c r="B40" s="287" t="s">
        <v>583</v>
      </c>
      <c r="C40" s="287" t="s">
        <v>546</v>
      </c>
      <c r="D40" s="287" t="s">
        <v>171</v>
      </c>
      <c r="E40" s="307">
        <f>material_flow!P60*(material_flow!B39+material_flow!B40)*1000</f>
        <v>0</v>
      </c>
      <c r="F40" s="307"/>
      <c r="G40" s="307">
        <f>(material_flow!M12*(material_flow!B7+material_flow!B8)+material_flow!Q60*(material_flow!B41+material_flow!B42))*1000</f>
        <v>460350275.23180878</v>
      </c>
      <c r="H40" s="307"/>
      <c r="I40" s="307"/>
      <c r="J40" s="307"/>
      <c r="K40" s="297"/>
      <c r="L40" s="298" t="s">
        <v>171</v>
      </c>
      <c r="M40" s="298"/>
      <c r="N40" s="298"/>
    </row>
    <row r="41" spans="1:14">
      <c r="A41" s="289"/>
      <c r="B41" s="287" t="s">
        <v>541</v>
      </c>
      <c r="C41" s="287" t="s">
        <v>547</v>
      </c>
      <c r="D41" s="287" t="s">
        <v>171</v>
      </c>
      <c r="E41" s="307">
        <f>(material_flow!AA69+material_flow!AA76)*(material_flow!B39+material_flow!B40)*1000</f>
        <v>0</v>
      </c>
      <c r="F41" s="307"/>
      <c r="G41" s="307">
        <f>(material_flow!B41+material_flow!B42)*(material_flow!AB69+material_flow!AB76)*1000</f>
        <v>891525851.77080154</v>
      </c>
      <c r="H41" s="307"/>
      <c r="I41" s="307"/>
      <c r="J41" s="307"/>
      <c r="K41" s="297"/>
      <c r="L41" s="298" t="s">
        <v>171</v>
      </c>
      <c r="M41" s="298"/>
      <c r="N41" s="298"/>
    </row>
    <row r="42" spans="1:14">
      <c r="A42" s="289"/>
      <c r="B42" s="287" t="s">
        <v>542</v>
      </c>
      <c r="C42" s="287" t="s">
        <v>548</v>
      </c>
      <c r="D42" s="287" t="s">
        <v>171</v>
      </c>
      <c r="E42" s="307">
        <f>HWP!F156+HWP!N283</f>
        <v>0</v>
      </c>
      <c r="F42" s="307"/>
      <c r="G42" s="307">
        <f>HWP!O283+HWP!P156</f>
        <v>3712094932.4893246</v>
      </c>
      <c r="H42" s="307"/>
      <c r="I42" s="307"/>
      <c r="J42" s="307"/>
      <c r="K42" s="297"/>
      <c r="L42" s="298" t="s">
        <v>171</v>
      </c>
      <c r="M42" s="298"/>
      <c r="N42" s="298"/>
    </row>
    <row r="43" spans="1:14">
      <c r="A43" s="287"/>
      <c r="B43" s="287" t="s">
        <v>161</v>
      </c>
      <c r="C43" s="287" t="s">
        <v>570</v>
      </c>
      <c r="D43" s="287" t="s">
        <v>159</v>
      </c>
      <c r="E43" s="307"/>
      <c r="F43" s="307">
        <f>material_flow!AE77+material_flow!AE78+HWP!F155+HWP!N282</f>
        <v>0</v>
      </c>
      <c r="G43" s="307"/>
      <c r="H43" s="307">
        <f>material_flow!AF77+material_flow!AF78+material_flow!J28+material_flow!J29+HWP!P155+HWP!O282</f>
        <v>4711694.847469545</v>
      </c>
      <c r="I43" s="306">
        <v>4715.69792764666</v>
      </c>
      <c r="J43" s="306">
        <v>262.11307346091513</v>
      </c>
      <c r="K43" s="290" t="s">
        <v>545</v>
      </c>
      <c r="L43" s="298" t="s">
        <v>159</v>
      </c>
      <c r="M43" s="298"/>
      <c r="N43" s="298">
        <v>1</v>
      </c>
    </row>
    <row r="44" spans="1:14" ht="21">
      <c r="A44" s="289" t="s">
        <v>240</v>
      </c>
      <c r="B44" s="287"/>
      <c r="C44" s="287"/>
      <c r="D44" s="287"/>
      <c r="E44" s="307"/>
      <c r="F44" s="307"/>
      <c r="G44" s="307"/>
      <c r="H44" s="307"/>
      <c r="I44" s="306"/>
      <c r="J44" s="306"/>
      <c r="K44" s="297"/>
      <c r="L44" s="298"/>
      <c r="M44" s="298"/>
      <c r="N44" s="298"/>
    </row>
    <row r="45" spans="1:14">
      <c r="A45" s="289"/>
      <c r="B45" s="287" t="s">
        <v>565</v>
      </c>
      <c r="C45" s="287" t="s">
        <v>545</v>
      </c>
      <c r="D45" s="287" t="s">
        <v>393</v>
      </c>
      <c r="E45" s="307">
        <f>F49*M45</f>
        <v>0</v>
      </c>
      <c r="F45" s="307"/>
      <c r="G45" s="307">
        <f>H49*M45</f>
        <v>6064.4693291809399</v>
      </c>
      <c r="H45" s="307"/>
      <c r="I45" s="307"/>
      <c r="J45" s="307"/>
      <c r="K45" s="297"/>
      <c r="L45" s="298" t="s">
        <v>393</v>
      </c>
      <c r="M45" s="298">
        <v>1.273E-2</v>
      </c>
      <c r="N45" s="298"/>
    </row>
    <row r="46" spans="1:14">
      <c r="A46" s="289"/>
      <c r="B46" s="287" t="s">
        <v>561</v>
      </c>
      <c r="C46" s="287" t="s">
        <v>545</v>
      </c>
      <c r="D46" s="287" t="s">
        <v>127</v>
      </c>
      <c r="E46" s="307">
        <f>F49*M46</f>
        <v>0</v>
      </c>
      <c r="F46" s="307"/>
      <c r="G46" s="307">
        <f>H49*M46</f>
        <v>6574.2086993477587</v>
      </c>
      <c r="H46" s="307"/>
      <c r="I46" s="307"/>
      <c r="J46" s="307"/>
      <c r="K46" s="297"/>
      <c r="L46" s="298" t="s">
        <v>127</v>
      </c>
      <c r="M46" s="298">
        <v>1.38E-2</v>
      </c>
      <c r="N46" s="298"/>
    </row>
    <row r="47" spans="1:14">
      <c r="A47" s="289"/>
      <c r="B47" s="287" t="s">
        <v>583</v>
      </c>
      <c r="C47" s="287" t="s">
        <v>605</v>
      </c>
      <c r="D47" s="287" t="s">
        <v>171</v>
      </c>
      <c r="E47" s="307">
        <f>material_flow!P61*(material_flow!B39+material_flow!B40)*1000</f>
        <v>0</v>
      </c>
      <c r="F47" s="307"/>
      <c r="G47" s="307">
        <f>(material_flow!M13*(material_flow!B7+material_flow!B8)+material_flow!Q61*(material_flow!B41+material_flow!B42))*1000</f>
        <v>0</v>
      </c>
      <c r="H47" s="307"/>
      <c r="I47" s="307"/>
      <c r="J47" s="307"/>
      <c r="K47" s="297"/>
      <c r="L47" s="298"/>
      <c r="M47" s="298"/>
      <c r="N47" s="298"/>
    </row>
    <row r="48" spans="1:14">
      <c r="A48" s="289"/>
      <c r="B48" s="287" t="s">
        <v>541</v>
      </c>
      <c r="C48" s="287" t="s">
        <v>547</v>
      </c>
      <c r="D48" s="287" t="s">
        <v>171</v>
      </c>
      <c r="E48" s="307">
        <f>(material_flow!AA70+material_flow!AA77)*(material_flow!B39+material_flow!B40)*1000</f>
        <v>0</v>
      </c>
      <c r="F48" s="307"/>
      <c r="G48" s="307">
        <f>(material_flow!B41+material_flow!B42)*(material_flow!AB70+material_flow!AB77)*1000</f>
        <v>496046602.82374203</v>
      </c>
      <c r="H48" s="307"/>
      <c r="I48" s="307"/>
      <c r="J48" s="307"/>
      <c r="K48" s="297"/>
      <c r="L48" s="298"/>
      <c r="M48" s="298"/>
      <c r="N48" s="298"/>
    </row>
    <row r="49" spans="1:15">
      <c r="A49" s="287"/>
      <c r="B49" s="287" t="s">
        <v>162</v>
      </c>
      <c r="C49" s="287" t="s">
        <v>618</v>
      </c>
      <c r="D49" s="287" t="s">
        <v>159</v>
      </c>
      <c r="E49" s="307"/>
      <c r="F49" s="307">
        <f>material_flow!AE80+material_flow!AE81</f>
        <v>0</v>
      </c>
      <c r="G49" s="307"/>
      <c r="H49" s="307">
        <f>material_flow!J30+material_flow!J31+material_flow!AF80+material_flow!AF81</f>
        <v>476391.93473534484</v>
      </c>
      <c r="I49" s="306">
        <v>1064.1247264528388</v>
      </c>
      <c r="J49" s="306">
        <v>98.219919621014355</v>
      </c>
      <c r="K49" s="290" t="s">
        <v>545</v>
      </c>
      <c r="L49" s="298" t="s">
        <v>159</v>
      </c>
      <c r="M49" s="298"/>
      <c r="N49" s="298">
        <v>1</v>
      </c>
    </row>
    <row r="50" spans="1:15" ht="31.5">
      <c r="A50" s="289" t="s">
        <v>533</v>
      </c>
      <c r="B50" s="287" t="s">
        <v>524</v>
      </c>
      <c r="C50" s="287" t="s">
        <v>545</v>
      </c>
      <c r="D50" s="287" t="s">
        <v>393</v>
      </c>
      <c r="E50" s="307" t="e">
        <f>$F$54*M50</f>
        <v>#REF!</v>
      </c>
      <c r="F50" s="307"/>
      <c r="G50" s="307">
        <f>$H$54*M50</f>
        <v>37901923.860465683</v>
      </c>
      <c r="H50" s="307"/>
      <c r="I50" s="307"/>
      <c r="J50" s="307"/>
      <c r="K50" s="297"/>
      <c r="L50" s="298" t="s">
        <v>393</v>
      </c>
      <c r="M50" s="298">
        <v>2.58E-2</v>
      </c>
      <c r="N50" s="298"/>
    </row>
    <row r="51" spans="1:15">
      <c r="A51" s="287"/>
      <c r="B51" s="287" t="s">
        <v>523</v>
      </c>
      <c r="C51" s="287" t="s">
        <v>545</v>
      </c>
      <c r="D51" s="287" t="s">
        <v>171</v>
      </c>
      <c r="E51" s="307" t="e">
        <f>$F$54*M51</f>
        <v>#REF!</v>
      </c>
      <c r="F51" s="307"/>
      <c r="G51" s="307">
        <f>$H$54*M51</f>
        <v>2996.896305246124</v>
      </c>
      <c r="H51" s="307"/>
      <c r="I51" s="307"/>
      <c r="J51" s="307"/>
      <c r="K51" s="297"/>
      <c r="L51" s="298" t="s">
        <v>171</v>
      </c>
      <c r="M51" s="298">
        <v>2.04E-6</v>
      </c>
      <c r="N51" s="298"/>
    </row>
    <row r="52" spans="1:15">
      <c r="A52" s="287"/>
      <c r="B52" s="287" t="s">
        <v>562</v>
      </c>
      <c r="C52" s="287" t="s">
        <v>546</v>
      </c>
      <c r="D52" s="287" t="s">
        <v>171</v>
      </c>
      <c r="E52" s="307" t="e">
        <f>SUM(#REF!)</f>
        <v>#REF!</v>
      </c>
      <c r="F52" s="307"/>
      <c r="G52" s="307">
        <f>SUM(GWP_impact!C68:C71)</f>
        <v>447562767.5864808</v>
      </c>
      <c r="H52" s="307"/>
      <c r="I52" s="307"/>
      <c r="J52" s="307"/>
      <c r="K52" s="297"/>
      <c r="L52" s="298" t="s">
        <v>171</v>
      </c>
      <c r="M52" s="298">
        <v>1</v>
      </c>
      <c r="N52" s="298"/>
    </row>
    <row r="53" spans="1:15">
      <c r="A53" s="287"/>
      <c r="B53" s="287" t="s">
        <v>563</v>
      </c>
      <c r="C53" s="287" t="s">
        <v>548</v>
      </c>
      <c r="D53" s="287" t="s">
        <v>171</v>
      </c>
      <c r="E53" s="307" t="e">
        <f>#REF!+#REF!</f>
        <v>#REF!</v>
      </c>
      <c r="F53" s="307"/>
      <c r="G53" s="307">
        <f>GWP_impact!C112+GWP_impact!C107</f>
        <v>1021504048.7106388</v>
      </c>
      <c r="H53" s="307"/>
      <c r="I53" s="307"/>
      <c r="J53" s="307"/>
      <c r="K53" s="297"/>
      <c r="L53" s="298"/>
      <c r="M53" s="298"/>
      <c r="N53" s="298"/>
    </row>
    <row r="54" spans="1:15">
      <c r="A54" s="287"/>
      <c r="B54" s="287" t="s">
        <v>525</v>
      </c>
      <c r="C54" s="287" t="s">
        <v>546</v>
      </c>
      <c r="D54" s="287" t="s">
        <v>171</v>
      </c>
      <c r="E54" s="307"/>
      <c r="F54" s="307" t="e">
        <f>#REF!+#REF!+#REF!+#REF!+#REF!+#REF!</f>
        <v>#REF!</v>
      </c>
      <c r="G54" s="307"/>
      <c r="H54" s="307">
        <f>SUM(GWP_impact!C68:C71)+GWP_impact!C107+GWP_impact!C112</f>
        <v>1469066816.2971196</v>
      </c>
      <c r="I54" s="306">
        <v>0.15375416961569066</v>
      </c>
      <c r="J54" s="306">
        <v>1.1490858572286064E-2</v>
      </c>
      <c r="K54" s="290" t="s">
        <v>545</v>
      </c>
      <c r="L54" s="298" t="s">
        <v>171</v>
      </c>
      <c r="M54" s="298"/>
      <c r="N54" s="298">
        <v>1</v>
      </c>
    </row>
    <row r="55" spans="1:15">
      <c r="A55" s="289" t="s">
        <v>534</v>
      </c>
      <c r="B55" s="287" t="s">
        <v>532</v>
      </c>
      <c r="C55" s="287" t="s">
        <v>545</v>
      </c>
      <c r="D55" s="287" t="s">
        <v>393</v>
      </c>
      <c r="E55" s="307" t="e">
        <f>F59*M55</f>
        <v>#REF!</v>
      </c>
      <c r="F55" s="307"/>
      <c r="G55" s="307"/>
      <c r="H55" s="307">
        <f>H59*M55</f>
        <v>53238740.045578599</v>
      </c>
      <c r="I55" s="307"/>
      <c r="J55" s="307"/>
      <c r="K55" s="297"/>
      <c r="L55" s="298" t="s">
        <v>393</v>
      </c>
      <c r="M55" s="298">
        <v>5.5600000000000102E-3</v>
      </c>
      <c r="N55" s="298"/>
    </row>
    <row r="56" spans="1:15">
      <c r="A56" s="287"/>
      <c r="B56" s="287" t="s">
        <v>525</v>
      </c>
      <c r="C56" s="287" t="s">
        <v>546</v>
      </c>
      <c r="D56" s="287" t="s">
        <v>171</v>
      </c>
      <c r="E56" s="307" t="e">
        <f>F54</f>
        <v>#REF!</v>
      </c>
      <c r="F56" s="307"/>
      <c r="G56" s="307">
        <f>H54</f>
        <v>1469066816.2971196</v>
      </c>
      <c r="H56" s="307"/>
      <c r="I56" s="307"/>
      <c r="J56" s="307"/>
      <c r="K56" s="605" t="s">
        <v>622</v>
      </c>
      <c r="L56" s="298" t="s">
        <v>171</v>
      </c>
      <c r="M56" s="298">
        <v>6.9808027923211197E-2</v>
      </c>
      <c r="N56" s="298"/>
      <c r="O56" s="388"/>
    </row>
    <row r="57" spans="1:15">
      <c r="A57" s="287"/>
      <c r="B57" s="287" t="s">
        <v>540</v>
      </c>
      <c r="C57" s="287" t="s">
        <v>604</v>
      </c>
      <c r="D57" s="287" t="s">
        <v>171</v>
      </c>
      <c r="E57" s="307">
        <f>material_flow!P81*(material_flow!B39+material_flow!B40)*(1-C_model!$R$108)</f>
        <v>0</v>
      </c>
      <c r="F57" s="307"/>
      <c r="G57" s="307">
        <f>(material_flow!M18*(material_flow!B7+material_flow!B8)+material_flow!Q81*(material_flow!B41+material_flow!B42))*(1-C_model!R108)</f>
        <v>266432.32529316179</v>
      </c>
      <c r="H57" s="307"/>
      <c r="I57" s="307"/>
      <c r="J57" s="307"/>
      <c r="K57" s="605"/>
      <c r="L57" s="298" t="s">
        <v>171</v>
      </c>
      <c r="M57" s="298"/>
      <c r="N57" s="298"/>
    </row>
    <row r="58" spans="1:15">
      <c r="A58" s="287"/>
      <c r="B58" s="287" t="s">
        <v>541</v>
      </c>
      <c r="C58" s="287" t="s">
        <v>547</v>
      </c>
      <c r="D58" s="287" t="s">
        <v>171</v>
      </c>
      <c r="E58" s="307">
        <f>(material_flow!AA71+material_flow!AA78)*(material_flow!B39+material_flow!B40)</f>
        <v>0</v>
      </c>
      <c r="F58" s="307"/>
      <c r="G58" s="307">
        <f>(material_flow!AB71+material_flow!AB78)*(material_flow!B41+material_flow!B42)</f>
        <v>989983.2668860046</v>
      </c>
      <c r="H58" s="307"/>
      <c r="I58" s="306"/>
      <c r="J58" s="306"/>
      <c r="K58" s="605"/>
      <c r="L58" s="298" t="s">
        <v>171</v>
      </c>
      <c r="M58" s="298"/>
      <c r="N58" s="298"/>
    </row>
    <row r="59" spans="1:15" ht="31.5">
      <c r="A59" s="287"/>
      <c r="B59" s="287" t="s">
        <v>561</v>
      </c>
      <c r="C59" s="287" t="s">
        <v>545</v>
      </c>
      <c r="D59" s="287" t="s">
        <v>127</v>
      </c>
      <c r="E59" s="307"/>
      <c r="F59" s="307" t="e">
        <f>SUM(#REF!)+#REF!+#REF!</f>
        <v>#REF!</v>
      </c>
      <c r="G59" s="307"/>
      <c r="H59" s="307">
        <f>SUM(GWP_impact!C76:C79)+GWP_impact!C108+GWP_impact!C113</f>
        <v>9575312957.8378601</v>
      </c>
      <c r="I59" s="306">
        <v>1.1293953493885045E-2</v>
      </c>
      <c r="J59" s="306">
        <v>2.0502297646166671E-3</v>
      </c>
      <c r="K59" s="297" t="s">
        <v>632</v>
      </c>
      <c r="L59" s="298" t="s">
        <v>127</v>
      </c>
      <c r="M59" s="298"/>
      <c r="N59" s="298">
        <v>1</v>
      </c>
    </row>
    <row r="60" spans="1:15" ht="21">
      <c r="A60" s="293" t="s">
        <v>631</v>
      </c>
      <c r="B60" s="287" t="s">
        <v>565</v>
      </c>
      <c r="C60" s="287" t="s">
        <v>545</v>
      </c>
      <c r="D60" s="287" t="s">
        <v>393</v>
      </c>
      <c r="E60" s="307" t="e">
        <f>F62*M60</f>
        <v>#REF!</v>
      </c>
      <c r="F60" s="307"/>
      <c r="G60" s="307">
        <f>H62*M60</f>
        <v>346741376.67539215</v>
      </c>
      <c r="H60" s="307"/>
      <c r="I60" s="307"/>
      <c r="J60" s="307"/>
      <c r="K60" s="297"/>
      <c r="L60" s="298" t="s">
        <v>393</v>
      </c>
      <c r="M60" s="298">
        <v>2.8239999999999998</v>
      </c>
      <c r="N60" s="298"/>
    </row>
    <row r="61" spans="1:15">
      <c r="A61" s="287"/>
      <c r="B61" s="287" t="s">
        <v>566</v>
      </c>
      <c r="C61" s="287" t="s">
        <v>570</v>
      </c>
      <c r="D61" s="287" t="s">
        <v>159</v>
      </c>
      <c r="E61" s="307">
        <f>material_flow!P63*(material_flow!D39+material_flow!D40)*0.5</f>
        <v>0</v>
      </c>
      <c r="F61" s="307"/>
      <c r="G61" s="307">
        <f>material_flow!Q63*(material_flow!D41+material_flow!D42)*0.5</f>
        <v>343794.56610874576</v>
      </c>
      <c r="H61" s="307"/>
      <c r="I61" s="307"/>
      <c r="J61" s="307"/>
      <c r="K61" s="297"/>
      <c r="L61" s="298" t="s">
        <v>159</v>
      </c>
      <c r="M61" s="298">
        <v>2.6930000000000001E-3</v>
      </c>
      <c r="N61" s="298"/>
    </row>
    <row r="62" spans="1:15">
      <c r="A62" s="287"/>
      <c r="B62" s="287" t="s">
        <v>567</v>
      </c>
      <c r="C62" s="287" t="s">
        <v>570</v>
      </c>
      <c r="D62" s="287" t="s">
        <v>171</v>
      </c>
      <c r="E62" s="307"/>
      <c r="F62" s="307" t="e">
        <f>#REF!+#REF!</f>
        <v>#REF!</v>
      </c>
      <c r="G62" s="307"/>
      <c r="H62" s="307">
        <f>GWP_impact!C90+GWP_impact!C91</f>
        <v>122783773.61026634</v>
      </c>
      <c r="I62" s="306">
        <v>16.107442183706645</v>
      </c>
      <c r="J62" s="306">
        <v>1.405919118480965</v>
      </c>
      <c r="K62" s="290" t="s">
        <v>545</v>
      </c>
      <c r="L62" s="298" t="s">
        <v>171</v>
      </c>
      <c r="M62" s="298"/>
      <c r="N62" s="298">
        <v>1</v>
      </c>
    </row>
    <row r="63" spans="1:15" ht="31.5">
      <c r="A63" s="289" t="s">
        <v>630</v>
      </c>
      <c r="B63" s="287" t="s">
        <v>565</v>
      </c>
      <c r="C63" s="287" t="s">
        <v>545</v>
      </c>
      <c r="D63" s="287" t="s">
        <v>393</v>
      </c>
      <c r="E63" s="307" t="e">
        <f>F65*M63</f>
        <v>#REF!</v>
      </c>
      <c r="F63" s="307"/>
      <c r="G63" s="307">
        <f>H65*M63</f>
        <v>159646951.42767203</v>
      </c>
      <c r="H63" s="307"/>
      <c r="I63" s="307"/>
      <c r="J63" s="307"/>
      <c r="K63" s="297"/>
      <c r="L63" s="298" t="s">
        <v>393</v>
      </c>
      <c r="M63" s="298">
        <v>1.5999875996889901</v>
      </c>
      <c r="N63" s="298"/>
    </row>
    <row r="64" spans="1:15">
      <c r="A64" s="287"/>
      <c r="B64" s="287" t="s">
        <v>569</v>
      </c>
      <c r="C64" s="287" t="s">
        <v>605</v>
      </c>
      <c r="D64" s="287" t="s">
        <v>171</v>
      </c>
      <c r="E64" s="307" t="e">
        <f>F65</f>
        <v>#REF!</v>
      </c>
      <c r="F64" s="307"/>
      <c r="G64" s="307">
        <f>H65</f>
        <v>99780117.957604572</v>
      </c>
      <c r="H64" s="307"/>
      <c r="I64" s="307"/>
      <c r="J64" s="307"/>
      <c r="K64" s="297"/>
      <c r="L64" s="298" t="s">
        <v>159</v>
      </c>
      <c r="M64" s="298">
        <v>1.0839915987892899E-3</v>
      </c>
      <c r="N64" s="298"/>
    </row>
    <row r="65" spans="1:14" ht="21">
      <c r="A65" s="287"/>
      <c r="B65" s="287" t="s">
        <v>568</v>
      </c>
      <c r="C65" s="287" t="s">
        <v>571</v>
      </c>
      <c r="D65" s="287" t="s">
        <v>171</v>
      </c>
      <c r="E65" s="307"/>
      <c r="F65" s="307" t="e">
        <f>#REF!</f>
        <v>#REF!</v>
      </c>
      <c r="G65" s="307"/>
      <c r="H65" s="307">
        <f>GWP_impact!C117</f>
        <v>99780117.957604572</v>
      </c>
      <c r="I65" s="306">
        <v>12.459802441400001</v>
      </c>
      <c r="J65" s="306">
        <v>1.0562729999263603</v>
      </c>
      <c r="K65" s="290" t="s">
        <v>545</v>
      </c>
      <c r="L65" s="298" t="s">
        <v>171</v>
      </c>
      <c r="M65" s="298"/>
      <c r="N65" s="298">
        <v>1</v>
      </c>
    </row>
    <row r="66" spans="1:14" ht="21">
      <c r="A66" s="289" t="s">
        <v>629</v>
      </c>
      <c r="B66" s="287" t="s">
        <v>565</v>
      </c>
      <c r="C66" s="287" t="s">
        <v>545</v>
      </c>
      <c r="D66" s="287" t="s">
        <v>393</v>
      </c>
      <c r="E66" s="307" t="e">
        <f>F68*M66</f>
        <v>#REF!</v>
      </c>
      <c r="F66" s="307"/>
      <c r="G66" s="307">
        <f>H68*M66</f>
        <v>17473092.267210241</v>
      </c>
      <c r="H66" s="307"/>
      <c r="I66" s="307"/>
      <c r="J66" s="307"/>
      <c r="K66" s="297"/>
      <c r="L66" s="298" t="s">
        <v>393</v>
      </c>
      <c r="M66" s="298">
        <v>7.0096614184260206E-2</v>
      </c>
      <c r="N66" s="298"/>
    </row>
    <row r="67" spans="1:14">
      <c r="A67" s="287"/>
      <c r="B67" s="287" t="s">
        <v>566</v>
      </c>
      <c r="C67" s="287" t="s">
        <v>604</v>
      </c>
      <c r="D67" s="287" t="s">
        <v>546</v>
      </c>
      <c r="E67" s="307">
        <f>material_flow!P63*(material_flow!D39+material_flow!D40)*0.5</f>
        <v>0</v>
      </c>
      <c r="F67" s="307"/>
      <c r="G67" s="307">
        <f>material_flow!Q63*(material_flow!D41+material_flow!D42)*0.5</f>
        <v>343794.56610874576</v>
      </c>
      <c r="H67" s="307"/>
      <c r="I67" s="307"/>
      <c r="J67" s="307"/>
      <c r="K67" s="297"/>
      <c r="L67" s="298"/>
      <c r="M67" s="298"/>
      <c r="N67" s="298"/>
    </row>
    <row r="68" spans="1:14">
      <c r="A68" s="287"/>
      <c r="B68" s="287" t="s">
        <v>572</v>
      </c>
      <c r="C68" s="287" t="s">
        <v>604</v>
      </c>
      <c r="D68" s="287" t="s">
        <v>171</v>
      </c>
      <c r="E68" s="307"/>
      <c r="F68" s="307" t="e">
        <f>#REF!+#REF!+#REF!</f>
        <v>#REF!</v>
      </c>
      <c r="G68" s="307"/>
      <c r="H68" s="307">
        <f>GWP_impact!C92+GWP_impact!C93+GWP_impact!C118</f>
        <v>249271558.55601543</v>
      </c>
      <c r="I68" s="306">
        <v>11.369951876920002</v>
      </c>
      <c r="J68" s="306">
        <v>0.9225705154557986</v>
      </c>
      <c r="K68" s="290" t="s">
        <v>545</v>
      </c>
      <c r="L68" s="298" t="s">
        <v>171</v>
      </c>
      <c r="M68" s="298"/>
      <c r="N68" s="298">
        <v>1</v>
      </c>
    </row>
    <row r="69" spans="1:14">
      <c r="A69" s="289" t="s">
        <v>577</v>
      </c>
      <c r="B69" s="287" t="s">
        <v>634</v>
      </c>
      <c r="C69" s="287" t="s">
        <v>589</v>
      </c>
      <c r="D69" s="287" t="s">
        <v>367</v>
      </c>
      <c r="E69" s="307" t="e">
        <f>-(#REF!+#REF!+mulch_C_storage!N30)</f>
        <v>#REF!</v>
      </c>
      <c r="F69" s="307"/>
      <c r="G69" s="307">
        <f>-(GWP_impact!C153+GWP_impact!C155+mulch_C_storage!O30)</f>
        <v>2308024374.0411687</v>
      </c>
      <c r="H69" s="307"/>
      <c r="I69" s="306"/>
      <c r="J69" s="306"/>
      <c r="K69" s="297" t="s">
        <v>621</v>
      </c>
      <c r="L69" s="298"/>
      <c r="M69" s="298"/>
      <c r="N69" s="298"/>
    </row>
    <row r="70" spans="1:14">
      <c r="A70" s="289" t="s">
        <v>528</v>
      </c>
      <c r="B70" s="287" t="s">
        <v>573</v>
      </c>
      <c r="C70" s="287" t="s">
        <v>601</v>
      </c>
      <c r="D70" s="287" t="s">
        <v>171</v>
      </c>
      <c r="E70" s="307">
        <f>HWP!D167+HWP!D295</f>
        <v>0</v>
      </c>
      <c r="F70" s="307"/>
      <c r="G70" s="307">
        <f>HWP!N167+HWP!K295</f>
        <v>29421431.210562017</v>
      </c>
      <c r="H70" s="307"/>
      <c r="I70" s="306"/>
      <c r="J70" s="306"/>
      <c r="K70" s="297" t="s">
        <v>621</v>
      </c>
      <c r="L70" s="298"/>
      <c r="M70" s="298"/>
      <c r="N70" s="298"/>
    </row>
    <row r="71" spans="1:14">
      <c r="A71" s="287"/>
      <c r="B71" s="287" t="s">
        <v>574</v>
      </c>
      <c r="C71" s="287" t="s">
        <v>601</v>
      </c>
      <c r="D71" s="287" t="s">
        <v>171</v>
      </c>
      <c r="E71" s="307">
        <f>HWP!D299+HWP!D169</f>
        <v>0</v>
      </c>
      <c r="F71" s="307"/>
      <c r="G71" s="307">
        <f>HWP!K299+HWP!N169</f>
        <v>29334024.329273272</v>
      </c>
      <c r="H71" s="307"/>
      <c r="I71" s="307"/>
      <c r="J71" s="307"/>
      <c r="K71" s="297" t="s">
        <v>621</v>
      </c>
      <c r="L71" s="298"/>
      <c r="M71" s="298"/>
      <c r="N71" s="298"/>
    </row>
    <row r="72" spans="1:14">
      <c r="A72" s="289" t="s">
        <v>43</v>
      </c>
      <c r="B72" s="287" t="s">
        <v>573</v>
      </c>
      <c r="C72" s="287" t="s">
        <v>601</v>
      </c>
      <c r="D72" s="287" t="s">
        <v>171</v>
      </c>
      <c r="E72" s="307">
        <f>HWP!D163+HWP!D293</f>
        <v>0</v>
      </c>
      <c r="F72" s="307"/>
      <c r="G72" s="307">
        <f>HWP!N163+HWP!K293</f>
        <v>775444481.43610978</v>
      </c>
      <c r="H72" s="307"/>
      <c r="I72" s="307"/>
      <c r="J72" s="307"/>
      <c r="K72" s="601" t="s">
        <v>635</v>
      </c>
      <c r="L72" s="298"/>
      <c r="M72" s="298"/>
      <c r="N72" s="298"/>
    </row>
    <row r="73" spans="1:14">
      <c r="A73" s="287"/>
      <c r="B73" s="287" t="s">
        <v>574</v>
      </c>
      <c r="C73" s="287" t="s">
        <v>601</v>
      </c>
      <c r="D73" s="287" t="s">
        <v>171</v>
      </c>
      <c r="E73" s="307">
        <f>HWP!D297+HWP!D165</f>
        <v>0</v>
      </c>
      <c r="F73" s="307"/>
      <c r="G73" s="307">
        <f>HWP!K297+HWP!N165</f>
        <v>15399.820286811164</v>
      </c>
      <c r="H73" s="307"/>
      <c r="I73" s="307"/>
      <c r="J73" s="307"/>
      <c r="K73" s="601"/>
      <c r="L73" s="298"/>
      <c r="M73" s="298"/>
      <c r="N73" s="298"/>
    </row>
    <row r="74" spans="1:14">
      <c r="A74" s="287"/>
      <c r="B74" s="287" t="s">
        <v>565</v>
      </c>
      <c r="C74" s="287" t="s">
        <v>545</v>
      </c>
      <c r="D74" s="287" t="s">
        <v>393</v>
      </c>
      <c r="E74" s="307"/>
      <c r="F74" s="307" t="e">
        <f>#REF!+#REF!</f>
        <v>#REF!</v>
      </c>
      <c r="G74" s="307"/>
      <c r="H74" s="307">
        <f>GWP_impact!C147+GWP_impact!C149</f>
        <v>2210028472.2718978</v>
      </c>
      <c r="I74" s="307"/>
      <c r="J74" s="307"/>
      <c r="K74" s="297"/>
      <c r="L74" s="298"/>
      <c r="M74" s="298"/>
      <c r="N74" s="298"/>
    </row>
    <row r="75" spans="1:14">
      <c r="A75" s="287"/>
      <c r="B75" s="287" t="s">
        <v>561</v>
      </c>
      <c r="C75" s="287" t="s">
        <v>545</v>
      </c>
      <c r="D75" s="287" t="s">
        <v>127</v>
      </c>
      <c r="E75" s="307"/>
      <c r="F75" s="307" t="e">
        <f>#REF!+#REF!</f>
        <v>#REF!</v>
      </c>
      <c r="G75" s="307"/>
      <c r="H75" s="307">
        <f>GWP_impact!C146+GWP_impact!C148</f>
        <v>299433268.18947899</v>
      </c>
      <c r="I75" s="307"/>
      <c r="J75" s="307"/>
      <c r="K75" s="297"/>
      <c r="L75" s="298"/>
      <c r="M75" s="298"/>
      <c r="N75" s="298"/>
    </row>
    <row r="76" spans="1:14" ht="31.5">
      <c r="A76" s="289" t="s">
        <v>529</v>
      </c>
      <c r="B76" s="287" t="s">
        <v>919</v>
      </c>
      <c r="C76" s="287" t="s">
        <v>736</v>
      </c>
      <c r="D76" s="287" t="s">
        <v>420</v>
      </c>
      <c r="E76" s="307">
        <f>concrete_substitution!C43+concrete_substitution!C44</f>
        <v>0</v>
      </c>
      <c r="F76" s="307"/>
      <c r="G76" s="307">
        <f>concrete_substitution!D43+concrete_substitution!D44</f>
        <v>67979175.193581551</v>
      </c>
      <c r="H76" s="307"/>
      <c r="I76" s="307">
        <f>concrete_substitution!M34</f>
        <v>236.44737956271399</v>
      </c>
      <c r="J76" s="307">
        <f>concrete_substitution!L34</f>
        <v>36.932586816154839</v>
      </c>
      <c r="K76" s="297" t="s">
        <v>545</v>
      </c>
      <c r="L76" s="298"/>
      <c r="M76" s="298"/>
      <c r="N76" s="298"/>
    </row>
    <row r="77" spans="1:14">
      <c r="A77" s="289" t="s">
        <v>531</v>
      </c>
      <c r="B77" s="287" t="s">
        <v>602</v>
      </c>
      <c r="C77" s="287" t="s">
        <v>545</v>
      </c>
      <c r="D77" s="287" t="s">
        <v>159</v>
      </c>
      <c r="E77" s="307" t="e">
        <f>(#REF!+#REF!+#REF!+#REF!+#REF!+#REF!)*material_flow!B57+(#REF!+#REF!)*LCI_inventory!B87</f>
        <v>#REF!</v>
      </c>
      <c r="F77" s="307"/>
      <c r="G77" s="307">
        <f>(GWP_impact!C132+GWP_impact!C133+GWP_impact!C134+GWP_impact!C136+GWP_impact!C142+GWP_impact!C144+GWP_impact!C146+GWP_impact!C148)*LCI_inventory!B86+(GWP_impact!C147+GWP_impact!C149)*LCI_inventory!B87</f>
        <v>350943429.58269095</v>
      </c>
      <c r="H77" s="307"/>
      <c r="I77" s="307"/>
      <c r="J77" s="307"/>
      <c r="K77" s="297" t="s">
        <v>619</v>
      </c>
      <c r="L77" s="298"/>
      <c r="M77" s="298"/>
      <c r="N77" s="298"/>
    </row>
    <row r="78" spans="1:14">
      <c r="A78" s="287"/>
      <c r="B78" s="383" t="s">
        <v>739</v>
      </c>
      <c r="C78" s="384" t="s">
        <v>545</v>
      </c>
      <c r="D78" s="384" t="s">
        <v>171</v>
      </c>
      <c r="E78" s="385"/>
      <c r="F78" s="385"/>
      <c r="G78" s="385"/>
      <c r="H78" s="385"/>
      <c r="I78" s="385"/>
      <c r="J78" s="385"/>
      <c r="K78" s="386" t="s">
        <v>545</v>
      </c>
      <c r="L78" s="298"/>
      <c r="M78" s="298"/>
      <c r="N78" s="298"/>
    </row>
    <row r="79" spans="1:14">
      <c r="A79" s="287"/>
      <c r="B79" s="387" t="s">
        <v>530</v>
      </c>
      <c r="C79" s="384" t="s">
        <v>545</v>
      </c>
      <c r="D79" s="384" t="s">
        <v>171</v>
      </c>
      <c r="E79" s="385"/>
      <c r="F79" s="385"/>
      <c r="G79" s="385"/>
      <c r="H79" s="385"/>
      <c r="I79" s="385"/>
      <c r="J79" s="385"/>
      <c r="K79" s="386" t="s">
        <v>545</v>
      </c>
      <c r="L79" s="298"/>
      <c r="M79" s="298"/>
      <c r="N79" s="298"/>
    </row>
    <row r="80" spans="1:14" ht="21">
      <c r="A80" s="293" t="s">
        <v>535</v>
      </c>
      <c r="B80" s="287" t="s">
        <v>575</v>
      </c>
      <c r="C80" s="287" t="s">
        <v>603</v>
      </c>
      <c r="D80" s="287" t="s">
        <v>171</v>
      </c>
      <c r="E80" s="307" t="e">
        <f>#REF!*100</f>
        <v>#REF!</v>
      </c>
      <c r="F80" s="307"/>
      <c r="G80" s="307" t="e">
        <f>#REF!*100</f>
        <v>#REF!</v>
      </c>
      <c r="H80" s="307"/>
      <c r="I80" s="307"/>
      <c r="J80" s="307">
        <v>32.799999999999997</v>
      </c>
      <c r="K80" s="297" t="s">
        <v>620</v>
      </c>
      <c r="L80" s="298"/>
      <c r="M80" s="298"/>
      <c r="N80" s="298"/>
    </row>
    <row r="81" spans="1:14" ht="21">
      <c r="A81" s="294"/>
      <c r="B81" s="287" t="s">
        <v>623</v>
      </c>
      <c r="C81" s="287" t="s">
        <v>603</v>
      </c>
      <c r="D81" s="287" t="s">
        <v>171</v>
      </c>
      <c r="E81" s="307" t="e">
        <f>E80</f>
        <v>#REF!</v>
      </c>
      <c r="F81" s="307"/>
      <c r="G81" s="307">
        <v>0</v>
      </c>
      <c r="H81" s="307"/>
      <c r="I81" s="307"/>
      <c r="J81" s="307">
        <v>21.8</v>
      </c>
      <c r="K81" s="297" t="s">
        <v>620</v>
      </c>
      <c r="L81" s="298"/>
      <c r="M81" s="298"/>
      <c r="N81" s="298"/>
    </row>
    <row r="82" spans="1:14" ht="21">
      <c r="A82" s="287"/>
      <c r="B82" s="287" t="s">
        <v>626</v>
      </c>
      <c r="C82" s="287" t="s">
        <v>603</v>
      </c>
      <c r="D82" s="287" t="s">
        <v>171</v>
      </c>
      <c r="E82" s="307" t="e">
        <f>E81</f>
        <v>#REF!</v>
      </c>
      <c r="F82" s="307"/>
      <c r="G82" s="307" t="e">
        <f>#REF!/10000</f>
        <v>#REF!</v>
      </c>
      <c r="H82" s="307"/>
      <c r="I82" s="307"/>
      <c r="J82" s="307">
        <v>46.8</v>
      </c>
      <c r="K82" s="297" t="s">
        <v>620</v>
      </c>
      <c r="L82" s="298"/>
      <c r="M82" s="298"/>
      <c r="N82" s="298"/>
    </row>
    <row r="83" spans="1:14" ht="21">
      <c r="A83" s="289"/>
      <c r="B83" s="287" t="s">
        <v>624</v>
      </c>
      <c r="C83" s="287" t="s">
        <v>603</v>
      </c>
      <c r="D83" s="285" t="s">
        <v>486</v>
      </c>
      <c r="E83" s="306" t="e">
        <f>#REF!/10000</f>
        <v>#REF!</v>
      </c>
      <c r="F83" s="306"/>
      <c r="G83" s="306"/>
      <c r="H83" s="306"/>
      <c r="I83" s="306"/>
      <c r="J83" s="306" t="e">
        <f>#REF!</f>
        <v>#REF!</v>
      </c>
      <c r="K83" s="287" t="s">
        <v>625</v>
      </c>
    </row>
    <row r="84" spans="1:14">
      <c r="A84" s="294"/>
      <c r="B84" s="287"/>
      <c r="C84" s="287"/>
    </row>
    <row r="85" spans="1:14">
      <c r="A85" s="294"/>
      <c r="B85" s="287"/>
      <c r="C85" s="287"/>
    </row>
    <row r="86" spans="1:14" ht="31.5">
      <c r="A86" s="287" t="s">
        <v>737</v>
      </c>
      <c r="B86" s="381">
        <f>material_flow!B57</f>
        <v>2.6990553306342799E-2</v>
      </c>
      <c r="C86" s="285" t="s">
        <v>159</v>
      </c>
    </row>
    <row r="87" spans="1:14" ht="31.5">
      <c r="A87" s="287" t="s">
        <v>738</v>
      </c>
      <c r="B87" s="382">
        <v>0.15513897865916201</v>
      </c>
      <c r="C87" s="287" t="s">
        <v>159</v>
      </c>
    </row>
    <row r="88" spans="1:14">
      <c r="A88" s="287"/>
      <c r="B88" s="287"/>
      <c r="C88" s="287"/>
    </row>
    <row r="89" spans="1:14">
      <c r="A89" s="289"/>
      <c r="B89" s="287"/>
      <c r="C89" s="287"/>
    </row>
    <row r="90" spans="1:14">
      <c r="A90" s="295"/>
      <c r="B90" s="287"/>
      <c r="C90" s="287"/>
    </row>
    <row r="91" spans="1:14">
      <c r="A91" s="289"/>
      <c r="B91" s="287"/>
      <c r="C91" s="287"/>
    </row>
    <row r="92" spans="1:14">
      <c r="A92" s="296"/>
      <c r="B92" s="287"/>
      <c r="C92" s="287"/>
    </row>
    <row r="93" spans="1:14">
      <c r="A93" s="289"/>
      <c r="B93" s="287"/>
      <c r="C93" s="287"/>
    </row>
    <row r="94" spans="1:14">
      <c r="A94" s="287"/>
      <c r="B94" s="287"/>
      <c r="C94" s="287"/>
    </row>
    <row r="95" spans="1:14">
      <c r="A95" s="287"/>
      <c r="B95" s="287"/>
      <c r="C95" s="287"/>
    </row>
    <row r="96" spans="1:14">
      <c r="A96" s="287"/>
      <c r="B96" s="287"/>
      <c r="C96" s="287"/>
    </row>
  </sheetData>
  <mergeCells count="6">
    <mergeCell ref="K72:K73"/>
    <mergeCell ref="M1:N1"/>
    <mergeCell ref="E1:F1"/>
    <mergeCell ref="G1:H1"/>
    <mergeCell ref="I1:J1"/>
    <mergeCell ref="K56:K58"/>
  </mergeCells>
  <pageMargins left="0.7" right="0.7" top="0.75" bottom="0.75" header="0.3" footer="0.3"/>
  <pageSetup paperSize="9" orientation="portrait" verticalDpi="0"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14"/>
  <sheetViews>
    <sheetView topLeftCell="A5" workbookViewId="0">
      <selection activeCell="U26" sqref="U26"/>
    </sheetView>
  </sheetViews>
  <sheetFormatPr defaultRowHeight="14.5"/>
  <cols>
    <col min="1" max="1" width="28.54296875" customWidth="1"/>
    <col min="2" max="2" width="22" customWidth="1"/>
    <col min="3" max="3" width="11.26953125" customWidth="1"/>
    <col min="4" max="4" width="11.453125" customWidth="1"/>
  </cols>
  <sheetData>
    <row r="1" spans="1:4">
      <c r="A1" s="1" t="s">
        <v>892</v>
      </c>
    </row>
    <row r="2" spans="1:4">
      <c r="C2" s="1" t="s">
        <v>891</v>
      </c>
      <c r="D2" s="1" t="s">
        <v>890</v>
      </c>
    </row>
    <row r="3" spans="1:4">
      <c r="C3" s="562" t="s">
        <v>352</v>
      </c>
      <c r="D3" s="562"/>
    </row>
    <row r="4" spans="1:4" ht="29">
      <c r="A4" s="41" t="s">
        <v>417</v>
      </c>
      <c r="B4" s="42" t="s">
        <v>894</v>
      </c>
      <c r="C4" s="283">
        <v>0</v>
      </c>
      <c r="D4" s="283">
        <f>material_flow!Q26</f>
        <v>0</v>
      </c>
    </row>
    <row r="5" spans="1:4" ht="29">
      <c r="B5" s="42" t="s">
        <v>898</v>
      </c>
      <c r="C5" s="283">
        <v>0</v>
      </c>
      <c r="D5" s="283">
        <f>material_flow!Q27</f>
        <v>0</v>
      </c>
    </row>
    <row r="6" spans="1:4" ht="29">
      <c r="B6" s="42" t="s">
        <v>893</v>
      </c>
      <c r="C6" s="283">
        <f>material_flow!AE92</f>
        <v>0</v>
      </c>
      <c r="D6" s="283">
        <f>material_flow!AF92</f>
        <v>1449278692.6199582</v>
      </c>
    </row>
    <row r="7" spans="1:4" ht="29">
      <c r="B7" s="42" t="s">
        <v>895</v>
      </c>
      <c r="C7" s="283">
        <f>material_flow!AE93</f>
        <v>0</v>
      </c>
      <c r="D7" s="283">
        <f>material_flow!AF93</f>
        <v>0</v>
      </c>
    </row>
    <row r="8" spans="1:4" ht="29">
      <c r="B8" s="42" t="s">
        <v>896</v>
      </c>
      <c r="C8" s="283">
        <f>material_flow!AE85</f>
        <v>0</v>
      </c>
      <c r="D8" s="283">
        <f>material_flow!AF85</f>
        <v>533324605.24803716</v>
      </c>
    </row>
    <row r="9" spans="1:4" ht="29">
      <c r="B9" s="42" t="s">
        <v>897</v>
      </c>
      <c r="C9" s="283">
        <f>material_flow!AE86</f>
        <v>0</v>
      </c>
      <c r="D9" s="283">
        <f>material_flow!AF86</f>
        <v>0</v>
      </c>
    </row>
    <row r="10" spans="1:4" ht="29">
      <c r="A10" s="460" t="s">
        <v>449</v>
      </c>
      <c r="B10" s="42" t="s">
        <v>911</v>
      </c>
      <c r="C10" s="283">
        <f>HWP!F157</f>
        <v>0</v>
      </c>
      <c r="D10" s="283">
        <f>HWP!P157</f>
        <v>693076857.97817004</v>
      </c>
    </row>
    <row r="11" spans="1:4" ht="29">
      <c r="A11" s="460"/>
      <c r="B11" s="42" t="s">
        <v>912</v>
      </c>
      <c r="C11" s="283">
        <f>HWP!D288</f>
        <v>0</v>
      </c>
      <c r="D11" s="283">
        <f>HWP!K288</f>
        <v>1177807807.2353647</v>
      </c>
    </row>
    <row r="12" spans="1:4" ht="29">
      <c r="A12" t="s">
        <v>43</v>
      </c>
      <c r="B12" s="42" t="s">
        <v>911</v>
      </c>
      <c r="C12" s="283">
        <f>HWP!F162+HWP!F164</f>
        <v>0</v>
      </c>
      <c r="D12" s="283">
        <f>HWP!P162+HWP!P164</f>
        <v>848163359.36629033</v>
      </c>
    </row>
    <row r="13" spans="1:4" ht="29">
      <c r="B13" s="42" t="s">
        <v>912</v>
      </c>
      <c r="C13" s="283">
        <f>HWP!F300</f>
        <v>0</v>
      </c>
      <c r="D13" s="283">
        <f>HWP!M300</f>
        <v>288059026.79139495</v>
      </c>
    </row>
    <row r="14" spans="1:4">
      <c r="A14" t="s">
        <v>398</v>
      </c>
    </row>
  </sheetData>
  <mergeCells count="1">
    <mergeCell ref="C3:D3"/>
  </mergeCells>
  <pageMargins left="0.7" right="0.7" top="0.75" bottom="0.75" header="0.3" footer="0.3"/>
  <pageSetup paperSize="9"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34"/>
  <sheetViews>
    <sheetView workbookViewId="0">
      <selection activeCell="U26" sqref="U26"/>
    </sheetView>
  </sheetViews>
  <sheetFormatPr defaultRowHeight="14.5"/>
  <cols>
    <col min="2" max="2" width="17.81640625" customWidth="1"/>
    <col min="6" max="6" width="12.81640625" customWidth="1"/>
    <col min="14" max="14" width="11.54296875" customWidth="1"/>
    <col min="15" max="15" width="10.81640625" customWidth="1"/>
  </cols>
  <sheetData>
    <row r="1" spans="1:7">
      <c r="A1" s="9" t="s">
        <v>711</v>
      </c>
    </row>
    <row r="3" spans="1:7">
      <c r="A3" t="s">
        <v>718</v>
      </c>
    </row>
    <row r="4" spans="1:7">
      <c r="A4" t="s">
        <v>719</v>
      </c>
    </row>
    <row r="6" spans="1:7">
      <c r="C6" t="s">
        <v>716</v>
      </c>
      <c r="D6" t="s">
        <v>713</v>
      </c>
      <c r="E6" t="s">
        <v>714</v>
      </c>
      <c r="F6" t="s">
        <v>715</v>
      </c>
      <c r="G6" t="s">
        <v>717</v>
      </c>
    </row>
    <row r="7" spans="1:7">
      <c r="B7" s="32" t="s">
        <v>745</v>
      </c>
      <c r="C7" s="32">
        <v>0.19</v>
      </c>
      <c r="D7">
        <v>0.67</v>
      </c>
      <c r="E7">
        <v>0.87</v>
      </c>
    </row>
    <row r="8" spans="1:7">
      <c r="C8">
        <v>0.21</v>
      </c>
      <c r="D8">
        <v>0.67</v>
      </c>
      <c r="E8">
        <v>0.87</v>
      </c>
    </row>
    <row r="9" spans="1:7">
      <c r="C9">
        <v>0.21</v>
      </c>
      <c r="D9">
        <v>0.72</v>
      </c>
      <c r="E9">
        <v>0.91</v>
      </c>
    </row>
    <row r="10" spans="1:7">
      <c r="C10">
        <v>0.22</v>
      </c>
      <c r="D10">
        <v>0.72</v>
      </c>
      <c r="E10">
        <v>0.9</v>
      </c>
    </row>
    <row r="11" spans="1:7">
      <c r="C11">
        <v>0.2</v>
      </c>
      <c r="D11">
        <v>0.66</v>
      </c>
      <c r="E11">
        <v>0.86</v>
      </c>
    </row>
    <row r="12" spans="1:7">
      <c r="C12">
        <v>0.22</v>
      </c>
      <c r="D12">
        <v>0.71</v>
      </c>
      <c r="E12">
        <v>0.91</v>
      </c>
    </row>
    <row r="13" spans="1:7">
      <c r="C13">
        <v>0.23</v>
      </c>
      <c r="D13">
        <v>0.69</v>
      </c>
      <c r="E13">
        <v>0.87</v>
      </c>
    </row>
    <row r="14" spans="1:7">
      <c r="C14">
        <v>0.21</v>
      </c>
      <c r="D14">
        <v>0.68</v>
      </c>
      <c r="E14">
        <v>0.87</v>
      </c>
    </row>
    <row r="15" spans="1:7">
      <c r="C15">
        <v>0.24</v>
      </c>
      <c r="D15">
        <v>0.75</v>
      </c>
      <c r="E15">
        <v>0.92</v>
      </c>
    </row>
    <row r="16" spans="1:7">
      <c r="C16">
        <v>0.23</v>
      </c>
      <c r="D16">
        <v>0.72</v>
      </c>
      <c r="E16">
        <v>0.92</v>
      </c>
    </row>
    <row r="17" spans="1:18">
      <c r="C17">
        <v>0.2</v>
      </c>
      <c r="D17">
        <v>0.66</v>
      </c>
      <c r="E17">
        <v>0.86</v>
      </c>
    </row>
    <row r="18" spans="1:18">
      <c r="C18">
        <v>0.21</v>
      </c>
      <c r="D18">
        <v>0.66</v>
      </c>
      <c r="E18">
        <v>0.86</v>
      </c>
    </row>
    <row r="19" spans="1:18">
      <c r="C19">
        <v>0.21</v>
      </c>
      <c r="D19">
        <v>0.72</v>
      </c>
      <c r="E19">
        <v>0.91</v>
      </c>
    </row>
    <row r="20" spans="1:18">
      <c r="C20">
        <v>0.22</v>
      </c>
      <c r="D20">
        <v>0.71</v>
      </c>
      <c r="E20">
        <v>0.91</v>
      </c>
    </row>
    <row r="21" spans="1:18">
      <c r="C21">
        <v>0.2</v>
      </c>
      <c r="D21">
        <v>0.66</v>
      </c>
      <c r="E21">
        <v>0.86</v>
      </c>
    </row>
    <row r="22" spans="1:18">
      <c r="C22">
        <v>0.22</v>
      </c>
      <c r="D22">
        <v>0.71</v>
      </c>
      <c r="E22">
        <v>0.91</v>
      </c>
    </row>
    <row r="23" spans="1:18">
      <c r="B23" s="32" t="s">
        <v>712</v>
      </c>
      <c r="C23" s="137">
        <f>AVERAGE(C7:C22)</f>
        <v>0.21375000000000005</v>
      </c>
      <c r="D23" s="137">
        <f>AVERAGE(D7:D22)</f>
        <v>0.69437499999999996</v>
      </c>
      <c r="E23" s="137">
        <f>AVERAGE(E7:E22)</f>
        <v>0.88812499999999994</v>
      </c>
      <c r="F23" s="137">
        <f>(D23+E23)/2</f>
        <v>0.79125000000000001</v>
      </c>
      <c r="G23" s="137">
        <f>(C23+D23)/2</f>
        <v>0.45406250000000004</v>
      </c>
      <c r="Q23" t="s">
        <v>774</v>
      </c>
    </row>
    <row r="24" spans="1:18">
      <c r="Q24" t="s">
        <v>13</v>
      </c>
    </row>
    <row r="25" spans="1:18">
      <c r="E25" t="s">
        <v>8</v>
      </c>
      <c r="I25" t="s">
        <v>13</v>
      </c>
      <c r="Q25" t="s">
        <v>38</v>
      </c>
      <c r="R25" t="s">
        <v>773</v>
      </c>
    </row>
    <row r="26" spans="1:18">
      <c r="D26" t="s">
        <v>38</v>
      </c>
      <c r="E26">
        <v>21</v>
      </c>
      <c r="F26">
        <v>50</v>
      </c>
      <c r="G26">
        <v>71</v>
      </c>
      <c r="H26">
        <v>100</v>
      </c>
      <c r="I26">
        <v>21</v>
      </c>
      <c r="J26">
        <v>50</v>
      </c>
      <c r="K26">
        <v>71</v>
      </c>
      <c r="L26">
        <v>100</v>
      </c>
      <c r="Q26">
        <v>0</v>
      </c>
      <c r="R26">
        <v>0</v>
      </c>
    </row>
    <row r="27" spans="1:18">
      <c r="D27" s="32" t="s">
        <v>720</v>
      </c>
      <c r="E27" s="372"/>
      <c r="F27" s="372"/>
      <c r="G27" s="372"/>
      <c r="H27" s="372"/>
      <c r="I27">
        <f>material_flow!M17*material_flow!E7</f>
        <v>0</v>
      </c>
      <c r="J27" s="372">
        <f>(1-G23)*I27</f>
        <v>0</v>
      </c>
      <c r="K27" s="372">
        <f>(1-D23)*I27</f>
        <v>0</v>
      </c>
      <c r="L27" s="73">
        <f>(1-F23)*I27</f>
        <v>0</v>
      </c>
      <c r="Q27">
        <v>21</v>
      </c>
      <c r="R27">
        <f>SUM(I27:I30)</f>
        <v>0</v>
      </c>
    </row>
    <row r="28" spans="1:18">
      <c r="D28" s="32" t="s">
        <v>721</v>
      </c>
      <c r="E28" s="372"/>
      <c r="F28">
        <f>material_flow!AE69*material_flow!E39</f>
        <v>0</v>
      </c>
      <c r="G28" s="372"/>
      <c r="H28" s="5">
        <f>(1-D23)*F28</f>
        <v>0</v>
      </c>
      <c r="I28" s="372"/>
      <c r="J28">
        <f>material_flow!AF69*material_flow!E41</f>
        <v>307578.00131499767</v>
      </c>
      <c r="K28" s="372">
        <f>(1-G23)*J28</f>
        <v>167918.36509290652</v>
      </c>
      <c r="L28" s="73">
        <f>(1-D23)*J28</f>
        <v>94003.526651896173</v>
      </c>
      <c r="N28" s="599" t="s">
        <v>746</v>
      </c>
      <c r="O28" s="600"/>
      <c r="Q28">
        <v>50</v>
      </c>
      <c r="R28">
        <f>SUM(J27:J30)</f>
        <v>307578.00131499767</v>
      </c>
    </row>
    <row r="29" spans="1:18">
      <c r="D29" s="32" t="s">
        <v>722</v>
      </c>
      <c r="E29" s="372"/>
      <c r="F29" s="372"/>
      <c r="G29" s="372"/>
      <c r="H29" s="372"/>
      <c r="I29" s="372"/>
      <c r="J29" s="372"/>
      <c r="K29">
        <f>material_flow!M17*material_flow!E8</f>
        <v>0</v>
      </c>
      <c r="L29" s="73">
        <f>(1-G23)*K29</f>
        <v>0</v>
      </c>
      <c r="N29" s="260" t="s">
        <v>8</v>
      </c>
      <c r="O29" s="367" t="s">
        <v>13</v>
      </c>
      <c r="Q29">
        <v>71</v>
      </c>
      <c r="R29">
        <f>SUM(K27:K30)</f>
        <v>167918.36509290652</v>
      </c>
    </row>
    <row r="30" spans="1:18">
      <c r="D30" s="32" t="s">
        <v>723</v>
      </c>
      <c r="E30" s="372"/>
      <c r="F30" s="372"/>
      <c r="G30" s="372"/>
      <c r="H30" s="5">
        <f>material_flow!AE69*material_flow!E40</f>
        <v>0</v>
      </c>
      <c r="I30" s="372"/>
      <c r="J30" s="372"/>
      <c r="K30" s="372"/>
      <c r="L30" s="73">
        <f>material_flow!AF69*material_flow!E42</f>
        <v>0</v>
      </c>
      <c r="N30" s="398">
        <f>SUM(H27:H30)</f>
        <v>0</v>
      </c>
      <c r="O30" s="399">
        <f>SUM(L27:L30)</f>
        <v>94003.526651896173</v>
      </c>
      <c r="Q30">
        <v>100</v>
      </c>
      <c r="R30">
        <f>SUM(L27:L30)</f>
        <v>94003.526651896173</v>
      </c>
    </row>
    <row r="31" spans="1:18" s="12" customFormat="1">
      <c r="A31" s="373"/>
      <c r="B31" s="373"/>
      <c r="C31" s="373"/>
      <c r="D31" s="374" t="s">
        <v>724</v>
      </c>
      <c r="E31" s="375"/>
      <c r="F31" s="375"/>
      <c r="G31" s="375"/>
      <c r="H31" s="375"/>
      <c r="I31" s="373"/>
      <c r="J31" s="373"/>
      <c r="K31" s="373"/>
      <c r="L31" s="397">
        <f>I27-L27</f>
        <v>0</v>
      </c>
    </row>
    <row r="32" spans="1:18">
      <c r="D32" s="215" t="s">
        <v>725</v>
      </c>
      <c r="E32" s="372"/>
      <c r="F32" s="372"/>
      <c r="G32" s="372"/>
      <c r="H32">
        <f>F28-H28</f>
        <v>0</v>
      </c>
      <c r="L32" s="73">
        <f>J28-L28</f>
        <v>213574.47466310149</v>
      </c>
    </row>
    <row r="33" spans="4:12">
      <c r="D33" s="215" t="s">
        <v>726</v>
      </c>
      <c r="E33" s="372"/>
      <c r="F33" s="372"/>
      <c r="G33" s="372"/>
      <c r="H33" s="372"/>
      <c r="L33" s="73">
        <f>K29-L29</f>
        <v>0</v>
      </c>
    </row>
    <row r="34" spans="4:12">
      <c r="D34" s="215" t="s">
        <v>727</v>
      </c>
      <c r="E34" s="372"/>
      <c r="F34" s="372"/>
      <c r="G34" s="372"/>
      <c r="H34" s="5">
        <v>0</v>
      </c>
      <c r="L34" s="73">
        <v>0</v>
      </c>
    </row>
  </sheetData>
  <mergeCells count="1">
    <mergeCell ref="N28:O28"/>
  </mergeCells>
  <pageMargins left="0.7" right="0.7" top="0.75" bottom="0.75" header="0.3" footer="0.3"/>
  <pageSetup paperSize="9" orientation="portrait" verticalDpi="0"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D58E98866DFD245B9D0E18596F05661" ma:contentTypeVersion="14" ma:contentTypeDescription="Create a new document." ma:contentTypeScope="" ma:versionID="8be8a97e11e132c5b9185593464c2fdc">
  <xsd:schema xmlns:xsd="http://www.w3.org/2001/XMLSchema" xmlns:xs="http://www.w3.org/2001/XMLSchema" xmlns:p="http://schemas.microsoft.com/office/2006/metadata/properties" xmlns:ns3="d8bf8bef-0b82-4986-a401-43264cccf55c" xmlns:ns4="3da09709-1773-4314-a174-55395cd16391" targetNamespace="http://schemas.microsoft.com/office/2006/metadata/properties" ma:root="true" ma:fieldsID="56038264f2e8f231d7f9bb082756b113" ns3:_="" ns4:_="">
    <xsd:import namespace="d8bf8bef-0b82-4986-a401-43264cccf55c"/>
    <xsd:import namespace="3da09709-1773-4314-a174-55395cd16391"/>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bf8bef-0b82-4986-a401-43264cccf55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da09709-1773-4314-a174-55395cd16391"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42EAB00-70B2-4EA9-B7BF-BAD0035E43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bf8bef-0b82-4986-a401-43264cccf55c"/>
    <ds:schemaRef ds:uri="3da09709-1773-4314-a174-55395cd163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0BBFFB2-CE30-4D25-A9BB-D464092F137F}">
  <ds:schemaRefs>
    <ds:schemaRef ds:uri="http://schemas.openxmlformats.org/package/2006/metadata/core-properties"/>
    <ds:schemaRef ds:uri="d8bf8bef-0b82-4986-a401-43264cccf55c"/>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3da09709-1773-4314-a174-55395cd16391"/>
    <ds:schemaRef ds:uri="http://www.w3.org/XML/1998/namespace"/>
    <ds:schemaRef ds:uri="http://purl.org/dc/dcmitype/"/>
  </ds:schemaRefs>
</ds:datastoreItem>
</file>

<file path=customXml/itemProps3.xml><?xml version="1.0" encoding="utf-8"?>
<ds:datastoreItem xmlns:ds="http://schemas.openxmlformats.org/officeDocument/2006/customXml" ds:itemID="{402AA526-17DA-4508-916B-7A32F2CC085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Description of worksheets</vt:lpstr>
      <vt:lpstr>material_flow</vt:lpstr>
      <vt:lpstr>GWP_impact</vt:lpstr>
      <vt:lpstr>database</vt:lpstr>
      <vt:lpstr>C_model</vt:lpstr>
      <vt:lpstr>HWP</vt:lpstr>
      <vt:lpstr>fossilfuel_substitution</vt:lpstr>
      <vt:lpstr>concrete_substitution</vt:lpstr>
      <vt:lpstr>decarb_proj</vt:lpstr>
      <vt:lpstr>LCI_inventory</vt:lpstr>
      <vt:lpstr>biogenic_C_ems</vt:lpstr>
      <vt:lpstr>mulch_C_storage</vt:lpstr>
    </vt:vector>
  </TitlesOfParts>
  <Company>Pryfysgol Bangor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Eilidh Jane Forster</dc:creator>
  <cp:lastModifiedBy>Eilidh Jane Forster</cp:lastModifiedBy>
  <dcterms:created xsi:type="dcterms:W3CDTF">2019-01-16T09:37:47Z</dcterms:created>
  <dcterms:modified xsi:type="dcterms:W3CDTF">2023-02-16T14:48:16Z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0x010100BD58E98866DFD245B9D0E18596F05661</vt:lpwstr>
  </property>
</Properties>
</file>