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omments2.xml" ContentType="application/vnd.openxmlformats-officedocument.spreadsheetml.comments+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3.xml" ContentType="application/vnd.openxmlformats-officedocument.drawing+xml"/>
  <Override PartName="/xl/comments3.xml" ContentType="application/vnd.openxmlformats-officedocument.spreadsheetml.comments+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omments4.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fp239\OneDrive - Bangor University\Laptop\Documents\601 PhD\102 Chapters\Chapter 4 - value chain analysis\"/>
    </mc:Choice>
  </mc:AlternateContent>
  <bookViews>
    <workbookView xWindow="0" yWindow="0" windowWidth="14010" windowHeight="6600" activeTab="1"/>
  </bookViews>
  <sheets>
    <sheet name="Description" sheetId="8" r:id="rId1"/>
    <sheet name="Year 2035 impact" sheetId="1" r:id="rId2"/>
    <sheet name="Cum. impacts (Scopes1-4)" sheetId="2" r:id="rId3"/>
    <sheet name="Cum. impacts (Scopes1-3)" sheetId="4" r:id="rId4"/>
    <sheet name="Afforestation" sheetId="5" r:id="rId5"/>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K91" i="2" l="1"/>
  <c r="J91" i="2"/>
  <c r="N19" i="1"/>
  <c r="N17" i="1"/>
  <c r="L17" i="1"/>
  <c r="E11" i="1"/>
  <c r="D11" i="1"/>
  <c r="B19" i="1" l="1"/>
  <c r="B18" i="1"/>
  <c r="O16" i="2" l="1"/>
  <c r="O17" i="2" s="1"/>
  <c r="P16" i="2"/>
  <c r="P17" i="2" s="1"/>
  <c r="Q16" i="2"/>
  <c r="Q17" i="2" s="1"/>
  <c r="R16" i="2"/>
  <c r="R17" i="2" s="1"/>
  <c r="N16" i="2"/>
  <c r="N17" i="2" s="1"/>
  <c r="N11" i="2"/>
  <c r="F46" i="2" l="1"/>
  <c r="F50" i="2"/>
  <c r="F54" i="2"/>
  <c r="F47" i="2"/>
  <c r="F51" i="2"/>
  <c r="F45" i="2"/>
  <c r="F52" i="2"/>
  <c r="F48" i="2"/>
  <c r="F49" i="2"/>
  <c r="F53" i="2"/>
  <c r="P13" i="1"/>
  <c r="N13" i="1"/>
  <c r="L13" i="1"/>
  <c r="J13" i="1"/>
  <c r="M8" i="1"/>
  <c r="L8" i="1" s="1"/>
  <c r="K8" i="1"/>
  <c r="Q8" i="1" l="1"/>
  <c r="P8" i="1" s="1"/>
  <c r="J8" i="1"/>
  <c r="O8" i="1"/>
  <c r="N8" i="1" s="1"/>
  <c r="P6" i="1" l="1"/>
  <c r="L6" i="1"/>
  <c r="N6" i="1"/>
  <c r="J6" i="1"/>
  <c r="F6" i="1"/>
  <c r="N10" i="1"/>
  <c r="N12" i="1"/>
  <c r="N7" i="1"/>
  <c r="L7" i="1"/>
  <c r="P7" i="1"/>
  <c r="N9" i="1"/>
  <c r="L9" i="1"/>
  <c r="P9" i="1"/>
  <c r="L10" i="1"/>
  <c r="P10" i="1"/>
  <c r="L12" i="1"/>
  <c r="P12" i="1"/>
  <c r="Q12" i="1" s="1"/>
  <c r="J9" i="1"/>
  <c r="J7" i="1"/>
  <c r="J12" i="1"/>
  <c r="J10" i="1"/>
  <c r="B6" i="2"/>
  <c r="B7" i="2" s="1"/>
  <c r="B61" i="2"/>
  <c r="C5" i="2"/>
  <c r="C6" i="2" s="1"/>
  <c r="C7" i="2" s="1"/>
  <c r="E5" i="2"/>
  <c r="E6" i="2" s="1"/>
  <c r="E7" i="2" s="1"/>
  <c r="D5" i="2"/>
  <c r="D6" i="2" s="1"/>
  <c r="D7" i="2" s="1"/>
  <c r="H8" i="1" l="1"/>
  <c r="T8" i="1"/>
  <c r="U8" i="1" s="1"/>
  <c r="T9" i="1"/>
  <c r="U9" i="1" s="1"/>
  <c r="N14" i="1"/>
  <c r="P14" i="1"/>
  <c r="J14" i="1"/>
  <c r="L14" i="1"/>
  <c r="L16" i="1" s="1"/>
  <c r="B21" i="1"/>
  <c r="E18" i="1" l="1"/>
  <c r="E13" i="4" s="1"/>
  <c r="C18" i="1"/>
  <c r="C13" i="4" s="1"/>
  <c r="D18" i="1"/>
  <c r="D13" i="4" s="1"/>
  <c r="B15" i="1"/>
  <c r="F48" i="4" l="1"/>
  <c r="F52" i="4"/>
  <c r="F54" i="4"/>
  <c r="F49" i="4"/>
  <c r="F47" i="4"/>
  <c r="F51" i="4"/>
  <c r="F53" i="4"/>
  <c r="F46" i="4"/>
  <c r="F50" i="4"/>
  <c r="F45" i="4"/>
  <c r="B8" i="4"/>
  <c r="E8" i="4"/>
  <c r="C8" i="4"/>
  <c r="D8" i="4"/>
  <c r="E8" i="2"/>
  <c r="E9" i="2" s="1"/>
  <c r="E10" i="2" s="1"/>
  <c r="E11" i="2" s="1"/>
  <c r="E12" i="2" s="1"/>
  <c r="D8" i="2"/>
  <c r="C8" i="2"/>
  <c r="C9" i="2" s="1"/>
  <c r="C10" i="2" s="1"/>
  <c r="C11" i="2" s="1"/>
  <c r="C12" i="2" s="1"/>
  <c r="B8" i="2"/>
  <c r="B20" i="1"/>
  <c r="C11" i="1"/>
  <c r="C15" i="1" l="1"/>
  <c r="D15" i="1"/>
  <c r="D16" i="1" s="1"/>
  <c r="E15" i="1"/>
  <c r="AH43" i="5"/>
  <c r="AI43" i="5" s="1"/>
  <c r="AH47" i="5"/>
  <c r="AI47" i="5" s="1"/>
  <c r="AH51" i="5"/>
  <c r="AI51" i="5" s="1"/>
  <c r="AH55" i="5"/>
  <c r="AI55" i="5" s="1"/>
  <c r="AH59" i="5"/>
  <c r="AI59" i="5" s="1"/>
  <c r="AH63" i="5"/>
  <c r="AI63" i="5" s="1"/>
  <c r="AH67" i="5"/>
  <c r="AI67" i="5" s="1"/>
  <c r="C69" i="5"/>
  <c r="AH69" i="5" s="1"/>
  <c r="C40" i="5"/>
  <c r="AH40" i="5" s="1"/>
  <c r="AI40" i="5" s="1"/>
  <c r="C41" i="5"/>
  <c r="AH41" i="5" s="1"/>
  <c r="AI41" i="5" s="1"/>
  <c r="C42" i="5"/>
  <c r="AH42" i="5" s="1"/>
  <c r="AI42" i="5" s="1"/>
  <c r="C43" i="5"/>
  <c r="C44" i="5"/>
  <c r="AH44" i="5" s="1"/>
  <c r="AI44" i="5" s="1"/>
  <c r="C45" i="5"/>
  <c r="AH45" i="5" s="1"/>
  <c r="AI45" i="5" s="1"/>
  <c r="C46" i="5"/>
  <c r="AH46" i="5" s="1"/>
  <c r="AI46" i="5" s="1"/>
  <c r="C47" i="5"/>
  <c r="C48" i="5"/>
  <c r="AH48" i="5" s="1"/>
  <c r="AI48" i="5" s="1"/>
  <c r="C49" i="5"/>
  <c r="AH49" i="5" s="1"/>
  <c r="AI49" i="5" s="1"/>
  <c r="C50" i="5"/>
  <c r="AH50" i="5" s="1"/>
  <c r="AI50" i="5" s="1"/>
  <c r="C51" i="5"/>
  <c r="C52" i="5"/>
  <c r="AH52" i="5" s="1"/>
  <c r="AI52" i="5" s="1"/>
  <c r="C53" i="5"/>
  <c r="AH53" i="5" s="1"/>
  <c r="AI53" i="5" s="1"/>
  <c r="C54" i="5"/>
  <c r="AH54" i="5" s="1"/>
  <c r="AI54" i="5" s="1"/>
  <c r="C55" i="5"/>
  <c r="C56" i="5"/>
  <c r="AH56" i="5" s="1"/>
  <c r="AI56" i="5" s="1"/>
  <c r="C57" i="5"/>
  <c r="AH57" i="5" s="1"/>
  <c r="AI57" i="5" s="1"/>
  <c r="C58" i="5"/>
  <c r="AH58" i="5" s="1"/>
  <c r="AI58" i="5" s="1"/>
  <c r="C59" i="5"/>
  <c r="C60" i="5"/>
  <c r="AH60" i="5" s="1"/>
  <c r="AI60" i="5" s="1"/>
  <c r="C61" i="5"/>
  <c r="AH61" i="5" s="1"/>
  <c r="AI61" i="5" s="1"/>
  <c r="C62" i="5"/>
  <c r="AH62" i="5" s="1"/>
  <c r="AI62" i="5" s="1"/>
  <c r="C63" i="5"/>
  <c r="C64" i="5"/>
  <c r="AH64" i="5" s="1"/>
  <c r="AI64" i="5" s="1"/>
  <c r="C65" i="5"/>
  <c r="AH65" i="5" s="1"/>
  <c r="AI65" i="5" s="1"/>
  <c r="C66" i="5"/>
  <c r="AH66" i="5" s="1"/>
  <c r="AI66" i="5" s="1"/>
  <c r="C67" i="5"/>
  <c r="C68" i="5"/>
  <c r="AH68" i="5" s="1"/>
  <c r="AI68" i="5" s="1"/>
  <c r="C39" i="5"/>
  <c r="AH5" i="5"/>
  <c r="AH36" i="5" s="1"/>
  <c r="AH37" i="5" s="1"/>
  <c r="AH9" i="5"/>
  <c r="AH13" i="5"/>
  <c r="AH17" i="5"/>
  <c r="AH21" i="5"/>
  <c r="AH25" i="5"/>
  <c r="AH29" i="5"/>
  <c r="AH33" i="5"/>
  <c r="AH4" i="5"/>
  <c r="C6" i="5"/>
  <c r="AH6" i="5" s="1"/>
  <c r="C7" i="5"/>
  <c r="AH7" i="5" s="1"/>
  <c r="C8" i="5"/>
  <c r="AH8" i="5" s="1"/>
  <c r="C9" i="5"/>
  <c r="C10" i="5"/>
  <c r="AH10" i="5" s="1"/>
  <c r="C11" i="5"/>
  <c r="AH11" i="5" s="1"/>
  <c r="C12" i="5"/>
  <c r="AH12" i="5" s="1"/>
  <c r="C13" i="5"/>
  <c r="C14" i="5"/>
  <c r="AH14" i="5" s="1"/>
  <c r="C15" i="5"/>
  <c r="AH15" i="5" s="1"/>
  <c r="C16" i="5"/>
  <c r="AH16" i="5" s="1"/>
  <c r="C17" i="5"/>
  <c r="C18" i="5"/>
  <c r="AH18" i="5" s="1"/>
  <c r="C19" i="5"/>
  <c r="AH19" i="5" s="1"/>
  <c r="C20" i="5"/>
  <c r="AH20" i="5" s="1"/>
  <c r="C21" i="5"/>
  <c r="C22" i="5"/>
  <c r="AH22" i="5" s="1"/>
  <c r="C23" i="5"/>
  <c r="AH23" i="5" s="1"/>
  <c r="C24" i="5"/>
  <c r="AH24" i="5" s="1"/>
  <c r="C25" i="5"/>
  <c r="C26" i="5"/>
  <c r="AH26" i="5" s="1"/>
  <c r="C27" i="5"/>
  <c r="AH27" i="5" s="1"/>
  <c r="C28" i="5"/>
  <c r="AH28" i="5" s="1"/>
  <c r="C29" i="5"/>
  <c r="C30" i="5"/>
  <c r="AH30" i="5" s="1"/>
  <c r="C31" i="5"/>
  <c r="AH31" i="5" s="1"/>
  <c r="C32" i="5"/>
  <c r="AH32" i="5" s="1"/>
  <c r="C33" i="5"/>
  <c r="C34" i="5"/>
  <c r="AH34" i="5" s="1"/>
  <c r="C35" i="5"/>
  <c r="AH35" i="5" s="1"/>
  <c r="C5" i="5"/>
  <c r="E13" i="2" l="1"/>
  <c r="E14" i="2" s="1"/>
  <c r="E15" i="2" s="1"/>
  <c r="E20" i="1"/>
  <c r="C13" i="2"/>
  <c r="C20" i="1"/>
  <c r="D13" i="2"/>
  <c r="D20" i="1"/>
  <c r="D17" i="1"/>
  <c r="AI69" i="5"/>
  <c r="AH70" i="5"/>
  <c r="F11" i="1" l="1"/>
  <c r="G9" i="1" l="1"/>
  <c r="F7" i="1"/>
  <c r="F8" i="1"/>
  <c r="F9" i="1"/>
  <c r="F10" i="1"/>
  <c r="F12" i="1"/>
  <c r="F13" i="1"/>
  <c r="D23" i="1"/>
  <c r="C23" i="1"/>
  <c r="E23" i="1"/>
  <c r="B23" i="1"/>
  <c r="D21" i="1"/>
  <c r="D22" i="1" s="1"/>
  <c r="C21" i="1"/>
  <c r="E21" i="1"/>
  <c r="F21" i="1"/>
  <c r="F22" i="1" s="1"/>
  <c r="C24" i="1" l="1"/>
  <c r="F18" i="1"/>
  <c r="F15" i="1"/>
  <c r="F17" i="1" s="1"/>
  <c r="E22" i="1"/>
  <c r="E24" i="1"/>
  <c r="C22" i="1"/>
  <c r="F23" i="1"/>
  <c r="F24" i="1" s="1"/>
  <c r="F19" i="1"/>
  <c r="D24" i="1"/>
  <c r="F20" i="1" l="1"/>
  <c r="F16" i="1"/>
  <c r="R11" i="4"/>
  <c r="R12" i="4" s="1"/>
  <c r="Q11" i="4"/>
  <c r="Q12" i="4" s="1"/>
  <c r="P11" i="4"/>
  <c r="P12" i="4" s="1"/>
  <c r="O11" i="4"/>
  <c r="O12" i="4" s="1"/>
  <c r="N11" i="4"/>
  <c r="N12" i="4" s="1"/>
  <c r="D19" i="1"/>
  <c r="C19" i="1"/>
  <c r="E19" i="1"/>
  <c r="F38" i="4" l="1"/>
  <c r="F42" i="4"/>
  <c r="F39" i="4"/>
  <c r="F43" i="4"/>
  <c r="F37" i="4"/>
  <c r="F36" i="4"/>
  <c r="F40" i="4"/>
  <c r="F44" i="4"/>
  <c r="F35" i="4"/>
  <c r="F41" i="4"/>
  <c r="F11" i="4"/>
  <c r="H9" i="4"/>
  <c r="G9" i="4"/>
  <c r="H8" i="4"/>
  <c r="F13" i="4"/>
  <c r="H11" i="4"/>
  <c r="I10" i="4"/>
  <c r="F10" i="4"/>
  <c r="I9" i="4"/>
  <c r="F14" i="4"/>
  <c r="F12" i="4"/>
  <c r="H12" i="4"/>
  <c r="I11" i="4"/>
  <c r="G10" i="4"/>
  <c r="H10" i="4"/>
  <c r="I12" i="4"/>
  <c r="F8" i="4"/>
  <c r="G12" i="4"/>
  <c r="F9" i="4"/>
  <c r="G8" i="4"/>
  <c r="G11" i="4"/>
  <c r="I8" i="4"/>
  <c r="F16" i="4"/>
  <c r="F20" i="4"/>
  <c r="F24" i="4"/>
  <c r="F15" i="4"/>
  <c r="F17" i="4"/>
  <c r="F21" i="4"/>
  <c r="F19" i="4"/>
  <c r="F18" i="4"/>
  <c r="F22" i="4"/>
  <c r="F23" i="4"/>
  <c r="F27" i="4"/>
  <c r="F31" i="4"/>
  <c r="F26" i="4"/>
  <c r="F34" i="4"/>
  <c r="F28" i="4"/>
  <c r="F32" i="4"/>
  <c r="F29" i="4"/>
  <c r="F33" i="4"/>
  <c r="F30" i="4"/>
  <c r="F25" i="4"/>
  <c r="I46" i="2"/>
  <c r="I50" i="2"/>
  <c r="I54" i="2"/>
  <c r="I47" i="2"/>
  <c r="I51" i="2"/>
  <c r="I45" i="2"/>
  <c r="I48" i="2"/>
  <c r="I52" i="2"/>
  <c r="I49" i="2"/>
  <c r="I53" i="2"/>
  <c r="H46" i="2"/>
  <c r="H48" i="2"/>
  <c r="H50" i="2"/>
  <c r="H52" i="2"/>
  <c r="H54" i="2"/>
  <c r="H47" i="2"/>
  <c r="H49" i="2"/>
  <c r="H51" i="2"/>
  <c r="H53" i="2"/>
  <c r="H45" i="2"/>
  <c r="G46" i="2"/>
  <c r="G50" i="2"/>
  <c r="G54" i="2"/>
  <c r="G49" i="2"/>
  <c r="G53" i="2"/>
  <c r="G45" i="2"/>
  <c r="G48" i="2"/>
  <c r="G52" i="2"/>
  <c r="G47" i="2"/>
  <c r="G51" i="2"/>
  <c r="I49" i="4"/>
  <c r="I53" i="4"/>
  <c r="I37" i="4"/>
  <c r="I41" i="4"/>
  <c r="I35" i="4"/>
  <c r="I29" i="4"/>
  <c r="I33" i="4"/>
  <c r="I17" i="4"/>
  <c r="I21" i="4"/>
  <c r="I15" i="4"/>
  <c r="I52" i="4"/>
  <c r="I28" i="4"/>
  <c r="I16" i="4"/>
  <c r="I46" i="4"/>
  <c r="I50" i="4"/>
  <c r="I54" i="4"/>
  <c r="I38" i="4"/>
  <c r="I42" i="4"/>
  <c r="I26" i="4"/>
  <c r="I30" i="4"/>
  <c r="I34" i="4"/>
  <c r="I18" i="4"/>
  <c r="I22" i="4"/>
  <c r="I14" i="4"/>
  <c r="I48" i="4"/>
  <c r="I40" i="4"/>
  <c r="I20" i="4"/>
  <c r="I47" i="4"/>
  <c r="I51" i="4"/>
  <c r="I45" i="4"/>
  <c r="I39" i="4"/>
  <c r="I43" i="4"/>
  <c r="I27" i="4"/>
  <c r="I31" i="4"/>
  <c r="I25" i="4"/>
  <c r="I19" i="4"/>
  <c r="I23" i="4"/>
  <c r="I13" i="4"/>
  <c r="I36" i="4"/>
  <c r="I44" i="4"/>
  <c r="I32" i="4"/>
  <c r="I24" i="4"/>
  <c r="H47" i="4"/>
  <c r="H51" i="4"/>
  <c r="H45" i="4"/>
  <c r="H35" i="4"/>
  <c r="H25" i="4"/>
  <c r="H15" i="4"/>
  <c r="H13" i="4"/>
  <c r="H22" i="4"/>
  <c r="H14" i="4"/>
  <c r="H39" i="4"/>
  <c r="H27" i="4"/>
  <c r="H17" i="4"/>
  <c r="H23" i="4"/>
  <c r="H48" i="4"/>
  <c r="H52" i="4"/>
  <c r="H36" i="4"/>
  <c r="H38" i="4"/>
  <c r="H40" i="4"/>
  <c r="H42" i="4"/>
  <c r="H44" i="4"/>
  <c r="H26" i="4"/>
  <c r="H28" i="4"/>
  <c r="H30" i="4"/>
  <c r="H32" i="4"/>
  <c r="H34" i="4"/>
  <c r="H16" i="4"/>
  <c r="H18" i="4"/>
  <c r="H20" i="4"/>
  <c r="H24" i="4"/>
  <c r="H54" i="4"/>
  <c r="H41" i="4"/>
  <c r="H29" i="4"/>
  <c r="H33" i="4"/>
  <c r="H21" i="4"/>
  <c r="H49" i="4"/>
  <c r="H53" i="4"/>
  <c r="H46" i="4"/>
  <c r="H50" i="4"/>
  <c r="H37" i="4"/>
  <c r="H43" i="4"/>
  <c r="H31" i="4"/>
  <c r="H19" i="4"/>
  <c r="G39" i="4"/>
  <c r="G43" i="4"/>
  <c r="G35" i="4"/>
  <c r="G27" i="4"/>
  <c r="G31" i="4"/>
  <c r="G19" i="4"/>
  <c r="G23" i="4"/>
  <c r="G15" i="4"/>
  <c r="G49" i="4"/>
  <c r="G53" i="4"/>
  <c r="G42" i="4"/>
  <c r="G30" i="4"/>
  <c r="G18" i="4"/>
  <c r="G14" i="4"/>
  <c r="G45" i="4"/>
  <c r="G41" i="4"/>
  <c r="G33" i="4"/>
  <c r="G25" i="4"/>
  <c r="G21" i="4"/>
  <c r="G46" i="4"/>
  <c r="G48" i="4"/>
  <c r="G50" i="4"/>
  <c r="G52" i="4"/>
  <c r="G54" i="4"/>
  <c r="G36" i="4"/>
  <c r="G40" i="4"/>
  <c r="G44" i="4"/>
  <c r="G28" i="4"/>
  <c r="G32" i="4"/>
  <c r="G16" i="4"/>
  <c r="G20" i="4"/>
  <c r="G24" i="4"/>
  <c r="G47" i="4"/>
  <c r="G51" i="4"/>
  <c r="G38" i="4"/>
  <c r="G26" i="4"/>
  <c r="G34" i="4"/>
  <c r="G22" i="4"/>
  <c r="G37" i="4"/>
  <c r="G29" i="4"/>
  <c r="G17" i="4"/>
  <c r="G13" i="4"/>
  <c r="F61" i="4"/>
  <c r="G61" i="4"/>
  <c r="G62" i="4" s="1"/>
  <c r="G63" i="4" s="1"/>
  <c r="I61" i="4"/>
  <c r="I62" i="4" s="1"/>
  <c r="I63" i="4" s="1"/>
  <c r="I64" i="4" s="1"/>
  <c r="I65" i="4" s="1"/>
  <c r="H61" i="4"/>
  <c r="H62" i="4" s="1"/>
  <c r="H63" i="4" s="1"/>
  <c r="F62" i="4"/>
  <c r="F63" i="4" s="1"/>
  <c r="H64" i="4" l="1"/>
  <c r="H65" i="4" s="1"/>
  <c r="H66" i="4" s="1"/>
  <c r="H67" i="4" s="1"/>
  <c r="H68" i="4" s="1"/>
  <c r="H69" i="4" s="1"/>
  <c r="H70" i="4" s="1"/>
  <c r="H71" i="4" s="1"/>
  <c r="H72" i="4" s="1"/>
  <c r="H73" i="4" s="1"/>
  <c r="H74" i="4" s="1"/>
  <c r="H75" i="4" s="1"/>
  <c r="H76" i="4" s="1"/>
  <c r="H77" i="4" s="1"/>
  <c r="H78" i="4" s="1"/>
  <c r="H79" i="4" s="1"/>
  <c r="H80" i="4" s="1"/>
  <c r="H81" i="4" s="1"/>
  <c r="H82" i="4" s="1"/>
  <c r="H83" i="4" s="1"/>
  <c r="H84" i="4" s="1"/>
  <c r="H85" i="4" s="1"/>
  <c r="H86" i="4" s="1"/>
  <c r="H87" i="4" s="1"/>
  <c r="H88" i="4" s="1"/>
  <c r="H89" i="4" s="1"/>
  <c r="H90" i="4" s="1"/>
  <c r="H91" i="4" s="1"/>
  <c r="H92" i="4" s="1"/>
  <c r="H93" i="4" s="1"/>
  <c r="H94" i="4" s="1"/>
  <c r="H95" i="4" s="1"/>
  <c r="H96" i="4" s="1"/>
  <c r="H97" i="4" s="1"/>
  <c r="H98" i="4" s="1"/>
  <c r="H99" i="4" s="1"/>
  <c r="H100" i="4" s="1"/>
  <c r="H101" i="4" s="1"/>
  <c r="H102" i="4" s="1"/>
  <c r="H103" i="4" s="1"/>
  <c r="H104" i="4" s="1"/>
  <c r="H105" i="4" s="1"/>
  <c r="H106" i="4" s="1"/>
  <c r="H107" i="4" s="1"/>
  <c r="H108" i="4" s="1"/>
  <c r="H109" i="4" s="1"/>
  <c r="H110" i="4" s="1"/>
  <c r="I66" i="4"/>
  <c r="I67" i="4" s="1"/>
  <c r="I68" i="4" s="1"/>
  <c r="I69" i="4" s="1"/>
  <c r="I70" i="4" s="1"/>
  <c r="I71" i="4" s="1"/>
  <c r="I72" i="4" s="1"/>
  <c r="I73" i="4" s="1"/>
  <c r="I74" i="4" s="1"/>
  <c r="I75" i="4" s="1"/>
  <c r="I76" i="4" s="1"/>
  <c r="I77" i="4" s="1"/>
  <c r="I78" i="4" s="1"/>
  <c r="I79" i="4" s="1"/>
  <c r="I80" i="4" s="1"/>
  <c r="I81" i="4" s="1"/>
  <c r="I82" i="4" s="1"/>
  <c r="I83" i="4" s="1"/>
  <c r="I84" i="4" s="1"/>
  <c r="I85" i="4" s="1"/>
  <c r="I86" i="4" s="1"/>
  <c r="I87" i="4" s="1"/>
  <c r="I88" i="4" s="1"/>
  <c r="I89" i="4" s="1"/>
  <c r="I90" i="4" s="1"/>
  <c r="I91" i="4" s="1"/>
  <c r="I92" i="4" s="1"/>
  <c r="I93" i="4" s="1"/>
  <c r="I94" i="4" s="1"/>
  <c r="I95" i="4" s="1"/>
  <c r="I96" i="4" s="1"/>
  <c r="I97" i="4" s="1"/>
  <c r="I98" i="4" s="1"/>
  <c r="I99" i="4" s="1"/>
  <c r="I100" i="4" s="1"/>
  <c r="I101" i="4" s="1"/>
  <c r="I102" i="4" s="1"/>
  <c r="I103" i="4" s="1"/>
  <c r="I104" i="4" s="1"/>
  <c r="I105" i="4" s="1"/>
  <c r="I106" i="4" s="1"/>
  <c r="I107" i="4" s="1"/>
  <c r="I108" i="4" s="1"/>
  <c r="I109" i="4" s="1"/>
  <c r="I110" i="4" s="1"/>
  <c r="G64" i="4"/>
  <c r="G65" i="4" s="1"/>
  <c r="G66" i="4" s="1"/>
  <c r="G67" i="4" s="1"/>
  <c r="G68" i="4" s="1"/>
  <c r="G69" i="4" s="1"/>
  <c r="G70" i="4" s="1"/>
  <c r="G71" i="4" s="1"/>
  <c r="G72" i="4" s="1"/>
  <c r="G73" i="4" s="1"/>
  <c r="G74" i="4" s="1"/>
  <c r="G75" i="4" s="1"/>
  <c r="G76" i="4" s="1"/>
  <c r="G77" i="4" s="1"/>
  <c r="G78" i="4" s="1"/>
  <c r="G79" i="4" s="1"/>
  <c r="G80" i="4" s="1"/>
  <c r="G81" i="4" s="1"/>
  <c r="G82" i="4" s="1"/>
  <c r="G83" i="4" s="1"/>
  <c r="G84" i="4" s="1"/>
  <c r="G85" i="4" s="1"/>
  <c r="G86" i="4" s="1"/>
  <c r="G87" i="4" s="1"/>
  <c r="G88" i="4" s="1"/>
  <c r="G89" i="4" s="1"/>
  <c r="G90" i="4" s="1"/>
  <c r="G91" i="4" s="1"/>
  <c r="G92" i="4" s="1"/>
  <c r="G93" i="4" s="1"/>
  <c r="G94" i="4" s="1"/>
  <c r="G95" i="4" s="1"/>
  <c r="G96" i="4" s="1"/>
  <c r="G97" i="4" s="1"/>
  <c r="G98" i="4" s="1"/>
  <c r="G99" i="4" s="1"/>
  <c r="G100" i="4" s="1"/>
  <c r="G101" i="4" s="1"/>
  <c r="G102" i="4" s="1"/>
  <c r="G103" i="4" s="1"/>
  <c r="G104" i="4" s="1"/>
  <c r="G105" i="4" s="1"/>
  <c r="G106" i="4" s="1"/>
  <c r="G107" i="4" s="1"/>
  <c r="G108" i="4" s="1"/>
  <c r="G109" i="4" s="1"/>
  <c r="G110" i="4" s="1"/>
  <c r="F64" i="4"/>
  <c r="F65" i="4" s="1"/>
  <c r="F66" i="4" s="1"/>
  <c r="F67" i="4" s="1"/>
  <c r="F68" i="4" s="1"/>
  <c r="F69" i="4" s="1"/>
  <c r="F70" i="4" s="1"/>
  <c r="F71" i="4" s="1"/>
  <c r="F72" i="4" s="1"/>
  <c r="F73" i="4" s="1"/>
  <c r="F74" i="4" s="1"/>
  <c r="F75" i="4" s="1"/>
  <c r="F76" i="4" s="1"/>
  <c r="F77" i="4" s="1"/>
  <c r="F78" i="4" s="1"/>
  <c r="F79" i="4" s="1"/>
  <c r="F80" i="4" s="1"/>
  <c r="F81" i="4" s="1"/>
  <c r="F82" i="4" s="1"/>
  <c r="F83" i="4" s="1"/>
  <c r="F84" i="4" s="1"/>
  <c r="F85" i="4" s="1"/>
  <c r="F86" i="4" s="1"/>
  <c r="F87" i="4" s="1"/>
  <c r="F88" i="4" s="1"/>
  <c r="F89" i="4" s="1"/>
  <c r="F90" i="4" s="1"/>
  <c r="G112" i="4" l="1"/>
  <c r="H112" i="4"/>
  <c r="F91" i="4"/>
  <c r="G111" i="4" s="1"/>
  <c r="I112" i="4"/>
  <c r="F92" i="4" l="1"/>
  <c r="F93" i="4" s="1"/>
  <c r="F94" i="4" s="1"/>
  <c r="F95" i="4" s="1"/>
  <c r="F96" i="4" s="1"/>
  <c r="F97" i="4" s="1"/>
  <c r="F98" i="4" s="1"/>
  <c r="F99" i="4" s="1"/>
  <c r="F100" i="4" s="1"/>
  <c r="F101" i="4" s="1"/>
  <c r="F102" i="4" s="1"/>
  <c r="F103" i="4" s="1"/>
  <c r="F104" i="4" s="1"/>
  <c r="F105" i="4" s="1"/>
  <c r="F106" i="4" s="1"/>
  <c r="F107" i="4" s="1"/>
  <c r="F108" i="4" s="1"/>
  <c r="F109" i="4" s="1"/>
  <c r="F110" i="4" s="1"/>
  <c r="I111" i="4"/>
  <c r="H111" i="4"/>
  <c r="I114" i="4" l="1"/>
  <c r="G114" i="4"/>
  <c r="H114" i="4"/>
  <c r="G61" i="2" l="1"/>
  <c r="G62" i="2" s="1"/>
  <c r="G63" i="2" s="1"/>
  <c r="I61" i="2"/>
  <c r="I62" i="2" s="1"/>
  <c r="I63" i="2" s="1"/>
  <c r="O11" i="2"/>
  <c r="O12" i="2" s="1"/>
  <c r="P11" i="2"/>
  <c r="P12" i="2" s="1"/>
  <c r="Q11" i="2"/>
  <c r="Q12" i="2" s="1"/>
  <c r="R11" i="2"/>
  <c r="R12" i="2" s="1"/>
  <c r="N12" i="2"/>
  <c r="F38" i="2" l="1"/>
  <c r="F42" i="2"/>
  <c r="F39" i="2"/>
  <c r="F43" i="2"/>
  <c r="F36" i="2"/>
  <c r="F40" i="2"/>
  <c r="F44" i="2"/>
  <c r="F37" i="2"/>
  <c r="F41" i="2"/>
  <c r="F35" i="2"/>
  <c r="I42" i="2"/>
  <c r="I39" i="2"/>
  <c r="I36" i="2"/>
  <c r="H42" i="2"/>
  <c r="H39" i="2"/>
  <c r="G42" i="2"/>
  <c r="G37" i="2"/>
  <c r="G36" i="2"/>
  <c r="I43" i="2"/>
  <c r="I40" i="2"/>
  <c r="I37" i="2"/>
  <c r="H36" i="2"/>
  <c r="H44" i="2"/>
  <c r="H41" i="2"/>
  <c r="G41" i="2"/>
  <c r="G40" i="2"/>
  <c r="G39" i="2"/>
  <c r="I44" i="2"/>
  <c r="I41" i="2"/>
  <c r="H38" i="2"/>
  <c r="H35" i="2"/>
  <c r="H43" i="2"/>
  <c r="G44" i="2"/>
  <c r="G43" i="2"/>
  <c r="I38" i="2"/>
  <c r="I35" i="2"/>
  <c r="H40" i="2"/>
  <c r="H37" i="2"/>
  <c r="G38" i="2"/>
  <c r="G35" i="2"/>
  <c r="F26" i="2"/>
  <c r="F30" i="2"/>
  <c r="F34" i="2"/>
  <c r="F27" i="2"/>
  <c r="F31" i="2"/>
  <c r="F25" i="2"/>
  <c r="F28" i="2"/>
  <c r="F32" i="2"/>
  <c r="F29" i="2"/>
  <c r="F33" i="2"/>
  <c r="I29" i="2"/>
  <c r="H34" i="2"/>
  <c r="G27" i="2"/>
  <c r="I26" i="2"/>
  <c r="I27" i="2"/>
  <c r="I28" i="2"/>
  <c r="I33" i="2"/>
  <c r="H28" i="2"/>
  <c r="H31" i="2"/>
  <c r="H33" i="2"/>
  <c r="G26" i="2"/>
  <c r="G28" i="2"/>
  <c r="I30" i="2"/>
  <c r="I31" i="2"/>
  <c r="I32" i="2"/>
  <c r="H30" i="2"/>
  <c r="G30" i="2"/>
  <c r="G33" i="2"/>
  <c r="G32" i="2"/>
  <c r="G31" i="2"/>
  <c r="I34" i="2"/>
  <c r="I25" i="2"/>
  <c r="H32" i="2"/>
  <c r="H27" i="2"/>
  <c r="H25" i="2"/>
  <c r="G34" i="2"/>
  <c r="G25" i="2"/>
  <c r="H26" i="2"/>
  <c r="H29" i="2"/>
  <c r="G29" i="2"/>
  <c r="F18" i="2"/>
  <c r="F22" i="2"/>
  <c r="F19" i="2"/>
  <c r="F23" i="2"/>
  <c r="F16" i="2"/>
  <c r="F20" i="2"/>
  <c r="F24" i="2"/>
  <c r="F17" i="2"/>
  <c r="F21" i="2"/>
  <c r="F15" i="2"/>
  <c r="I18" i="2"/>
  <c r="I20" i="2"/>
  <c r="H18" i="2"/>
  <c r="H19" i="2"/>
  <c r="G18" i="2"/>
  <c r="G20" i="2"/>
  <c r="I22" i="2"/>
  <c r="I24" i="2"/>
  <c r="I17" i="2"/>
  <c r="H20" i="2"/>
  <c r="H21" i="2"/>
  <c r="H23" i="2"/>
  <c r="G22" i="2"/>
  <c r="G24" i="2"/>
  <c r="G19" i="2"/>
  <c r="I19" i="2"/>
  <c r="I21" i="2"/>
  <c r="H22" i="2"/>
  <c r="G17" i="2"/>
  <c r="G23" i="2"/>
  <c r="I23" i="2"/>
  <c r="I16" i="2"/>
  <c r="I15" i="2"/>
  <c r="H16" i="2"/>
  <c r="H24" i="2"/>
  <c r="H15" i="2"/>
  <c r="H17" i="2"/>
  <c r="G21" i="2"/>
  <c r="G16" i="2"/>
  <c r="G15" i="2"/>
  <c r="F8" i="2"/>
  <c r="G9" i="2"/>
  <c r="F10" i="2"/>
  <c r="G12" i="2"/>
  <c r="G11" i="2"/>
  <c r="G10" i="2"/>
  <c r="F13" i="2"/>
  <c r="F14" i="2"/>
  <c r="H8" i="2"/>
  <c r="H12" i="2"/>
  <c r="H11" i="2"/>
  <c r="I12" i="2"/>
  <c r="I10" i="2"/>
  <c r="F12" i="2"/>
  <c r="F9" i="2"/>
  <c r="H10" i="2"/>
  <c r="I11" i="2"/>
  <c r="H9" i="2"/>
  <c r="F11" i="2"/>
  <c r="I8" i="2"/>
  <c r="I64" i="2" s="1"/>
  <c r="I9" i="2"/>
  <c r="G8" i="2"/>
  <c r="I14" i="2"/>
  <c r="G14" i="2"/>
  <c r="I13" i="2"/>
  <c r="G13" i="2"/>
  <c r="H14" i="2"/>
  <c r="H13" i="2"/>
  <c r="J11" i="1"/>
  <c r="N11" i="1"/>
  <c r="L11" i="1"/>
  <c r="P11" i="1"/>
  <c r="G64" i="2"/>
  <c r="G65" i="2" s="1"/>
  <c r="G66" i="2" s="1"/>
  <c r="G67" i="2" s="1"/>
  <c r="C61" i="2"/>
  <c r="J35" i="2" l="1"/>
  <c r="G68" i="2"/>
  <c r="G69" i="2" s="1"/>
  <c r="G70" i="2" s="1"/>
  <c r="L15" i="1"/>
  <c r="J15" i="1"/>
  <c r="N15" i="1"/>
  <c r="P15" i="1"/>
  <c r="I65" i="2"/>
  <c r="I66" i="2" s="1"/>
  <c r="I67" i="2" s="1"/>
  <c r="I68" i="2" s="1"/>
  <c r="I69" i="2" s="1"/>
  <c r="I70" i="2" s="1"/>
  <c r="E61" i="2"/>
  <c r="B62" i="2"/>
  <c r="D61" i="2"/>
  <c r="D62" i="2" s="1"/>
  <c r="F61" i="2"/>
  <c r="Q17" i="1" l="1"/>
  <c r="P18" i="1"/>
  <c r="N18" i="1"/>
  <c r="P17" i="1"/>
  <c r="J17" i="1"/>
  <c r="F62" i="2"/>
  <c r="E62" i="2"/>
  <c r="C62" i="2"/>
  <c r="B63" i="2"/>
  <c r="B64" i="2" s="1"/>
  <c r="H61" i="2"/>
  <c r="H62" i="2" s="1"/>
  <c r="D63" i="2"/>
  <c r="H63" i="2" l="1"/>
  <c r="C63" i="2"/>
  <c r="E63" i="2"/>
  <c r="D9" i="2"/>
  <c r="D10" i="2" s="1"/>
  <c r="D11" i="2" s="1"/>
  <c r="D64" i="2"/>
  <c r="F63" i="2"/>
  <c r="B9" i="2"/>
  <c r="E64" i="2" l="1"/>
  <c r="E65" i="2" s="1"/>
  <c r="E66" i="2" s="1"/>
  <c r="E67" i="2" s="1"/>
  <c r="E68" i="2" s="1"/>
  <c r="E69" i="2" s="1"/>
  <c r="E70" i="2" s="1"/>
  <c r="H64" i="2"/>
  <c r="D65" i="2"/>
  <c r="C64" i="2"/>
  <c r="B10" i="2"/>
  <c r="F64" i="2"/>
  <c r="B65" i="2"/>
  <c r="C65" i="2" l="1"/>
  <c r="C66" i="2" s="1"/>
  <c r="C67" i="2" s="1"/>
  <c r="C68" i="2" s="1"/>
  <c r="H65" i="2"/>
  <c r="F65" i="2"/>
  <c r="B11" i="2"/>
  <c r="B66" i="2"/>
  <c r="C69" i="2" l="1"/>
  <c r="B67" i="2"/>
  <c r="F66" i="2"/>
  <c r="F67" i="2" s="1"/>
  <c r="C14" i="2"/>
  <c r="C15" i="2" s="1"/>
  <c r="B12" i="2"/>
  <c r="C70" i="2" l="1"/>
  <c r="B68" i="2"/>
  <c r="B13" i="2"/>
  <c r="F68" i="2"/>
  <c r="B14" i="2" l="1"/>
  <c r="F69" i="2"/>
  <c r="B69" i="2"/>
  <c r="B15" i="2" l="1"/>
  <c r="F70" i="2"/>
  <c r="B70" i="2"/>
  <c r="B16" i="2" l="1"/>
  <c r="F71" i="2"/>
  <c r="B71" i="2"/>
  <c r="B17" i="2" l="1"/>
  <c r="F72" i="2"/>
  <c r="B72" i="2"/>
  <c r="B73" i="2" l="1"/>
  <c r="B18" i="2"/>
  <c r="F73" i="2"/>
  <c r="B19" i="2" l="1"/>
  <c r="B74" i="2"/>
  <c r="F74" i="2"/>
  <c r="B20" i="2" l="1"/>
  <c r="F75" i="2"/>
  <c r="B75" i="2"/>
  <c r="B76" i="2" l="1"/>
  <c r="B21" i="2"/>
  <c r="F76" i="2"/>
  <c r="B22" i="2" l="1"/>
  <c r="F77" i="2"/>
  <c r="B77" i="2"/>
  <c r="B23" i="2" l="1"/>
  <c r="F78" i="2"/>
  <c r="B78" i="2"/>
  <c r="B79" i="2" l="1"/>
  <c r="B24" i="2"/>
  <c r="F79" i="2"/>
  <c r="B25" i="2" l="1"/>
  <c r="F80" i="2"/>
  <c r="B80" i="2"/>
  <c r="B81" i="2" l="1"/>
  <c r="B26" i="2"/>
  <c r="F81" i="2"/>
  <c r="B27" i="2" l="1"/>
  <c r="F82" i="2"/>
  <c r="B82" i="2"/>
  <c r="B83" i="2" l="1"/>
  <c r="B28" i="2"/>
  <c r="F83" i="2"/>
  <c r="B29" i="2" l="1"/>
  <c r="F84" i="2"/>
  <c r="B84" i="2"/>
  <c r="B85" i="2" l="1"/>
  <c r="B30" i="2"/>
  <c r="F85" i="2"/>
  <c r="B31" i="2" l="1"/>
  <c r="F86" i="2"/>
  <c r="B86" i="2"/>
  <c r="B87" i="2" l="1"/>
  <c r="B32" i="2"/>
  <c r="F87" i="2"/>
  <c r="B33" i="2" l="1"/>
  <c r="F88" i="2"/>
  <c r="B88" i="2"/>
  <c r="B89" i="2" l="1"/>
  <c r="B34" i="2"/>
  <c r="F89" i="2"/>
  <c r="B35" i="2" l="1"/>
  <c r="B90" i="2"/>
  <c r="B36" i="2" l="1"/>
  <c r="B91" i="2"/>
  <c r="F90" i="2"/>
  <c r="F111" i="2" l="1"/>
  <c r="B92" i="2"/>
  <c r="F91" i="2"/>
  <c r="B37" i="2"/>
  <c r="F92" i="2" l="1"/>
  <c r="F93" i="2" s="1"/>
  <c r="B38" i="2"/>
  <c r="B93" i="2"/>
  <c r="B94" i="2" l="1"/>
  <c r="B39" i="2"/>
  <c r="F94" i="2"/>
  <c r="B95" i="2" l="1"/>
  <c r="B40" i="2"/>
  <c r="F95" i="2"/>
  <c r="B41" i="2" l="1"/>
  <c r="F96" i="2"/>
  <c r="B96" i="2"/>
  <c r="B97" i="2" l="1"/>
  <c r="B42" i="2"/>
  <c r="F97" i="2"/>
  <c r="B43" i="2" l="1"/>
  <c r="F98" i="2"/>
  <c r="B98" i="2"/>
  <c r="B99" i="2" l="1"/>
  <c r="B44" i="2"/>
  <c r="F99" i="2"/>
  <c r="B45" i="2" l="1"/>
  <c r="F100" i="2"/>
  <c r="B100" i="2"/>
  <c r="B101" i="2" l="1"/>
  <c r="B46" i="2"/>
  <c r="F101" i="2"/>
  <c r="B47" i="2" l="1"/>
  <c r="F102" i="2"/>
  <c r="B102" i="2"/>
  <c r="B103" i="2" l="1"/>
  <c r="B48" i="2"/>
  <c r="F103" i="2"/>
  <c r="B104" i="2" l="1"/>
  <c r="B49" i="2"/>
  <c r="F104" i="2"/>
  <c r="B105" i="2" l="1"/>
  <c r="B50" i="2"/>
  <c r="F105" i="2"/>
  <c r="B106" i="2" l="1"/>
  <c r="B51" i="2"/>
  <c r="F106" i="2"/>
  <c r="B107" i="2" l="1"/>
  <c r="B52" i="2"/>
  <c r="F107" i="2"/>
  <c r="B108" i="2" l="1"/>
  <c r="B53" i="2"/>
  <c r="F108" i="2"/>
  <c r="F109" i="2" l="1"/>
  <c r="B54" i="2"/>
  <c r="B109" i="2"/>
  <c r="B110" i="2" l="1"/>
  <c r="F110" i="2" l="1"/>
  <c r="F113" i="2" l="1"/>
  <c r="D14" i="4"/>
  <c r="D15" i="4" s="1"/>
  <c r="D16" i="4" s="1"/>
  <c r="D17" i="4" s="1"/>
  <c r="D18" i="4" s="1"/>
  <c r="D19" i="4" s="1"/>
  <c r="D20" i="4" s="1"/>
  <c r="D21" i="4" s="1"/>
  <c r="D22" i="4" s="1"/>
  <c r="D23" i="4" s="1"/>
  <c r="D24" i="4" s="1"/>
  <c r="D25" i="4" s="1"/>
  <c r="D26" i="4" s="1"/>
  <c r="D27" i="4" s="1"/>
  <c r="D28" i="4" s="1"/>
  <c r="D29" i="4" s="1"/>
  <c r="D30" i="4" s="1"/>
  <c r="D31" i="4" s="1"/>
  <c r="D32" i="4" s="1"/>
  <c r="D33" i="4" s="1"/>
  <c r="D34" i="4" s="1"/>
  <c r="D35" i="4" s="1"/>
  <c r="D36" i="4" s="1"/>
  <c r="D37" i="4" s="1"/>
  <c r="D38" i="4" s="1"/>
  <c r="D39" i="4" s="1"/>
  <c r="D40" i="4" s="1"/>
  <c r="D41" i="4" s="1"/>
  <c r="D42" i="4" s="1"/>
  <c r="D43" i="4" s="1"/>
  <c r="D44" i="4" s="1"/>
  <c r="D45" i="4" s="1"/>
  <c r="D46" i="4" s="1"/>
  <c r="D47" i="4" s="1"/>
  <c r="D48" i="4" s="1"/>
  <c r="D49" i="4" s="1"/>
  <c r="D50" i="4" s="1"/>
  <c r="D51" i="4" s="1"/>
  <c r="D52" i="4" s="1"/>
  <c r="D53" i="4" s="1"/>
  <c r="D54" i="4" s="1"/>
  <c r="C16" i="1" l="1"/>
  <c r="C17" i="1"/>
  <c r="E17" i="1"/>
  <c r="E16" i="1"/>
  <c r="B6" i="4" l="1"/>
  <c r="B7" i="4" s="1"/>
  <c r="C5" i="4"/>
  <c r="D5" i="4"/>
  <c r="B61" i="4"/>
  <c r="B62" i="4" s="1"/>
  <c r="E5" i="4"/>
  <c r="E16" i="2"/>
  <c r="E17" i="2" s="1"/>
  <c r="E18" i="2" s="1"/>
  <c r="E19" i="2" s="1"/>
  <c r="E20" i="2" s="1"/>
  <c r="E21" i="2" s="1"/>
  <c r="E22" i="2" s="1"/>
  <c r="E23" i="2" s="1"/>
  <c r="E24" i="2" s="1"/>
  <c r="E25" i="2" s="1"/>
  <c r="E26" i="2" s="1"/>
  <c r="E27" i="2" s="1"/>
  <c r="E28" i="2" s="1"/>
  <c r="E29" i="2" s="1"/>
  <c r="E30" i="2" s="1"/>
  <c r="E31" i="2" s="1"/>
  <c r="E32" i="2" s="1"/>
  <c r="E33" i="2" s="1"/>
  <c r="E34" i="2" s="1"/>
  <c r="E35" i="2" s="1"/>
  <c r="E36" i="2" s="1"/>
  <c r="E37" i="2" s="1"/>
  <c r="E38" i="2" s="1"/>
  <c r="E39" i="2" s="1"/>
  <c r="E40" i="2" s="1"/>
  <c r="E41" i="2" s="1"/>
  <c r="E42" i="2" s="1"/>
  <c r="E43" i="2" s="1"/>
  <c r="E44" i="2" s="1"/>
  <c r="E45" i="2" s="1"/>
  <c r="E46" i="2" s="1"/>
  <c r="E47" i="2" s="1"/>
  <c r="E48" i="2" s="1"/>
  <c r="E49" i="2" s="1"/>
  <c r="E50" i="2" s="1"/>
  <c r="E51" i="2" s="1"/>
  <c r="E52" i="2" s="1"/>
  <c r="E53" i="2" s="1"/>
  <c r="E54" i="2" s="1"/>
  <c r="E71" i="2"/>
  <c r="C16" i="2"/>
  <c r="C17" i="2" s="1"/>
  <c r="C18" i="2" s="1"/>
  <c r="C19" i="2" s="1"/>
  <c r="C20" i="2" s="1"/>
  <c r="C21" i="2" s="1"/>
  <c r="C22" i="2" s="1"/>
  <c r="C23" i="2" s="1"/>
  <c r="C24" i="2" s="1"/>
  <c r="C25" i="2" s="1"/>
  <c r="C26" i="2" s="1"/>
  <c r="C27" i="2" s="1"/>
  <c r="C28" i="2" s="1"/>
  <c r="C29" i="2" s="1"/>
  <c r="C30" i="2" s="1"/>
  <c r="C31" i="2" s="1"/>
  <c r="C32" i="2" s="1"/>
  <c r="C33" i="2" s="1"/>
  <c r="C34" i="2" s="1"/>
  <c r="C35" i="2" s="1"/>
  <c r="C36" i="2" s="1"/>
  <c r="C37" i="2" s="1"/>
  <c r="C38" i="2" s="1"/>
  <c r="C39" i="2" s="1"/>
  <c r="C40" i="2" s="1"/>
  <c r="C41" i="2" s="1"/>
  <c r="C42" i="2" s="1"/>
  <c r="C43" i="2" s="1"/>
  <c r="C44" i="2" s="1"/>
  <c r="C45" i="2" s="1"/>
  <c r="C46" i="2" s="1"/>
  <c r="C47" i="2" s="1"/>
  <c r="C48" i="2" s="1"/>
  <c r="C49" i="2" s="1"/>
  <c r="C50" i="2" s="1"/>
  <c r="C51" i="2" s="1"/>
  <c r="C52" i="2" s="1"/>
  <c r="C53" i="2" s="1"/>
  <c r="C54" i="2" s="1"/>
  <c r="C71" i="2"/>
  <c r="D6" i="4" l="1"/>
  <c r="D61" i="4"/>
  <c r="C61" i="4"/>
  <c r="C6" i="4"/>
  <c r="E61" i="4"/>
  <c r="E6" i="4"/>
  <c r="B63" i="4"/>
  <c r="D12" i="2"/>
  <c r="D14" i="2" s="1"/>
  <c r="D15" i="2" s="1"/>
  <c r="D16" i="2" s="1"/>
  <c r="D17" i="2" s="1"/>
  <c r="D18" i="2" s="1"/>
  <c r="D19" i="2" s="1"/>
  <c r="D20" i="2" s="1"/>
  <c r="D21" i="2" s="1"/>
  <c r="D22" i="2" s="1"/>
  <c r="D23" i="2" s="1"/>
  <c r="D24" i="2" s="1"/>
  <c r="D25" i="2" s="1"/>
  <c r="D26" i="2" s="1"/>
  <c r="D27" i="2" s="1"/>
  <c r="D28" i="2" s="1"/>
  <c r="D29" i="2" s="1"/>
  <c r="D30" i="2" s="1"/>
  <c r="D31" i="2" s="1"/>
  <c r="D32" i="2" s="1"/>
  <c r="D33" i="2" s="1"/>
  <c r="D34" i="2" s="1"/>
  <c r="D35" i="2" s="1"/>
  <c r="D36" i="2" s="1"/>
  <c r="D37" i="2" s="1"/>
  <c r="D38" i="2" s="1"/>
  <c r="D39" i="2" s="1"/>
  <c r="D40" i="2" s="1"/>
  <c r="D41" i="2" s="1"/>
  <c r="D42" i="2" s="1"/>
  <c r="D43" i="2" s="1"/>
  <c r="D44" i="2" s="1"/>
  <c r="D45" i="2" s="1"/>
  <c r="D46" i="2" s="1"/>
  <c r="D47" i="2" s="1"/>
  <c r="D48" i="2" s="1"/>
  <c r="D49" i="2" s="1"/>
  <c r="D50" i="2" s="1"/>
  <c r="D51" i="2" s="1"/>
  <c r="D52" i="2" s="1"/>
  <c r="D53" i="2" s="1"/>
  <c r="D54" i="2" s="1"/>
  <c r="D66" i="2"/>
  <c r="H66" i="2"/>
  <c r="E72" i="2"/>
  <c r="E73" i="2" s="1"/>
  <c r="E74" i="2" s="1"/>
  <c r="E75" i="2" s="1"/>
  <c r="E76" i="2" s="1"/>
  <c r="E77" i="2" s="1"/>
  <c r="E78" i="2" s="1"/>
  <c r="E79" i="2" s="1"/>
  <c r="E80" i="2" s="1"/>
  <c r="E81" i="2" s="1"/>
  <c r="E82" i="2" s="1"/>
  <c r="E83" i="2" s="1"/>
  <c r="E84" i="2" s="1"/>
  <c r="E85" i="2" s="1"/>
  <c r="E86" i="2" s="1"/>
  <c r="E87" i="2" s="1"/>
  <c r="E88" i="2" s="1"/>
  <c r="E89" i="2" s="1"/>
  <c r="E90" i="2" s="1"/>
  <c r="I71" i="2"/>
  <c r="I72" i="2" s="1"/>
  <c r="I73" i="2" s="1"/>
  <c r="I74" i="2" s="1"/>
  <c r="I75" i="2" s="1"/>
  <c r="I76" i="2" s="1"/>
  <c r="I77" i="2" s="1"/>
  <c r="I78" i="2" s="1"/>
  <c r="I79" i="2" s="1"/>
  <c r="I80" i="2" s="1"/>
  <c r="I81" i="2" s="1"/>
  <c r="I82" i="2" s="1"/>
  <c r="I83" i="2" s="1"/>
  <c r="I84" i="2" s="1"/>
  <c r="I85" i="2" s="1"/>
  <c r="I86" i="2" s="1"/>
  <c r="I87" i="2" s="1"/>
  <c r="I88" i="2" s="1"/>
  <c r="I89" i="2" s="1"/>
  <c r="I90" i="2" s="1"/>
  <c r="C72" i="2"/>
  <c r="C73" i="2" s="1"/>
  <c r="C74" i="2" s="1"/>
  <c r="C75" i="2" s="1"/>
  <c r="C76" i="2" s="1"/>
  <c r="C77" i="2" s="1"/>
  <c r="C78" i="2" s="1"/>
  <c r="C79" i="2" s="1"/>
  <c r="C80" i="2" s="1"/>
  <c r="C81" i="2" s="1"/>
  <c r="C82" i="2" s="1"/>
  <c r="C83" i="2" s="1"/>
  <c r="C84" i="2" s="1"/>
  <c r="C85" i="2" s="1"/>
  <c r="C86" i="2" s="1"/>
  <c r="C87" i="2" s="1"/>
  <c r="C88" i="2" s="1"/>
  <c r="C89" i="2" s="1"/>
  <c r="C90" i="2" s="1"/>
  <c r="G71" i="2"/>
  <c r="G72" i="2" s="1"/>
  <c r="G73" i="2" s="1"/>
  <c r="G74" i="2" s="1"/>
  <c r="G75" i="2" s="1"/>
  <c r="G76" i="2" s="1"/>
  <c r="G77" i="2" s="1"/>
  <c r="G78" i="2" s="1"/>
  <c r="G79" i="2" s="1"/>
  <c r="G80" i="2" s="1"/>
  <c r="G81" i="2" s="1"/>
  <c r="G82" i="2" s="1"/>
  <c r="G83" i="2" s="1"/>
  <c r="G84" i="2" s="1"/>
  <c r="G85" i="2" s="1"/>
  <c r="G86" i="2" s="1"/>
  <c r="G87" i="2" s="1"/>
  <c r="G88" i="2" s="1"/>
  <c r="G89" i="2" s="1"/>
  <c r="G90" i="2" s="1"/>
  <c r="D67" i="2" l="1"/>
  <c r="D68" i="2" s="1"/>
  <c r="D69" i="2" s="1"/>
  <c r="D70" i="2" s="1"/>
  <c r="D71" i="2" s="1"/>
  <c r="D72" i="2" s="1"/>
  <c r="D73" i="2" s="1"/>
  <c r="D74" i="2" s="1"/>
  <c r="D75" i="2" s="1"/>
  <c r="D76" i="2" s="1"/>
  <c r="D77" i="2" s="1"/>
  <c r="D78" i="2" s="1"/>
  <c r="D79" i="2" s="1"/>
  <c r="D80" i="2" s="1"/>
  <c r="D81" i="2" s="1"/>
  <c r="D82" i="2" s="1"/>
  <c r="D83" i="2" s="1"/>
  <c r="D84" i="2" s="1"/>
  <c r="D85" i="2" s="1"/>
  <c r="D86" i="2" s="1"/>
  <c r="D87" i="2" s="1"/>
  <c r="D88" i="2" s="1"/>
  <c r="D89" i="2" s="1"/>
  <c r="D90" i="2" s="1"/>
  <c r="D91" i="2" s="1"/>
  <c r="D92" i="2" s="1"/>
  <c r="D93" i="2" s="1"/>
  <c r="D94" i="2" s="1"/>
  <c r="D95" i="2" s="1"/>
  <c r="D96" i="2" s="1"/>
  <c r="D97" i="2" s="1"/>
  <c r="D98" i="2" s="1"/>
  <c r="D99" i="2" s="1"/>
  <c r="D100" i="2" s="1"/>
  <c r="D101" i="2" s="1"/>
  <c r="D102" i="2" s="1"/>
  <c r="D103" i="2" s="1"/>
  <c r="D104" i="2" s="1"/>
  <c r="D105" i="2" s="1"/>
  <c r="D106" i="2" s="1"/>
  <c r="D107" i="2" s="1"/>
  <c r="D108" i="2" s="1"/>
  <c r="D109" i="2" s="1"/>
  <c r="D110" i="2" s="1"/>
  <c r="D113" i="2" s="1"/>
  <c r="B9" i="4"/>
  <c r="B64" i="4"/>
  <c r="C62" i="4"/>
  <c r="C7" i="4"/>
  <c r="E7" i="4"/>
  <c r="E62" i="4"/>
  <c r="D62" i="4"/>
  <c r="D7" i="4"/>
  <c r="H67" i="2"/>
  <c r="H68" i="2" s="1"/>
  <c r="H69" i="2" s="1"/>
  <c r="H70" i="2" s="1"/>
  <c r="H71" i="2" s="1"/>
  <c r="H72" i="2" s="1"/>
  <c r="H73" i="2" s="1"/>
  <c r="H74" i="2" s="1"/>
  <c r="H75" i="2" s="1"/>
  <c r="H76" i="2" s="1"/>
  <c r="H77" i="2" s="1"/>
  <c r="H78" i="2" s="1"/>
  <c r="H79" i="2" s="1"/>
  <c r="H80" i="2" s="1"/>
  <c r="H81" i="2" s="1"/>
  <c r="H82" i="2" s="1"/>
  <c r="H83" i="2" s="1"/>
  <c r="H84" i="2" s="1"/>
  <c r="H85" i="2" s="1"/>
  <c r="H86" i="2" s="1"/>
  <c r="H87" i="2" s="1"/>
  <c r="H88" i="2" s="1"/>
  <c r="H89" i="2" s="1"/>
  <c r="H90" i="2" s="1"/>
  <c r="I91" i="2"/>
  <c r="I112" i="2"/>
  <c r="E91" i="2"/>
  <c r="E92" i="2" s="1"/>
  <c r="E93" i="2" s="1"/>
  <c r="E94" i="2" s="1"/>
  <c r="E95" i="2" s="1"/>
  <c r="E96" i="2" s="1"/>
  <c r="E97" i="2" s="1"/>
  <c r="E98" i="2" s="1"/>
  <c r="E99" i="2" s="1"/>
  <c r="E100" i="2" s="1"/>
  <c r="E101" i="2" s="1"/>
  <c r="E102" i="2" s="1"/>
  <c r="E103" i="2" s="1"/>
  <c r="E104" i="2" s="1"/>
  <c r="E105" i="2" s="1"/>
  <c r="E106" i="2" s="1"/>
  <c r="E107" i="2" s="1"/>
  <c r="E108" i="2" s="1"/>
  <c r="E109" i="2" s="1"/>
  <c r="E110" i="2" s="1"/>
  <c r="E113" i="2" s="1"/>
  <c r="E111" i="2"/>
  <c r="G91" i="2"/>
  <c r="G112" i="2"/>
  <c r="C91" i="2"/>
  <c r="C92" i="2" s="1"/>
  <c r="C93" i="2" s="1"/>
  <c r="C94" i="2" s="1"/>
  <c r="C95" i="2" s="1"/>
  <c r="C96" i="2" s="1"/>
  <c r="C97" i="2" s="1"/>
  <c r="C98" i="2" s="1"/>
  <c r="C99" i="2" s="1"/>
  <c r="C100" i="2" s="1"/>
  <c r="C101" i="2" s="1"/>
  <c r="C102" i="2" s="1"/>
  <c r="C103" i="2" s="1"/>
  <c r="C104" i="2" s="1"/>
  <c r="C105" i="2" s="1"/>
  <c r="C106" i="2" s="1"/>
  <c r="C107" i="2" s="1"/>
  <c r="C108" i="2" s="1"/>
  <c r="C109" i="2" s="1"/>
  <c r="C110" i="2" s="1"/>
  <c r="C113" i="2" s="1"/>
  <c r="C111" i="2"/>
  <c r="K93" i="2" l="1"/>
  <c r="D111" i="2"/>
  <c r="D63" i="4"/>
  <c r="C63" i="4"/>
  <c r="E63" i="4"/>
  <c r="B65" i="4"/>
  <c r="B10" i="4"/>
  <c r="G92" i="2"/>
  <c r="G93" i="2" s="1"/>
  <c r="G94" i="2" s="1"/>
  <c r="G95" i="2" s="1"/>
  <c r="G96" i="2" s="1"/>
  <c r="G97" i="2" s="1"/>
  <c r="G98" i="2" s="1"/>
  <c r="G99" i="2" s="1"/>
  <c r="G100" i="2" s="1"/>
  <c r="G101" i="2" s="1"/>
  <c r="G102" i="2" s="1"/>
  <c r="G103" i="2" s="1"/>
  <c r="G104" i="2" s="1"/>
  <c r="G105" i="2" s="1"/>
  <c r="G106" i="2" s="1"/>
  <c r="G107" i="2" s="1"/>
  <c r="G108" i="2" s="1"/>
  <c r="G109" i="2" s="1"/>
  <c r="G110" i="2" s="1"/>
  <c r="G114" i="2" s="1"/>
  <c r="G111" i="2"/>
  <c r="I92" i="2"/>
  <c r="I93" i="2" s="1"/>
  <c r="I94" i="2" s="1"/>
  <c r="I95" i="2" s="1"/>
  <c r="I96" i="2" s="1"/>
  <c r="I97" i="2" s="1"/>
  <c r="I98" i="2" s="1"/>
  <c r="I99" i="2" s="1"/>
  <c r="I100" i="2" s="1"/>
  <c r="I101" i="2" s="1"/>
  <c r="I102" i="2" s="1"/>
  <c r="I103" i="2" s="1"/>
  <c r="I104" i="2" s="1"/>
  <c r="I105" i="2" s="1"/>
  <c r="I106" i="2" s="1"/>
  <c r="I107" i="2" s="1"/>
  <c r="I108" i="2" s="1"/>
  <c r="I109" i="2" s="1"/>
  <c r="I110" i="2" s="1"/>
  <c r="I114" i="2" s="1"/>
  <c r="I111" i="2"/>
  <c r="H91" i="2"/>
  <c r="K92" i="2" s="1"/>
  <c r="H112" i="2"/>
  <c r="B11" i="4" l="1"/>
  <c r="B66" i="4"/>
  <c r="C64" i="4"/>
  <c r="C9" i="4"/>
  <c r="E9" i="4"/>
  <c r="E64" i="4"/>
  <c r="D9" i="4"/>
  <c r="D10" i="4" s="1"/>
  <c r="D11" i="4" s="1"/>
  <c r="D12" i="4" s="1"/>
  <c r="D64" i="4"/>
  <c r="H92" i="2"/>
  <c r="H93" i="2" s="1"/>
  <c r="H94" i="2" s="1"/>
  <c r="H95" i="2" s="1"/>
  <c r="H96" i="2" s="1"/>
  <c r="H97" i="2" s="1"/>
  <c r="H98" i="2" s="1"/>
  <c r="H99" i="2" s="1"/>
  <c r="H100" i="2" s="1"/>
  <c r="H101" i="2" s="1"/>
  <c r="H102" i="2" s="1"/>
  <c r="H103" i="2" s="1"/>
  <c r="H104" i="2" s="1"/>
  <c r="H105" i="2" s="1"/>
  <c r="H106" i="2" s="1"/>
  <c r="H107" i="2" s="1"/>
  <c r="H108" i="2" s="1"/>
  <c r="H109" i="2" s="1"/>
  <c r="H110" i="2" s="1"/>
  <c r="H114" i="2" s="1"/>
  <c r="H111" i="2"/>
  <c r="D65" i="4" l="1"/>
  <c r="D66" i="4" s="1"/>
  <c r="D67" i="4" s="1"/>
  <c r="D68" i="4" s="1"/>
  <c r="D69" i="4" s="1"/>
  <c r="D70" i="4" s="1"/>
  <c r="D71" i="4" s="1"/>
  <c r="D72" i="4" s="1"/>
  <c r="D73" i="4" s="1"/>
  <c r="D74" i="4" s="1"/>
  <c r="D75" i="4" s="1"/>
  <c r="D76" i="4" s="1"/>
  <c r="D77" i="4" s="1"/>
  <c r="D78" i="4" s="1"/>
  <c r="D79" i="4" s="1"/>
  <c r="D80" i="4" s="1"/>
  <c r="D81" i="4" s="1"/>
  <c r="D82" i="4" s="1"/>
  <c r="D83" i="4" s="1"/>
  <c r="D84" i="4" s="1"/>
  <c r="D85" i="4" s="1"/>
  <c r="D86" i="4" s="1"/>
  <c r="D87" i="4" s="1"/>
  <c r="D88" i="4" s="1"/>
  <c r="D89" i="4" s="1"/>
  <c r="D90" i="4" s="1"/>
  <c r="D91" i="4" s="1"/>
  <c r="D92" i="4" s="1"/>
  <c r="D93" i="4" s="1"/>
  <c r="D94" i="4" s="1"/>
  <c r="D95" i="4" s="1"/>
  <c r="D96" i="4" s="1"/>
  <c r="D97" i="4" s="1"/>
  <c r="D98" i="4" s="1"/>
  <c r="D99" i="4" s="1"/>
  <c r="D100" i="4" s="1"/>
  <c r="D101" i="4" s="1"/>
  <c r="D102" i="4" s="1"/>
  <c r="D103" i="4" s="1"/>
  <c r="D104" i="4" s="1"/>
  <c r="D105" i="4" s="1"/>
  <c r="D106" i="4" s="1"/>
  <c r="D107" i="4" s="1"/>
  <c r="D108" i="4" s="1"/>
  <c r="D109" i="4" s="1"/>
  <c r="D110" i="4" s="1"/>
  <c r="C65" i="4"/>
  <c r="C10" i="4"/>
  <c r="E65" i="4"/>
  <c r="E10" i="4"/>
  <c r="B12" i="4"/>
  <c r="B67" i="4"/>
  <c r="E66" i="4" l="1"/>
  <c r="E11" i="4"/>
  <c r="C66" i="4"/>
  <c r="C11" i="4"/>
  <c r="B68" i="4"/>
  <c r="B13" i="4"/>
  <c r="C67" i="4" l="1"/>
  <c r="C12" i="4"/>
  <c r="B69" i="4"/>
  <c r="B14" i="4"/>
  <c r="E67" i="4"/>
  <c r="E12" i="4"/>
  <c r="E68" i="4" l="1"/>
  <c r="B70" i="4"/>
  <c r="B15" i="4"/>
  <c r="C68" i="4"/>
  <c r="B71" i="4" l="1"/>
  <c r="B16" i="4"/>
  <c r="E69" i="4"/>
  <c r="E14" i="4"/>
  <c r="E15" i="4" s="1"/>
  <c r="E16" i="4" s="1"/>
  <c r="E17" i="4" s="1"/>
  <c r="E18" i="4" s="1"/>
  <c r="E19" i="4" s="1"/>
  <c r="E20" i="4" s="1"/>
  <c r="E21" i="4" s="1"/>
  <c r="E22" i="4" s="1"/>
  <c r="E23" i="4" s="1"/>
  <c r="E24" i="4" s="1"/>
  <c r="E25" i="4" s="1"/>
  <c r="E26" i="4" s="1"/>
  <c r="E27" i="4" s="1"/>
  <c r="E28" i="4" s="1"/>
  <c r="E29" i="4" s="1"/>
  <c r="E30" i="4" s="1"/>
  <c r="E31" i="4" s="1"/>
  <c r="E32" i="4" s="1"/>
  <c r="E33" i="4" s="1"/>
  <c r="E34" i="4" s="1"/>
  <c r="C69" i="4"/>
  <c r="C14" i="4"/>
  <c r="C15" i="4" s="1"/>
  <c r="C16" i="4" s="1"/>
  <c r="C17" i="4" s="1"/>
  <c r="C18" i="4" s="1"/>
  <c r="C19" i="4" s="1"/>
  <c r="C20" i="4" s="1"/>
  <c r="C21" i="4" s="1"/>
  <c r="C22" i="4" s="1"/>
  <c r="C23" i="4" s="1"/>
  <c r="C24" i="4" s="1"/>
  <c r="C25" i="4" s="1"/>
  <c r="C26" i="4" s="1"/>
  <c r="C27" i="4" s="1"/>
  <c r="C28" i="4" s="1"/>
  <c r="C29" i="4" s="1"/>
  <c r="C30" i="4" s="1"/>
  <c r="C31" i="4" s="1"/>
  <c r="C32" i="4" s="1"/>
  <c r="C33" i="4" s="1"/>
  <c r="C34" i="4" s="1"/>
  <c r="C35" i="4" s="1"/>
  <c r="E70" i="4" l="1"/>
  <c r="E71" i="4" s="1"/>
  <c r="E72" i="4" s="1"/>
  <c r="E73" i="4" s="1"/>
  <c r="E74" i="4" s="1"/>
  <c r="E75" i="4" s="1"/>
  <c r="E76" i="4" s="1"/>
  <c r="E77" i="4" s="1"/>
  <c r="E78" i="4" s="1"/>
  <c r="E79" i="4" s="1"/>
  <c r="E80" i="4" s="1"/>
  <c r="E81" i="4" s="1"/>
  <c r="E82" i="4" s="1"/>
  <c r="E83" i="4" s="1"/>
  <c r="E84" i="4" s="1"/>
  <c r="E85" i="4" s="1"/>
  <c r="E86" i="4" s="1"/>
  <c r="E87" i="4" s="1"/>
  <c r="E88" i="4" s="1"/>
  <c r="E89" i="4" s="1"/>
  <c r="E90" i="4" s="1"/>
  <c r="C70" i="4"/>
  <c r="C71" i="4" s="1"/>
  <c r="C72" i="4" s="1"/>
  <c r="C73" i="4" s="1"/>
  <c r="C74" i="4" s="1"/>
  <c r="C75" i="4" s="1"/>
  <c r="C76" i="4" s="1"/>
  <c r="C77" i="4" s="1"/>
  <c r="C78" i="4" s="1"/>
  <c r="C79" i="4" s="1"/>
  <c r="C80" i="4" s="1"/>
  <c r="C81" i="4" s="1"/>
  <c r="C82" i="4" s="1"/>
  <c r="C83" i="4" s="1"/>
  <c r="C84" i="4" s="1"/>
  <c r="C85" i="4" s="1"/>
  <c r="C86" i="4" s="1"/>
  <c r="C87" i="4" s="1"/>
  <c r="C88" i="4" s="1"/>
  <c r="C89" i="4" s="1"/>
  <c r="C90" i="4" s="1"/>
  <c r="C91" i="4" s="1"/>
  <c r="B17" i="4"/>
  <c r="B72" i="4"/>
  <c r="E35" i="4"/>
  <c r="C36" i="4"/>
  <c r="B18" i="4" l="1"/>
  <c r="B73" i="4"/>
  <c r="E91" i="4"/>
  <c r="E36" i="4"/>
  <c r="C92" i="4"/>
  <c r="C37" i="4"/>
  <c r="B74" i="4" l="1"/>
  <c r="B19" i="4"/>
  <c r="E92" i="4"/>
  <c r="E37" i="4"/>
  <c r="C93" i="4"/>
  <c r="C38" i="4"/>
  <c r="B20" i="4" l="1"/>
  <c r="B75" i="4"/>
  <c r="E93" i="4"/>
  <c r="E38" i="4"/>
  <c r="C94" i="4"/>
  <c r="C39" i="4"/>
  <c r="B76" i="4" l="1"/>
  <c r="B21" i="4"/>
  <c r="E94" i="4"/>
  <c r="E39" i="4"/>
  <c r="C40" i="4"/>
  <c r="C95" i="4"/>
  <c r="B77" i="4" l="1"/>
  <c r="B22" i="4"/>
  <c r="E95" i="4"/>
  <c r="E40" i="4"/>
  <c r="C96" i="4"/>
  <c r="C41" i="4"/>
  <c r="B78" i="4" l="1"/>
  <c r="B23" i="4"/>
  <c r="E96" i="4"/>
  <c r="E41" i="4"/>
  <c r="C97" i="4"/>
  <c r="C42" i="4"/>
  <c r="B24" i="4" l="1"/>
  <c r="B79" i="4"/>
  <c r="E97" i="4"/>
  <c r="E42" i="4"/>
  <c r="C98" i="4"/>
  <c r="C43" i="4"/>
  <c r="B80" i="4" l="1"/>
  <c r="B25" i="4"/>
  <c r="E98" i="4"/>
  <c r="E43" i="4"/>
  <c r="C99" i="4"/>
  <c r="C44" i="4"/>
  <c r="B26" i="4" l="1"/>
  <c r="B81" i="4"/>
  <c r="E99" i="4"/>
  <c r="E44" i="4"/>
  <c r="C100" i="4"/>
  <c r="C45" i="4"/>
  <c r="B82" i="4" l="1"/>
  <c r="B27" i="4"/>
  <c r="E100" i="4"/>
  <c r="E45" i="4"/>
  <c r="C101" i="4"/>
  <c r="C46" i="4"/>
  <c r="B28" i="4" l="1"/>
  <c r="B83" i="4"/>
  <c r="E101" i="4"/>
  <c r="E46" i="4"/>
  <c r="C102" i="4"/>
  <c r="C47" i="4"/>
  <c r="B29" i="4" l="1"/>
  <c r="B84" i="4"/>
  <c r="E102" i="4"/>
  <c r="E47" i="4"/>
  <c r="C103" i="4"/>
  <c r="C48" i="4"/>
  <c r="B85" i="4" l="1"/>
  <c r="B30" i="4"/>
  <c r="E103" i="4"/>
  <c r="E48" i="4"/>
  <c r="C104" i="4"/>
  <c r="C49" i="4"/>
  <c r="B31" i="4" l="1"/>
  <c r="B86" i="4"/>
  <c r="E104" i="4"/>
  <c r="E49" i="4"/>
  <c r="C105" i="4"/>
  <c r="C50" i="4"/>
  <c r="B32" i="4" l="1"/>
  <c r="B87" i="4"/>
  <c r="E105" i="4"/>
  <c r="E50" i="4"/>
  <c r="C51" i="4"/>
  <c r="C106" i="4"/>
  <c r="B88" i="4" l="1"/>
  <c r="B33" i="4"/>
  <c r="E106" i="4"/>
  <c r="E51" i="4"/>
  <c r="C107" i="4"/>
  <c r="C52" i="4"/>
  <c r="B89" i="4" l="1"/>
  <c r="B34" i="4"/>
  <c r="E107" i="4"/>
  <c r="E52" i="4"/>
  <c r="C108" i="4"/>
  <c r="C53" i="4"/>
  <c r="B90" i="4" l="1"/>
  <c r="B35" i="4"/>
  <c r="E108" i="4"/>
  <c r="E53" i="4"/>
  <c r="C109" i="4"/>
  <c r="C54" i="4"/>
  <c r="B36" i="4" l="1"/>
  <c r="B91" i="4"/>
  <c r="K90" i="4"/>
  <c r="K91" i="4" s="1"/>
  <c r="F111" i="4"/>
  <c r="D111" i="4"/>
  <c r="C111" i="4"/>
  <c r="E111" i="4"/>
  <c r="E109" i="4"/>
  <c r="E54" i="4"/>
  <c r="C110" i="4"/>
  <c r="B92" i="4" l="1"/>
  <c r="B37" i="4"/>
  <c r="E110" i="4"/>
  <c r="B93" i="4" l="1"/>
  <c r="B38" i="4"/>
  <c r="B94" i="4" l="1"/>
  <c r="B39" i="4"/>
  <c r="B40" i="4" l="1"/>
  <c r="B95" i="4"/>
  <c r="B96" i="4" l="1"/>
  <c r="B41" i="4"/>
  <c r="B42" i="4" l="1"/>
  <c r="B97" i="4"/>
  <c r="B98" i="4" l="1"/>
  <c r="B43" i="4"/>
  <c r="B44" i="4" l="1"/>
  <c r="B99" i="4"/>
  <c r="B100" i="4" l="1"/>
  <c r="B45" i="4"/>
  <c r="B46" i="4" l="1"/>
  <c r="B101" i="4"/>
  <c r="B102" i="4" l="1"/>
  <c r="B47" i="4"/>
  <c r="B48" i="4" l="1"/>
  <c r="B103" i="4"/>
  <c r="B49" i="4" l="1"/>
  <c r="B104" i="4"/>
  <c r="B50" i="4" l="1"/>
  <c r="B105" i="4"/>
  <c r="B51" i="4" l="1"/>
  <c r="B106" i="4"/>
  <c r="B52" i="4" l="1"/>
  <c r="B107" i="4"/>
  <c r="B108" i="4" l="1"/>
  <c r="B53" i="4"/>
  <c r="B54" i="4" l="1"/>
  <c r="B109" i="4"/>
  <c r="B110" i="4" l="1"/>
  <c r="F115" i="4" l="1"/>
  <c r="F113" i="4"/>
  <c r="D113" i="4"/>
  <c r="C113" i="4"/>
  <c r="E113" i="4"/>
  <c r="F116" i="4" l="1"/>
  <c r="U6" i="4"/>
</calcChain>
</file>

<file path=xl/comments1.xml><?xml version="1.0" encoding="utf-8"?>
<comments xmlns="http://schemas.openxmlformats.org/spreadsheetml/2006/main">
  <authors>
    <author>Eilidh Jane Forster</author>
  </authors>
  <commentList>
    <comment ref="B4" authorId="0" shapeId="0">
      <text>
        <r>
          <rPr>
            <b/>
            <sz val="9"/>
            <color indexed="81"/>
            <rFont val="Tahoma"/>
            <charset val="1"/>
          </rPr>
          <t>Eilidh Jane Forster:</t>
        </r>
        <r>
          <rPr>
            <sz val="9"/>
            <color indexed="81"/>
            <rFont val="Tahoma"/>
            <charset val="1"/>
          </rPr>
          <t xml:space="preserve">
Data is this table is pasted from calculation sheets Supplementary Information 1-4.</t>
        </r>
      </text>
    </comment>
    <comment ref="F5" authorId="0" shapeId="0">
      <text>
        <r>
          <rPr>
            <b/>
            <sz val="9"/>
            <color indexed="81"/>
            <rFont val="Tahoma"/>
            <family val="2"/>
          </rPr>
          <t>Eilidh Jane Forster:</t>
        </r>
        <r>
          <rPr>
            <sz val="9"/>
            <color indexed="81"/>
            <rFont val="Tahoma"/>
            <family val="2"/>
          </rPr>
          <t xml:space="preserve">
impact by 2050, 30 yrs</t>
        </r>
      </text>
    </comment>
    <comment ref="L5" authorId="0" shapeId="0">
      <text>
        <r>
          <rPr>
            <b/>
            <sz val="9"/>
            <color indexed="81"/>
            <rFont val="Tahoma"/>
            <family val="2"/>
          </rPr>
          <t>Eilidh Jane Forster:</t>
        </r>
        <r>
          <rPr>
            <sz val="9"/>
            <color indexed="81"/>
            <rFont val="Tahoma"/>
            <family val="2"/>
          </rPr>
          <t xml:space="preserve">
These are not really UK representative value chain shifts but generic hierarchical value chains scaled to the same size as the UK.</t>
        </r>
      </text>
    </comment>
    <comment ref="A7" authorId="0" shapeId="0">
      <text>
        <r>
          <rPr>
            <b/>
            <sz val="9"/>
            <color indexed="81"/>
            <rFont val="Tahoma"/>
            <family val="2"/>
          </rPr>
          <t>Eilidh Jane Forster:</t>
        </r>
        <r>
          <rPr>
            <sz val="9"/>
            <color indexed="81"/>
            <rFont val="Tahoma"/>
            <family val="2"/>
          </rPr>
          <t xml:space="preserve">
Update timber transport to account for increased/reduced transport due to changes in imports for the circ/hier scenarios</t>
        </r>
      </text>
    </comment>
    <comment ref="K8" authorId="0" shapeId="0">
      <text>
        <r>
          <rPr>
            <b/>
            <sz val="9"/>
            <color indexed="81"/>
            <rFont val="Tahoma"/>
            <family val="2"/>
          </rPr>
          <t>Eilidh Jane Forster:</t>
        </r>
        <r>
          <rPr>
            <sz val="9"/>
            <color indexed="81"/>
            <rFont val="Tahoma"/>
            <family val="2"/>
          </rPr>
          <t xml:space="preserve">
scope 3</t>
        </r>
      </text>
    </comment>
    <comment ref="M8" authorId="0" shapeId="0">
      <text>
        <r>
          <rPr>
            <b/>
            <sz val="9"/>
            <color indexed="81"/>
            <rFont val="Tahoma"/>
            <family val="2"/>
          </rPr>
          <t>Eilidh Jane Forster:</t>
        </r>
        <r>
          <rPr>
            <sz val="9"/>
            <color indexed="81"/>
            <rFont val="Tahoma"/>
            <family val="2"/>
          </rPr>
          <t xml:space="preserve">
scope 3</t>
        </r>
      </text>
    </comment>
    <comment ref="N8" authorId="0" shapeId="0">
      <text>
        <r>
          <rPr>
            <b/>
            <sz val="9"/>
            <color indexed="81"/>
            <rFont val="Tahoma"/>
            <family val="2"/>
          </rPr>
          <t>Eilidh Jane Forster:</t>
        </r>
        <r>
          <rPr>
            <sz val="9"/>
            <color indexed="81"/>
            <rFont val="Tahoma"/>
            <family val="2"/>
          </rPr>
          <t xml:space="preserve">
The different between total emissions (accounting for reduced energy consumption) and resins emissions, which is unchanged from baseline. </t>
        </r>
      </text>
    </comment>
    <comment ref="O8" authorId="0" shapeId="0">
      <text>
        <r>
          <rPr>
            <b/>
            <sz val="9"/>
            <color indexed="81"/>
            <rFont val="Tahoma"/>
            <family val="2"/>
          </rPr>
          <t>Eilidh Jane Forster:</t>
        </r>
        <r>
          <rPr>
            <sz val="9"/>
            <color indexed="81"/>
            <rFont val="Tahoma"/>
            <family val="2"/>
          </rPr>
          <t xml:space="preserve">
same as baseline because manufacturin gbaseline is same volume.</t>
        </r>
      </text>
    </comment>
    <comment ref="P8" authorId="0" shapeId="0">
      <text>
        <r>
          <rPr>
            <b/>
            <sz val="9"/>
            <color indexed="81"/>
            <rFont val="Tahoma"/>
            <family val="2"/>
          </rPr>
          <t>Eilidh Jane Forster:</t>
        </r>
        <r>
          <rPr>
            <sz val="9"/>
            <color indexed="81"/>
            <rFont val="Tahoma"/>
            <family val="2"/>
          </rPr>
          <t xml:space="preserve">
The different between total emissions (accounting for reduced energy consumption) and resins emissions, which is unchanged from baseline. </t>
        </r>
      </text>
    </comment>
    <comment ref="Q8" authorId="0" shapeId="0">
      <text>
        <r>
          <rPr>
            <b/>
            <sz val="9"/>
            <color indexed="81"/>
            <rFont val="Tahoma"/>
            <family val="2"/>
          </rPr>
          <t>Eilidh Jane Forster:</t>
        </r>
        <r>
          <rPr>
            <sz val="9"/>
            <color indexed="81"/>
            <rFont val="Tahoma"/>
            <family val="2"/>
          </rPr>
          <t xml:space="preserve">
assue roughly 80% of baseline because manufacturin gbaseline is about that volume.</t>
        </r>
      </text>
    </comment>
    <comment ref="G9" authorId="0" shapeId="0">
      <text>
        <r>
          <rPr>
            <b/>
            <sz val="9"/>
            <color indexed="81"/>
            <rFont val="Tahoma"/>
            <family val="2"/>
          </rPr>
          <t>Eilidh Jane Forster:</t>
        </r>
        <r>
          <rPr>
            <sz val="9"/>
            <color indexed="81"/>
            <rFont val="Tahoma"/>
            <family val="2"/>
          </rPr>
          <t xml:space="preserve">
MDF recycling cuts manufacturing emissions by 12% due to energy savings</t>
        </r>
      </text>
    </comment>
    <comment ref="A11" authorId="0" shapeId="0">
      <text>
        <r>
          <rPr>
            <b/>
            <sz val="9"/>
            <color indexed="81"/>
            <rFont val="Tahoma"/>
            <family val="2"/>
          </rPr>
          <t>Eilidh Jane Forster:</t>
        </r>
        <r>
          <rPr>
            <sz val="9"/>
            <color indexed="81"/>
            <rFont val="Tahoma"/>
            <family val="2"/>
          </rPr>
          <t xml:space="preserve">
Should the marginal energy source be the UK energy mix or a renewable fuel… instead of FF?</t>
        </r>
      </text>
    </comment>
    <comment ref="C11" authorId="0" shapeId="0">
      <text>
        <r>
          <rPr>
            <b/>
            <sz val="9"/>
            <color indexed="81"/>
            <rFont val="Tahoma"/>
            <family val="2"/>
          </rPr>
          <t>Eilidh Jane Forster:</t>
        </r>
        <r>
          <rPr>
            <sz val="9"/>
            <color indexed="81"/>
            <rFont val="Tahoma"/>
            <family val="2"/>
          </rPr>
          <t xml:space="preserve">
Demand/consumption the same as baseline so avoided emissions remain the same. Impact of alternative UK wood processing is accounted for in processing emissions and shifts of emissions from compensatory changes to imports. </t>
        </r>
      </text>
    </comment>
    <comment ref="G11" authorId="0" shapeId="0">
      <text>
        <r>
          <rPr>
            <b/>
            <sz val="9"/>
            <color indexed="81"/>
            <rFont val="Tahoma"/>
            <family val="2"/>
          </rPr>
          <t>Eilidh Jane Forster:</t>
        </r>
        <r>
          <rPr>
            <sz val="9"/>
            <color indexed="81"/>
            <rFont val="Tahoma"/>
            <family val="2"/>
          </rPr>
          <t xml:space="preserve">
We assume that UK HWP consumption is constant across all scenarios, and import volumes adjust to allow for any changes to UK manufacturing - except for the shift of recovered MDF from bioenergy production to rMDF production. This results in a net reduction in bioenergy production. 
This calculated figure is the change from UK baseline 'avoided emissions' due to the shift of recovered wood from bioenergy to rMDF. See cell Q71 in 'UK_circ' LCA sheet for calculation. </t>
        </r>
      </text>
    </comment>
    <comment ref="Q12" authorId="0" shapeId="0">
      <text>
        <r>
          <rPr>
            <b/>
            <sz val="9"/>
            <color indexed="81"/>
            <rFont val="Tahoma"/>
            <family val="2"/>
          </rPr>
          <t>Eilidh Jane Forster:</t>
        </r>
        <r>
          <rPr>
            <sz val="9"/>
            <color indexed="81"/>
            <rFont val="Tahoma"/>
            <family val="2"/>
          </rPr>
          <t xml:space="preserve">
total accrued C seq benefits for year implementation of circular scenario</t>
        </r>
      </text>
    </comment>
    <comment ref="F17" authorId="0" shapeId="0">
      <text>
        <r>
          <rPr>
            <b/>
            <sz val="9"/>
            <color indexed="81"/>
            <rFont val="Tahoma"/>
            <family val="2"/>
          </rPr>
          <t>Eilidh Jane Forster:</t>
        </r>
        <r>
          <rPr>
            <sz val="9"/>
            <color indexed="81"/>
            <rFont val="Tahoma"/>
            <family val="2"/>
          </rPr>
          <t xml:space="preserve">
decarb factor also applied to avoided emissions hence this positive figure</t>
        </r>
      </text>
    </comment>
  </commentList>
</comments>
</file>

<file path=xl/comments2.xml><?xml version="1.0" encoding="utf-8"?>
<comments xmlns="http://schemas.openxmlformats.org/spreadsheetml/2006/main">
  <authors>
    <author>Eilidh Jane Forster</author>
  </authors>
  <commentList>
    <comment ref="M5" authorId="0" shapeId="0">
      <text>
        <r>
          <rPr>
            <b/>
            <sz val="9"/>
            <color indexed="81"/>
            <rFont val="Tahoma"/>
            <family val="2"/>
          </rPr>
          <t>Eilidh Jane Forster:</t>
        </r>
        <r>
          <rPr>
            <sz val="9"/>
            <color indexed="81"/>
            <rFont val="Tahoma"/>
            <family val="2"/>
          </rPr>
          <t xml:space="preserve">
pasted from UK baseline workbook - decarbonisation sheet.</t>
        </r>
      </text>
    </comment>
    <comment ref="S5" authorId="0" shapeId="0">
      <text>
        <r>
          <rPr>
            <b/>
            <sz val="9"/>
            <color indexed="81"/>
            <rFont val="Tahoma"/>
            <family val="2"/>
          </rPr>
          <t>Eilidh Jane Forster:</t>
        </r>
        <r>
          <rPr>
            <sz val="9"/>
            <color indexed="81"/>
            <rFont val="Tahoma"/>
            <family val="2"/>
          </rPr>
          <t xml:space="preserve">
Pated from Master spreadsheet '&gt;75% thin' cells AD4-AD8</t>
        </r>
      </text>
    </comment>
    <comment ref="S14" authorId="0" shapeId="0">
      <text>
        <r>
          <rPr>
            <b/>
            <sz val="9"/>
            <color indexed="81"/>
            <rFont val="Tahoma"/>
            <family val="2"/>
          </rPr>
          <t>Eilidh Jane Forster:</t>
        </r>
        <r>
          <rPr>
            <sz val="9"/>
            <color indexed="81"/>
            <rFont val="Tahoma"/>
            <family val="2"/>
          </rPr>
          <t xml:space="preserve">
pasted from S1 LCA_BAU 'GWP_impact' cells U23&amp;U24</t>
        </r>
      </text>
    </comment>
    <comment ref="J91" authorId="0" shapeId="0">
      <text>
        <r>
          <rPr>
            <b/>
            <sz val="9"/>
            <color indexed="81"/>
            <rFont val="Tahoma"/>
            <family val="2"/>
          </rPr>
          <t>Eilidh Jane Forster:</t>
        </r>
        <r>
          <rPr>
            <sz val="9"/>
            <color indexed="81"/>
            <rFont val="Tahoma"/>
            <family val="2"/>
          </rPr>
          <t xml:space="preserve">
Afforestation plus cascading&amp;circular scenarios</t>
        </r>
      </text>
    </comment>
  </commentList>
</comments>
</file>

<file path=xl/comments3.xml><?xml version="1.0" encoding="utf-8"?>
<comments xmlns="http://schemas.openxmlformats.org/spreadsheetml/2006/main">
  <authors>
    <author>Eilidh Jane Forster</author>
  </authors>
  <commentList>
    <comment ref="C4" authorId="0" shapeId="0">
      <text>
        <r>
          <rPr>
            <b/>
            <sz val="9"/>
            <color indexed="81"/>
            <rFont val="Tahoma"/>
            <family val="2"/>
          </rPr>
          <t>Eilidh Jane Forster:</t>
        </r>
        <r>
          <rPr>
            <sz val="9"/>
            <color indexed="81"/>
            <rFont val="Tahoma"/>
            <family val="2"/>
          </rPr>
          <t xml:space="preserve">
Assume it takes 5 years to implement</t>
        </r>
      </text>
    </comment>
    <comment ref="D4" authorId="0" shapeId="0">
      <text>
        <r>
          <rPr>
            <b/>
            <sz val="9"/>
            <color indexed="81"/>
            <rFont val="Tahoma"/>
            <family val="2"/>
          </rPr>
          <t>Eilidh Jane Forster:</t>
        </r>
        <r>
          <rPr>
            <sz val="9"/>
            <color indexed="81"/>
            <rFont val="Tahoma"/>
            <family val="2"/>
          </rPr>
          <t xml:space="preserve">
assume MDF recycling takes 5 years to implement</t>
        </r>
      </text>
    </comment>
    <comment ref="E4" authorId="0" shapeId="0">
      <text>
        <r>
          <rPr>
            <b/>
            <sz val="9"/>
            <color indexed="81"/>
            <rFont val="Tahoma"/>
            <family val="2"/>
          </rPr>
          <t>Eilidh Jane Forster:</t>
        </r>
        <r>
          <rPr>
            <sz val="9"/>
            <color indexed="81"/>
            <rFont val="Tahoma"/>
            <family val="2"/>
          </rPr>
          <t xml:space="preserve">
Assume it takes 5 years to implement</t>
        </r>
      </text>
    </comment>
    <comment ref="G4" authorId="0" shapeId="0">
      <text>
        <r>
          <rPr>
            <b/>
            <sz val="9"/>
            <color indexed="81"/>
            <rFont val="Tahoma"/>
            <family val="2"/>
          </rPr>
          <t>Eilidh Jane Forster:</t>
        </r>
        <r>
          <rPr>
            <sz val="9"/>
            <color indexed="81"/>
            <rFont val="Tahoma"/>
            <family val="2"/>
          </rPr>
          <t xml:space="preserve">
Assume it takes 5 years to implement</t>
        </r>
      </text>
    </comment>
    <comment ref="H4" authorId="0" shapeId="0">
      <text>
        <r>
          <rPr>
            <b/>
            <sz val="9"/>
            <color indexed="81"/>
            <rFont val="Tahoma"/>
            <family val="2"/>
          </rPr>
          <t>Eilidh Jane Forster:</t>
        </r>
        <r>
          <rPr>
            <sz val="9"/>
            <color indexed="81"/>
            <rFont val="Tahoma"/>
            <family val="2"/>
          </rPr>
          <t xml:space="preserve">
assume MDF recycling takes 5 years to implement</t>
        </r>
      </text>
    </comment>
    <comment ref="I4" authorId="0" shapeId="0">
      <text>
        <r>
          <rPr>
            <b/>
            <sz val="9"/>
            <color indexed="81"/>
            <rFont val="Tahoma"/>
            <family val="2"/>
          </rPr>
          <t>Eilidh Jane Forster:</t>
        </r>
        <r>
          <rPr>
            <sz val="9"/>
            <color indexed="81"/>
            <rFont val="Tahoma"/>
            <family val="2"/>
          </rPr>
          <t xml:space="preserve">
Assume it takes 5 years to implement</t>
        </r>
      </text>
    </comment>
    <comment ref="M5" authorId="0" shapeId="0">
      <text>
        <r>
          <rPr>
            <b/>
            <sz val="9"/>
            <color indexed="81"/>
            <rFont val="Tahoma"/>
            <family val="2"/>
          </rPr>
          <t>Eilidh Jane Forster:</t>
        </r>
        <r>
          <rPr>
            <sz val="9"/>
            <color indexed="81"/>
            <rFont val="Tahoma"/>
            <family val="2"/>
          </rPr>
          <t xml:space="preserve">
pasted from UK baseline workbook - decarbonisation sheet.</t>
        </r>
      </text>
    </comment>
    <comment ref="C60" authorId="0" shapeId="0">
      <text>
        <r>
          <rPr>
            <b/>
            <sz val="9"/>
            <color indexed="81"/>
            <rFont val="Tahoma"/>
            <family val="2"/>
          </rPr>
          <t>Eilidh Jane Forster:</t>
        </r>
        <r>
          <rPr>
            <sz val="9"/>
            <color indexed="81"/>
            <rFont val="Tahoma"/>
            <family val="2"/>
          </rPr>
          <t xml:space="preserve">
Assume it takes 5 years to implement</t>
        </r>
      </text>
    </comment>
    <comment ref="D60" authorId="0" shapeId="0">
      <text>
        <r>
          <rPr>
            <b/>
            <sz val="9"/>
            <color indexed="81"/>
            <rFont val="Tahoma"/>
            <family val="2"/>
          </rPr>
          <t>Eilidh Jane Forster:</t>
        </r>
        <r>
          <rPr>
            <sz val="9"/>
            <color indexed="81"/>
            <rFont val="Tahoma"/>
            <family val="2"/>
          </rPr>
          <t xml:space="preserve">
assume MDF recycling takes 5 years to implement</t>
        </r>
      </text>
    </comment>
    <comment ref="E60" authorId="0" shapeId="0">
      <text>
        <r>
          <rPr>
            <b/>
            <sz val="9"/>
            <color indexed="81"/>
            <rFont val="Tahoma"/>
            <family val="2"/>
          </rPr>
          <t>Eilidh Jane Forster:</t>
        </r>
        <r>
          <rPr>
            <sz val="9"/>
            <color indexed="81"/>
            <rFont val="Tahoma"/>
            <family val="2"/>
          </rPr>
          <t xml:space="preserve">
Assume it takes 5 years to implement</t>
        </r>
      </text>
    </comment>
    <comment ref="G60" authorId="0" shapeId="0">
      <text>
        <r>
          <rPr>
            <b/>
            <sz val="9"/>
            <color indexed="81"/>
            <rFont val="Tahoma"/>
            <family val="2"/>
          </rPr>
          <t>Eilidh Jane Forster:</t>
        </r>
        <r>
          <rPr>
            <sz val="9"/>
            <color indexed="81"/>
            <rFont val="Tahoma"/>
            <family val="2"/>
          </rPr>
          <t xml:space="preserve">
Assume it takes 5 years to implement</t>
        </r>
      </text>
    </comment>
    <comment ref="H60" authorId="0" shapeId="0">
      <text>
        <r>
          <rPr>
            <b/>
            <sz val="9"/>
            <color indexed="81"/>
            <rFont val="Tahoma"/>
            <family val="2"/>
          </rPr>
          <t>Eilidh Jane Forster:</t>
        </r>
        <r>
          <rPr>
            <sz val="9"/>
            <color indexed="81"/>
            <rFont val="Tahoma"/>
            <family val="2"/>
          </rPr>
          <t xml:space="preserve">
assume MDF recycling takes 5 years to implement</t>
        </r>
      </text>
    </comment>
    <comment ref="I60" authorId="0" shapeId="0">
      <text>
        <r>
          <rPr>
            <b/>
            <sz val="9"/>
            <color indexed="81"/>
            <rFont val="Tahoma"/>
            <family val="2"/>
          </rPr>
          <t>Eilidh Jane Forster:</t>
        </r>
        <r>
          <rPr>
            <sz val="9"/>
            <color indexed="81"/>
            <rFont val="Tahoma"/>
            <family val="2"/>
          </rPr>
          <t xml:space="preserve">
Assume it takes 5 years to implement</t>
        </r>
      </text>
    </comment>
  </commentList>
</comments>
</file>

<file path=xl/comments4.xml><?xml version="1.0" encoding="utf-8"?>
<comments xmlns="http://schemas.openxmlformats.org/spreadsheetml/2006/main">
  <authors>
    <author>Eilidh Jane Forster</author>
  </authors>
  <commentList>
    <comment ref="J5" authorId="0" shapeId="0">
      <text>
        <r>
          <rPr>
            <b/>
            <sz val="9"/>
            <color indexed="81"/>
            <rFont val="Tahoma"/>
            <family val="2"/>
          </rPr>
          <t>Eilidh Jane Forster:</t>
        </r>
        <r>
          <rPr>
            <sz val="9"/>
            <color indexed="81"/>
            <rFont val="Tahoma"/>
            <family val="2"/>
          </rPr>
          <t xml:space="preserve">
There was an error in my NC paper spreadsheet where I didn't subtract the baseline soil C from the net ecocsystem C accumulation, so it overestimated the C accumulation. I've recified this mistake here.</t>
        </r>
      </text>
    </comment>
    <comment ref="S5" authorId="0" shapeId="0">
      <text>
        <r>
          <rPr>
            <b/>
            <sz val="9"/>
            <color indexed="81"/>
            <rFont val="Tahoma"/>
            <family val="2"/>
          </rPr>
          <t>Eilidh Jane Forster:</t>
        </r>
        <r>
          <rPr>
            <sz val="9"/>
            <color indexed="81"/>
            <rFont val="Tahoma"/>
            <family val="2"/>
          </rPr>
          <t xml:space="preserve">
There was an error in my NC paper spreadsheet where I didn't subtract the baseline soil C from the net ecocsystem C accumulation, so it overestimated the C accumulation. I've recified this mistake here.</t>
        </r>
      </text>
    </comment>
  </commentList>
</comments>
</file>

<file path=xl/sharedStrings.xml><?xml version="1.0" encoding="utf-8"?>
<sst xmlns="http://schemas.openxmlformats.org/spreadsheetml/2006/main" count="138" uniqueCount="76">
  <si>
    <t>Forestry Operations</t>
  </si>
  <si>
    <t>Timber transport</t>
  </si>
  <si>
    <t>Sawmills</t>
  </si>
  <si>
    <t>Wood Panel Production</t>
  </si>
  <si>
    <t>Wood Fuel Production</t>
  </si>
  <si>
    <t>Avoided emissions</t>
  </si>
  <si>
    <t>UK (baseline)</t>
  </si>
  <si>
    <t>Scope 1,2,3&amp;4 (tCO2e / yr) (2020)</t>
  </si>
  <si>
    <t>Net (without avoided emissions)</t>
  </si>
  <si>
    <t>2020-2029</t>
  </si>
  <si>
    <t>2030-2039</t>
  </si>
  <si>
    <t>2040-2049</t>
  </si>
  <si>
    <t>2050-2059</t>
  </si>
  <si>
    <t>2060-2069</t>
  </si>
  <si>
    <t>Contribution of total value chain emissions in 2022</t>
  </si>
  <si>
    <t>Mobile Plant</t>
  </si>
  <si>
    <t>Wood panels</t>
  </si>
  <si>
    <t>Wood fuel</t>
  </si>
  <si>
    <t>Absolute contribution to sector decarbonisation</t>
  </si>
  <si>
    <t>Remaining emissions</t>
  </si>
  <si>
    <t>Change in HWP C storage</t>
  </si>
  <si>
    <t>Change in imports emissions</t>
  </si>
  <si>
    <t>Net (UK &amp; import emissions only)</t>
  </si>
  <si>
    <t>Net (UK emissions only)</t>
  </si>
  <si>
    <t>% difference after 30 yrs (compared to baseline)</t>
  </si>
  <si>
    <t>% difference after 30 yrs (compared to decarb baseline)</t>
  </si>
  <si>
    <t>% difference after 50 yrs (compared to baseline)</t>
  </si>
  <si>
    <t>% difference after 50 yrs (compared to decarb baseline)</t>
  </si>
  <si>
    <t>Net (UK emissions only) - change from baseline</t>
  </si>
  <si>
    <t>Net (UK &amp; import emissions only) - change from baseline</t>
  </si>
  <si>
    <t>Net - change from baseline</t>
  </si>
  <si>
    <t>UK_circular</t>
  </si>
  <si>
    <t>UK_cascading</t>
  </si>
  <si>
    <t>UK (decarbonisation)</t>
  </si>
  <si>
    <t xml:space="preserve">Year </t>
  </si>
  <si>
    <t>50C:50BL net ecosystem C</t>
  </si>
  <si>
    <t>annual flux</t>
  </si>
  <si>
    <t>annual flux 1ha/yr planting</t>
  </si>
  <si>
    <t>2050 cumulative impact 30kha/yr planting tonnes CO2e</t>
  </si>
  <si>
    <t>2050 cumulative impact 1ha/yr planting (tC)</t>
  </si>
  <si>
    <t>50C:50BL net ecosystem C (corrected)</t>
  </si>
  <si>
    <t>C sequestration gain (reduced harvest)</t>
  </si>
  <si>
    <t>Assumptions</t>
  </si>
  <si>
    <t>Net (without HWP C storage or C seq gain, but incl avoided emissions)</t>
  </si>
  <si>
    <t>UK_cascading_circular</t>
  </si>
  <si>
    <t>Decarbonisation factors applied to processing emissions and avoided emissions. Not applied to HWP C storage or C seq gains</t>
  </si>
  <si>
    <t>No decarbonisation factors applied</t>
  </si>
  <si>
    <t>Avoided emissions - reduced harvest</t>
  </si>
  <si>
    <t>Avoided emissions - product substitution</t>
  </si>
  <si>
    <t>Net (Scopes 1-3)</t>
  </si>
  <si>
    <t>Net (Scopes 1-4)</t>
  </si>
  <si>
    <t>cascading</t>
  </si>
  <si>
    <t>circular</t>
  </si>
  <si>
    <t>cascading&amp;circular</t>
  </si>
  <si>
    <t>Change in UK HWP C storage</t>
  </si>
  <si>
    <t>UK forestry operations</t>
  </si>
  <si>
    <t>UK sawmills</t>
  </si>
  <si>
    <t>UK woodpanel production</t>
  </si>
  <si>
    <t>UK woodfuel production &amp; use</t>
  </si>
  <si>
    <t xml:space="preserve">Electricity </t>
  </si>
  <si>
    <t>Concrete</t>
  </si>
  <si>
    <t>Remaining avoided emissions</t>
  </si>
  <si>
    <t>Contribution of total avoided emissions in 2022</t>
  </si>
  <si>
    <t>Absolute contribution to avoided emissions reduction</t>
  </si>
  <si>
    <t>cascading, circular and cascading&amp;circular scenarios implemented after 5 years.</t>
  </si>
  <si>
    <t>BAU</t>
  </si>
  <si>
    <t>Annual and cumulative emissions impact (not including avoided emissions)</t>
  </si>
  <si>
    <t>Annual and cumulative emissions impact (including avoided emissions)</t>
  </si>
  <si>
    <t>Calculation of annual and cumulative GWP impact of 4 wood use scenarios, with decarbonisation factors applied.</t>
  </si>
  <si>
    <t>Scope 1,2,3&amp;4 (tCO2e / yr) (2035) - with decarbonisation factors applied</t>
  </si>
  <si>
    <t>Net (Scopes 1-3 i.e. without avoided emissions or HWP C storage or C seq gain)</t>
  </si>
  <si>
    <t>Data pasted from CBM-CFS3 model output for mixed conifer: broadlead afforestation scenario, scaled to planting rate of 30,000 ha/yr from 2022 to 2050</t>
  </si>
  <si>
    <t>GWP, scaled to 30kha/yr planting rate
tonnes CO2e</t>
  </si>
  <si>
    <t>Calculation of afforestation GWP at 30,000 ha/yr planting rate of mixed conifer:broadleaf forest</t>
  </si>
  <si>
    <t xml:space="preserve">Results summary </t>
  </si>
  <si>
    <t>Decarbonisation factors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</si>
</sst>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 #,##0.00_-;_-* &quot;-&quot;??_-;_-@_-"/>
    <numFmt numFmtId="164" formatCode="_-* #,##0_-;\-* #,##0_-;_-* &quot;-&quot;??_-;_-@_-"/>
    <numFmt numFmtId="165" formatCode="0.0%"/>
  </numFmts>
  <fonts count="13" x14ac:knownFonts="1">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sz val="11"/>
      <name val="Calibri"/>
      <family val="2"/>
      <scheme val="minor"/>
    </font>
    <font>
      <b/>
      <sz val="9"/>
      <color indexed="81"/>
      <name val="Tahoma"/>
      <family val="2"/>
    </font>
    <font>
      <sz val="9"/>
      <color indexed="81"/>
      <name val="Tahoma"/>
      <family val="2"/>
    </font>
    <font>
      <b/>
      <u/>
      <sz val="11"/>
      <color theme="1"/>
      <name val="Calibri"/>
      <family val="2"/>
      <scheme val="minor"/>
    </font>
    <font>
      <sz val="11"/>
      <color theme="0" tint="-0.34998626667073579"/>
      <name val="Calibri"/>
      <family val="2"/>
      <scheme val="minor"/>
    </font>
    <font>
      <sz val="11"/>
      <color theme="0" tint="-0.499984740745262"/>
      <name val="Calibri"/>
      <family val="2"/>
      <scheme val="minor"/>
    </font>
    <font>
      <sz val="9"/>
      <color indexed="81"/>
      <name val="Tahoma"/>
      <charset val="1"/>
    </font>
    <font>
      <b/>
      <sz val="9"/>
      <color indexed="81"/>
      <name val="Tahoma"/>
      <charset val="1"/>
    </font>
    <font>
      <sz val="11"/>
      <color theme="0" tint="-0.14999847407452621"/>
      <name val="Calibri"/>
      <family val="2"/>
      <scheme val="minor"/>
    </font>
  </fonts>
  <fills count="2">
    <fill>
      <patternFill patternType="none"/>
    </fill>
    <fill>
      <patternFill patternType="gray125"/>
    </fill>
  </fills>
  <borders count="1">
    <border>
      <left/>
      <right/>
      <top/>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63">
    <xf numFmtId="0" fontId="0" fillId="0" borderId="0" xfId="0"/>
    <xf numFmtId="0" fontId="3" fillId="0" borderId="0" xfId="0" applyFont="1"/>
    <xf numFmtId="43" fontId="0" fillId="0" borderId="0" xfId="0" applyNumberFormat="1"/>
    <xf numFmtId="164" fontId="0" fillId="0" borderId="0" xfId="0" applyNumberFormat="1"/>
    <xf numFmtId="9" fontId="0" fillId="0" borderId="0" xfId="2" applyFont="1"/>
    <xf numFmtId="0" fontId="4" fillId="0" borderId="0" xfId="0" applyFont="1" applyFill="1"/>
    <xf numFmtId="164" fontId="0" fillId="0" borderId="0" xfId="1" applyNumberFormat="1" applyFont="1"/>
    <xf numFmtId="0" fontId="3" fillId="0" borderId="0" xfId="0" applyFont="1" applyAlignment="1">
      <alignment horizontal="center"/>
    </xf>
    <xf numFmtId="0" fontId="0" fillId="0" borderId="0" xfId="0" applyFont="1" applyFill="1"/>
    <xf numFmtId="164" fontId="2" fillId="0" borderId="0" xfId="1" applyNumberFormat="1" applyFont="1"/>
    <xf numFmtId="0" fontId="7" fillId="0" borderId="0" xfId="0" applyFont="1"/>
    <xf numFmtId="165" fontId="0" fillId="0" borderId="0" xfId="0" applyNumberFormat="1"/>
    <xf numFmtId="165" fontId="0" fillId="0" borderId="0" xfId="2" applyNumberFormat="1" applyFont="1"/>
    <xf numFmtId="0" fontId="0" fillId="0" borderId="0" xfId="0" applyAlignment="1">
      <alignment wrapText="1"/>
    </xf>
    <xf numFmtId="0" fontId="2" fillId="0" borderId="0" xfId="0" applyFont="1" applyAlignment="1">
      <alignment horizontal="left"/>
    </xf>
    <xf numFmtId="43" fontId="8" fillId="0" borderId="0" xfId="0" applyNumberFormat="1" applyFont="1"/>
    <xf numFmtId="164" fontId="8" fillId="0" borderId="0" xfId="0" applyNumberFormat="1" applyFont="1"/>
    <xf numFmtId="0" fontId="8" fillId="0" borderId="0" xfId="0" applyFont="1" applyAlignment="1">
      <alignment wrapText="1"/>
    </xf>
    <xf numFmtId="3" fontId="0" fillId="0" borderId="0" xfId="0" applyNumberFormat="1"/>
    <xf numFmtId="164" fontId="0" fillId="0" borderId="0" xfId="1" applyNumberFormat="1" applyFont="1" applyAlignment="1">
      <alignment wrapText="1"/>
    </xf>
    <xf numFmtId="0" fontId="9" fillId="0" borderId="0" xfId="0" applyFont="1"/>
    <xf numFmtId="164" fontId="9" fillId="0" borderId="0" xfId="0" applyNumberFormat="1" applyFont="1"/>
    <xf numFmtId="0" fontId="9" fillId="0" borderId="0" xfId="0" applyFont="1" applyAlignment="1">
      <alignment wrapText="1"/>
    </xf>
    <xf numFmtId="9" fontId="9" fillId="0" borderId="0" xfId="2" applyFont="1" applyAlignment="1">
      <alignment wrapText="1"/>
    </xf>
    <xf numFmtId="164" fontId="9" fillId="0" borderId="0" xfId="0" applyNumberFormat="1" applyFont="1" applyAlignment="1">
      <alignment wrapText="1"/>
    </xf>
    <xf numFmtId="9" fontId="9" fillId="0" borderId="0" xfId="2" applyFont="1"/>
    <xf numFmtId="43" fontId="9" fillId="0" borderId="0" xfId="0" applyNumberFormat="1" applyFont="1"/>
    <xf numFmtId="43" fontId="2" fillId="0" borderId="0" xfId="0" applyNumberFormat="1" applyFont="1"/>
    <xf numFmtId="0" fontId="0" fillId="0" borderId="0" xfId="0" applyAlignment="1">
      <alignment horizontal="center"/>
    </xf>
    <xf numFmtId="0" fontId="0" fillId="0" borderId="0" xfId="0" applyAlignment="1">
      <alignment horizontal="center"/>
    </xf>
    <xf numFmtId="0" fontId="0" fillId="0" borderId="0" xfId="0" applyAlignment="1"/>
    <xf numFmtId="43" fontId="0" fillId="0" borderId="0" xfId="1" applyFont="1"/>
    <xf numFmtId="43" fontId="0" fillId="0" borderId="0" xfId="1" applyNumberFormat="1" applyFont="1" applyAlignment="1">
      <alignment wrapText="1"/>
    </xf>
    <xf numFmtId="0" fontId="0" fillId="0" borderId="0" xfId="1" applyNumberFormat="1" applyFont="1" applyAlignment="1">
      <alignment wrapText="1"/>
    </xf>
    <xf numFmtId="43" fontId="0" fillId="0" borderId="0" xfId="1" applyNumberFormat="1" applyFont="1"/>
    <xf numFmtId="0" fontId="3" fillId="0" borderId="0" xfId="0" applyFont="1" applyAlignment="1">
      <alignment horizontal="center"/>
    </xf>
    <xf numFmtId="164" fontId="0" fillId="0" borderId="0" xfId="1" applyNumberFormat="1" applyFont="1" applyBorder="1"/>
    <xf numFmtId="43" fontId="3" fillId="0" borderId="0" xfId="1" applyNumberFormat="1" applyFont="1" applyAlignment="1">
      <alignment horizontal="center"/>
    </xf>
    <xf numFmtId="0" fontId="2" fillId="0" borderId="0" xfId="0" applyFont="1" applyFill="1"/>
    <xf numFmtId="164" fontId="0" fillId="0" borderId="0" xfId="0" applyNumberFormat="1" applyFont="1"/>
    <xf numFmtId="0" fontId="0" fillId="0" borderId="0" xfId="0" applyFont="1"/>
    <xf numFmtId="0" fontId="0" fillId="0" borderId="0" xfId="0" applyAlignment="1">
      <alignment horizontal="right"/>
    </xf>
    <xf numFmtId="0" fontId="0" fillId="0" borderId="0" xfId="0" applyAlignment="1">
      <alignment horizontal="left" wrapText="1"/>
    </xf>
    <xf numFmtId="9" fontId="0" fillId="0" borderId="0" xfId="0" applyNumberFormat="1"/>
    <xf numFmtId="14" fontId="3" fillId="0" borderId="0" xfId="0" applyNumberFormat="1" applyFont="1"/>
    <xf numFmtId="0" fontId="9" fillId="0" borderId="0" xfId="0" applyFont="1" applyFill="1" applyAlignment="1">
      <alignment horizontal="center" wrapText="1"/>
    </xf>
    <xf numFmtId="9" fontId="9" fillId="0" borderId="0" xfId="2" applyFont="1" applyFill="1" applyAlignment="1">
      <alignment wrapText="1"/>
    </xf>
    <xf numFmtId="0" fontId="12" fillId="0" borderId="0" xfId="0" applyFont="1"/>
    <xf numFmtId="43" fontId="12" fillId="0" borderId="0" xfId="0" applyNumberFormat="1" applyFont="1"/>
    <xf numFmtId="9" fontId="12" fillId="0" borderId="0" xfId="2" applyFont="1"/>
    <xf numFmtId="0" fontId="0" fillId="0" borderId="0" xfId="0" applyFill="1"/>
    <xf numFmtId="0" fontId="4" fillId="0" borderId="0" xfId="0" applyFont="1" applyAlignment="1">
      <alignment wrapText="1"/>
    </xf>
    <xf numFmtId="164" fontId="4" fillId="0" borderId="0" xfId="0" applyNumberFormat="1" applyFont="1"/>
    <xf numFmtId="0" fontId="3" fillId="0" borderId="0" xfId="0" applyFont="1" applyAlignment="1">
      <alignment wrapText="1"/>
    </xf>
    <xf numFmtId="9" fontId="0" fillId="0" borderId="0" xfId="2" applyFont="1" applyAlignment="1">
      <alignment horizontal="right"/>
    </xf>
    <xf numFmtId="10" fontId="0" fillId="0" borderId="0" xfId="2" applyNumberFormat="1" applyFont="1"/>
    <xf numFmtId="0" fontId="3" fillId="0" borderId="0" xfId="0" applyFont="1" applyAlignment="1">
      <alignment horizontal="center"/>
    </xf>
    <xf numFmtId="0" fontId="0" fillId="0" borderId="0" xfId="0" applyAlignment="1">
      <alignment horizontal="center" wrapText="1"/>
    </xf>
    <xf numFmtId="165" fontId="2" fillId="0" borderId="0" xfId="0" applyNumberFormat="1" applyFont="1" applyAlignment="1">
      <alignment horizontal="center" wrapText="1"/>
    </xf>
    <xf numFmtId="0" fontId="8" fillId="0" borderId="0" xfId="0" applyFont="1"/>
    <xf numFmtId="9" fontId="8" fillId="0" borderId="0" xfId="2" applyFont="1"/>
    <xf numFmtId="9" fontId="8" fillId="0" borderId="0" xfId="0" applyNumberFormat="1" applyFont="1"/>
    <xf numFmtId="165" fontId="8" fillId="0" borderId="0" xfId="0" applyNumberFormat="1" applyFont="1"/>
  </cellXfs>
  <cellStyles count="3">
    <cellStyle name="Comma" xfId="1" builtinId="3"/>
    <cellStyle name="Normal" xfId="0" builtinId="0"/>
    <cellStyle name="Percent" xfId="2" builtinId="5"/>
  </cellStyles>
  <dxfs count="0"/>
  <tableStyles count="0" defaultTableStyle="TableStyleMedium2" defaultPivotStyle="PivotStyleLight16"/>
  <colors>
    <mruColors>
      <color rgb="FF3CFC1C"/>
      <color rgb="FF01AF3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'Year 2035 impact'!$J$5</c:f>
              <c:strCache>
                <c:ptCount val="1"/>
                <c:pt idx="0">
                  <c:v>BAU</c:v>
                </c:pt>
              </c:strCache>
            </c:strRef>
          </c:tx>
          <c:spPr>
            <a:solidFill>
              <a:schemeClr val="accent1"/>
            </a:solidFill>
            <a:ln>
              <a:noFill/>
            </a:ln>
            <a:effectLst/>
          </c:spPr>
          <c:invertIfNegative val="0"/>
          <c:cat>
            <c:strRef>
              <c:f>'Year 2035 impact'!$I$6:$I$15</c:f>
              <c:strCache>
                <c:ptCount val="10"/>
                <c:pt idx="0">
                  <c:v>UK forestry operations</c:v>
                </c:pt>
                <c:pt idx="1">
                  <c:v>UK sawmills</c:v>
                </c:pt>
                <c:pt idx="2">
                  <c:v>UK woodpanel production</c:v>
                </c:pt>
                <c:pt idx="3">
                  <c:v>UK woodfuel production &amp; use</c:v>
                </c:pt>
                <c:pt idx="4">
                  <c:v>Change in UK HWP C storage</c:v>
                </c:pt>
                <c:pt idx="5">
                  <c:v>Change in imports emissions</c:v>
                </c:pt>
                <c:pt idx="6">
                  <c:v>Avoided emissions - reduced harvest</c:v>
                </c:pt>
                <c:pt idx="7">
                  <c:v>Avoided emissions - product substitution</c:v>
                </c:pt>
                <c:pt idx="8">
                  <c:v>Net (Scopes 1-3)</c:v>
                </c:pt>
                <c:pt idx="9">
                  <c:v>Net (Scopes 1-4)</c:v>
                </c:pt>
              </c:strCache>
            </c:strRef>
          </c:cat>
          <c:val>
            <c:numRef>
              <c:f>'Year 2035 impact'!$J$6:$J$15</c:f>
              <c:numCache>
                <c:formatCode>_-* #,##0_-;\-* #,##0_-;_-* "-"??_-;_-@_-</c:formatCode>
                <c:ptCount val="10"/>
                <c:pt idx="0" formatCode="_(* #,##0.00_);_(* \(#,##0.00\);_(* &quot;-&quot;??_);_(@_)">
                  <c:v>139591.53059535293</c:v>
                </c:pt>
                <c:pt idx="1">
                  <c:v>180545.94512311116</c:v>
                </c:pt>
                <c:pt idx="2">
                  <c:v>713433.74685274228</c:v>
                </c:pt>
                <c:pt idx="3">
                  <c:v>97943.634333249807</c:v>
                </c:pt>
                <c:pt idx="4">
                  <c:v>0</c:v>
                </c:pt>
                <c:pt idx="5" formatCode="General">
                  <c:v>0</c:v>
                </c:pt>
                <c:pt idx="6" formatCode="General">
                  <c:v>0</c:v>
                </c:pt>
                <c:pt idx="7" formatCode="_(* #,##0.00_);_(* \(#,##0.00\);_(* &quot;-&quot;??_);_(@_)">
                  <c:v>-3221203.6191289905</c:v>
                </c:pt>
                <c:pt idx="8" formatCode="_(* #,##0.00_);_(* \(#,##0.00\);_(* &quot;-&quot;??_);_(@_)">
                  <c:v>1131514.8569044562</c:v>
                </c:pt>
                <c:pt idx="9">
                  <c:v>-2089688.7622245343</c:v>
                </c:pt>
              </c:numCache>
            </c:numRef>
          </c:val>
          <c:extLst>
            <c:ext xmlns:c16="http://schemas.microsoft.com/office/drawing/2014/chart" uri="{C3380CC4-5D6E-409C-BE32-E72D297353CC}">
              <c16:uniqueId val="{00000000-831D-4C93-99FF-BAE7F5144060}"/>
            </c:ext>
          </c:extLst>
        </c:ser>
        <c:ser>
          <c:idx val="1"/>
          <c:order val="1"/>
          <c:tx>
            <c:strRef>
              <c:f>'Year 2035 impact'!$L$5</c:f>
              <c:strCache>
                <c:ptCount val="1"/>
                <c:pt idx="0">
                  <c:v>cascading</c:v>
                </c:pt>
              </c:strCache>
            </c:strRef>
          </c:tx>
          <c:spPr>
            <a:solidFill>
              <a:schemeClr val="accent2"/>
            </a:solidFill>
            <a:ln>
              <a:noFill/>
            </a:ln>
            <a:effectLst/>
          </c:spPr>
          <c:invertIfNegative val="0"/>
          <c:cat>
            <c:strRef>
              <c:f>'Year 2035 impact'!$I$6:$I$15</c:f>
              <c:strCache>
                <c:ptCount val="10"/>
                <c:pt idx="0">
                  <c:v>UK forestry operations</c:v>
                </c:pt>
                <c:pt idx="1">
                  <c:v>UK sawmills</c:v>
                </c:pt>
                <c:pt idx="2">
                  <c:v>UK woodpanel production</c:v>
                </c:pt>
                <c:pt idx="3">
                  <c:v>UK woodfuel production &amp; use</c:v>
                </c:pt>
                <c:pt idx="4">
                  <c:v>Change in UK HWP C storage</c:v>
                </c:pt>
                <c:pt idx="5">
                  <c:v>Change in imports emissions</c:v>
                </c:pt>
                <c:pt idx="6">
                  <c:v>Avoided emissions - reduced harvest</c:v>
                </c:pt>
                <c:pt idx="7">
                  <c:v>Avoided emissions - product substitution</c:v>
                </c:pt>
                <c:pt idx="8">
                  <c:v>Net (Scopes 1-3)</c:v>
                </c:pt>
                <c:pt idx="9">
                  <c:v>Net (Scopes 1-4)</c:v>
                </c:pt>
              </c:strCache>
            </c:strRef>
          </c:cat>
          <c:val>
            <c:numRef>
              <c:f>'Year 2035 impact'!$L$6:$L$15</c:f>
              <c:numCache>
                <c:formatCode>_-* #,##0_-;\-* #,##0_-;_-* "-"??_-;_-@_-</c:formatCode>
                <c:ptCount val="10"/>
                <c:pt idx="0" formatCode="_(* #,##0.00_);_(* \(#,##0.00\);_(* &quot;-&quot;??_);_(@_)">
                  <c:v>139591.53059535293</c:v>
                </c:pt>
                <c:pt idx="1">
                  <c:v>240714.08128781785</c:v>
                </c:pt>
                <c:pt idx="2">
                  <c:v>394623.51409297338</c:v>
                </c:pt>
                <c:pt idx="3">
                  <c:v>91614.169682123247</c:v>
                </c:pt>
                <c:pt idx="4">
                  <c:v>-195198.42852268054</c:v>
                </c:pt>
                <c:pt idx="5">
                  <c:v>317986.91052825522</c:v>
                </c:pt>
                <c:pt idx="6" formatCode="General">
                  <c:v>0</c:v>
                </c:pt>
                <c:pt idx="7" formatCode="_(* #,##0.00_);_(* \(#,##0.00\);_(* &quot;-&quot;??_);_(@_)">
                  <c:v>-3221203.6191289905</c:v>
                </c:pt>
                <c:pt idx="8" formatCode="_(* #,##0.00_);_(* \(#,##0.00\);_(* &quot;-&quot;??_);_(@_)">
                  <c:v>671344.8671355868</c:v>
                </c:pt>
                <c:pt idx="9">
                  <c:v>-2231871.8414651481</c:v>
                </c:pt>
              </c:numCache>
            </c:numRef>
          </c:val>
          <c:extLst>
            <c:ext xmlns:c16="http://schemas.microsoft.com/office/drawing/2014/chart" uri="{C3380CC4-5D6E-409C-BE32-E72D297353CC}">
              <c16:uniqueId val="{00000001-831D-4C93-99FF-BAE7F5144060}"/>
            </c:ext>
          </c:extLst>
        </c:ser>
        <c:ser>
          <c:idx val="2"/>
          <c:order val="2"/>
          <c:tx>
            <c:strRef>
              <c:f>'Year 2035 impact'!$N$5</c:f>
              <c:strCache>
                <c:ptCount val="1"/>
                <c:pt idx="0">
                  <c:v>circular</c:v>
                </c:pt>
              </c:strCache>
            </c:strRef>
          </c:tx>
          <c:spPr>
            <a:solidFill>
              <a:schemeClr val="accent3"/>
            </a:solidFill>
            <a:ln>
              <a:noFill/>
            </a:ln>
            <a:effectLst/>
          </c:spPr>
          <c:invertIfNegative val="0"/>
          <c:cat>
            <c:strRef>
              <c:f>'Year 2035 impact'!$I$6:$I$15</c:f>
              <c:strCache>
                <c:ptCount val="10"/>
                <c:pt idx="0">
                  <c:v>UK forestry operations</c:v>
                </c:pt>
                <c:pt idx="1">
                  <c:v>UK sawmills</c:v>
                </c:pt>
                <c:pt idx="2">
                  <c:v>UK woodpanel production</c:v>
                </c:pt>
                <c:pt idx="3">
                  <c:v>UK woodfuel production &amp; use</c:v>
                </c:pt>
                <c:pt idx="4">
                  <c:v>Change in UK HWP C storage</c:v>
                </c:pt>
                <c:pt idx="5">
                  <c:v>Change in imports emissions</c:v>
                </c:pt>
                <c:pt idx="6">
                  <c:v>Avoided emissions - reduced harvest</c:v>
                </c:pt>
                <c:pt idx="7">
                  <c:v>Avoided emissions - product substitution</c:v>
                </c:pt>
                <c:pt idx="8">
                  <c:v>Net (Scopes 1-3)</c:v>
                </c:pt>
                <c:pt idx="9">
                  <c:v>Net (Scopes 1-4)</c:v>
                </c:pt>
              </c:strCache>
            </c:strRef>
          </c:cat>
          <c:val>
            <c:numRef>
              <c:f>'Year 2035 impact'!$N$6:$N$15</c:f>
              <c:numCache>
                <c:formatCode>_-* #,##0_-;\-* #,##0_-;_-* "-"??_-;_-@_-</c:formatCode>
                <c:ptCount val="10"/>
                <c:pt idx="0" formatCode="_(* #,##0.00_);_(* \(#,##0.00\);_(* &quot;-&quot;??_);_(@_)">
                  <c:v>139591.53059535293</c:v>
                </c:pt>
                <c:pt idx="1">
                  <c:v>208209.52349007406</c:v>
                </c:pt>
                <c:pt idx="2">
                  <c:v>624586.92472645908</c:v>
                </c:pt>
                <c:pt idx="3">
                  <c:v>85813.973640188269</c:v>
                </c:pt>
                <c:pt idx="4">
                  <c:v>-421611.17859639297</c:v>
                </c:pt>
                <c:pt idx="5">
                  <c:v>-45234.657305574408</c:v>
                </c:pt>
                <c:pt idx="6">
                  <c:v>-1415163.08759224</c:v>
                </c:pt>
                <c:pt idx="7" formatCode="_(* #,##0.00_);_(* \(#,##0.00\);_(* &quot;-&quot;??_);_(@_)">
                  <c:v>-3031674.1982543403</c:v>
                </c:pt>
                <c:pt idx="8" formatCode="_(* #,##0.00_);_(* \(#,##0.00\);_(* &quot;-&quot;??_);_(@_)">
                  <c:v>636590.7738556813</c:v>
                </c:pt>
                <c:pt idx="9">
                  <c:v>-3855481.1692964733</c:v>
                </c:pt>
              </c:numCache>
            </c:numRef>
          </c:val>
          <c:extLst>
            <c:ext xmlns:c16="http://schemas.microsoft.com/office/drawing/2014/chart" uri="{C3380CC4-5D6E-409C-BE32-E72D297353CC}">
              <c16:uniqueId val="{00000002-831D-4C93-99FF-BAE7F5144060}"/>
            </c:ext>
          </c:extLst>
        </c:ser>
        <c:ser>
          <c:idx val="3"/>
          <c:order val="3"/>
          <c:tx>
            <c:strRef>
              <c:f>'Year 2035 impact'!$P$5</c:f>
              <c:strCache>
                <c:ptCount val="1"/>
                <c:pt idx="0">
                  <c:v>cascading&amp;circular</c:v>
                </c:pt>
              </c:strCache>
            </c:strRef>
          </c:tx>
          <c:spPr>
            <a:solidFill>
              <a:schemeClr val="accent4"/>
            </a:solidFill>
            <a:ln>
              <a:noFill/>
            </a:ln>
            <a:effectLst/>
          </c:spPr>
          <c:invertIfNegative val="0"/>
          <c:cat>
            <c:strRef>
              <c:f>'Year 2035 impact'!$I$6:$I$15</c:f>
              <c:strCache>
                <c:ptCount val="10"/>
                <c:pt idx="0">
                  <c:v>UK forestry operations</c:v>
                </c:pt>
                <c:pt idx="1">
                  <c:v>UK sawmills</c:v>
                </c:pt>
                <c:pt idx="2">
                  <c:v>UK woodpanel production</c:v>
                </c:pt>
                <c:pt idx="3">
                  <c:v>UK woodfuel production &amp; use</c:v>
                </c:pt>
                <c:pt idx="4">
                  <c:v>Change in UK HWP C storage</c:v>
                </c:pt>
                <c:pt idx="5">
                  <c:v>Change in imports emissions</c:v>
                </c:pt>
                <c:pt idx="6">
                  <c:v>Avoided emissions - reduced harvest</c:v>
                </c:pt>
                <c:pt idx="7">
                  <c:v>Avoided emissions - product substitution</c:v>
                </c:pt>
                <c:pt idx="8">
                  <c:v>Net (Scopes 1-3)</c:v>
                </c:pt>
                <c:pt idx="9">
                  <c:v>Net (Scopes 1-4)</c:v>
                </c:pt>
              </c:strCache>
            </c:strRef>
          </c:cat>
          <c:val>
            <c:numRef>
              <c:f>'Year 2035 impact'!$P$6:$P$15</c:f>
              <c:numCache>
                <c:formatCode>_-* #,##0_-;\-* #,##0_-;_-* "-"??_-;_-@_-</c:formatCode>
                <c:ptCount val="10"/>
                <c:pt idx="0" formatCode="_(* #,##0.00_);_(* \(#,##0.00\);_(* &quot;-&quot;??_);_(@_)">
                  <c:v>139591.53059535293</c:v>
                </c:pt>
                <c:pt idx="1">
                  <c:v>240714.08128781785</c:v>
                </c:pt>
                <c:pt idx="2">
                  <c:v>475621.84465304122</c:v>
                </c:pt>
                <c:pt idx="3">
                  <c:v>80755.503493702199</c:v>
                </c:pt>
                <c:pt idx="4">
                  <c:v>-508971.44939110818</c:v>
                </c:pt>
                <c:pt idx="5">
                  <c:v>106695.10390754415</c:v>
                </c:pt>
                <c:pt idx="6" formatCode="General">
                  <c:v>-1415163.08759224</c:v>
                </c:pt>
                <c:pt idx="7" formatCode="_(* #,##0.00_);_(* \(#,##0.00\);_(* &quot;-&quot;??_);_(@_)">
                  <c:v>-3031674.1982543403</c:v>
                </c:pt>
                <c:pt idx="8" formatCode="_(* #,##0.00_);_(* \(#,##0.00\);_(* &quot;-&quot;??_);_(@_)">
                  <c:v>427711.51063880598</c:v>
                </c:pt>
                <c:pt idx="9">
                  <c:v>-3912430.6713002301</c:v>
                </c:pt>
              </c:numCache>
            </c:numRef>
          </c:val>
          <c:extLst>
            <c:ext xmlns:c16="http://schemas.microsoft.com/office/drawing/2014/chart" uri="{C3380CC4-5D6E-409C-BE32-E72D297353CC}">
              <c16:uniqueId val="{00000003-831D-4C93-99FF-BAE7F5144060}"/>
            </c:ext>
          </c:extLst>
        </c:ser>
        <c:dLbls>
          <c:showLegendKey val="0"/>
          <c:showVal val="0"/>
          <c:showCatName val="0"/>
          <c:showSerName val="0"/>
          <c:showPercent val="0"/>
          <c:showBubbleSize val="0"/>
        </c:dLbls>
        <c:gapWidth val="219"/>
        <c:overlap val="-27"/>
        <c:axId val="843487024"/>
        <c:axId val="843487352"/>
      </c:barChart>
      <c:catAx>
        <c:axId val="843487024"/>
        <c:scaling>
          <c:orientation val="minMax"/>
        </c:scaling>
        <c:delete val="0"/>
        <c:axPos val="b"/>
        <c:numFmt formatCode="General" sourceLinked="1"/>
        <c:majorTickMark val="none"/>
        <c:minorTickMark val="none"/>
        <c:tickLblPos val="low"/>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843487352"/>
        <c:crosses val="autoZero"/>
        <c:auto val="1"/>
        <c:lblAlgn val="ctr"/>
        <c:lblOffset val="80"/>
        <c:noMultiLvlLbl val="0"/>
      </c:catAx>
      <c:valAx>
        <c:axId val="843487352"/>
        <c:scaling>
          <c:orientation val="minMax"/>
          <c:max val="20000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r>
                  <a:rPr lang="en-GB"/>
                  <a:t>UK forestry</a:t>
                </a:r>
                <a:r>
                  <a:rPr lang="en-GB" baseline="0"/>
                  <a:t> value chain GWP impact </a:t>
                </a:r>
              </a:p>
              <a:p>
                <a:pPr>
                  <a:defRPr/>
                </a:pPr>
                <a:r>
                  <a:rPr lang="en-GB" baseline="0"/>
                  <a:t>(</a:t>
                </a:r>
                <a:r>
                  <a:rPr lang="en-GB"/>
                  <a:t>Tonnes CO</a:t>
                </a:r>
                <a:r>
                  <a:rPr lang="en-GB" sz="900"/>
                  <a:t>2</a:t>
                </a:r>
                <a:r>
                  <a:rPr lang="en-GB" sz="1400"/>
                  <a:t>e</a:t>
                </a:r>
                <a:r>
                  <a:rPr lang="en-GB"/>
                  <a:t>)</a:t>
                </a:r>
              </a:p>
            </c:rich>
          </c:tx>
          <c:layout/>
          <c:overlay val="0"/>
          <c:spPr>
            <a:noFill/>
            <a:ln>
              <a:noFill/>
            </a:ln>
            <a:effectLst/>
          </c:spPr>
          <c:txPr>
            <a:bodyPr rot="-54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title>
        <c:numFmt formatCode="0.0E+0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crossAx val="843487024"/>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800" b="0" i="0" u="none" strike="noStrike" kern="1200" spc="0" baseline="0">
                <a:solidFill>
                  <a:sysClr val="windowText" lastClr="000000">
                    <a:lumMod val="65000"/>
                    <a:lumOff val="35000"/>
                  </a:sysClr>
                </a:solidFill>
                <a:latin typeface="+mn-lt"/>
                <a:ea typeface="+mn-ea"/>
                <a:cs typeface="+mn-cs"/>
              </a:defRPr>
            </a:pPr>
            <a:r>
              <a:rPr lang="en-GB" sz="1800" b="0" i="0" baseline="0">
                <a:effectLst/>
              </a:rPr>
              <a:t>Cumulative GWP impact (Scopes 1-4)</a:t>
            </a:r>
            <a:endParaRPr lang="en-GB" sz="1800">
              <a:effectLst/>
            </a:endParaRPr>
          </a:p>
        </c:rich>
      </c:tx>
      <c:layout>
        <c:manualLayout>
          <c:xMode val="edge"/>
          <c:yMode val="edge"/>
          <c:x val="0.38130067521436478"/>
          <c:y val="0"/>
        </c:manualLayout>
      </c:layout>
      <c:overlay val="0"/>
      <c:spPr>
        <a:noFill/>
        <a:ln>
          <a:noFill/>
        </a:ln>
        <a:effectLst/>
      </c:spPr>
      <c:txPr>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800" b="0" i="0" u="none" strike="noStrike" kern="1200" spc="0" baseline="0">
              <a:solidFill>
                <a:sysClr val="windowText" lastClr="000000">
                  <a:lumMod val="65000"/>
                  <a:lumOff val="35000"/>
                </a:sysClr>
              </a:solidFill>
              <a:latin typeface="+mn-lt"/>
              <a:ea typeface="+mn-ea"/>
              <a:cs typeface="+mn-cs"/>
            </a:defRPr>
          </a:pPr>
          <a:endParaRPr lang="en-US"/>
        </a:p>
      </c:txPr>
    </c:title>
    <c:autoTitleDeleted val="0"/>
    <c:plotArea>
      <c:layout/>
      <c:lineChart>
        <c:grouping val="standard"/>
        <c:varyColors val="0"/>
        <c:ser>
          <c:idx val="0"/>
          <c:order val="0"/>
          <c:tx>
            <c:strRef>
              <c:f>'Cum. impacts (Scopes1-4)'!$F$60</c:f>
              <c:strCache>
                <c:ptCount val="1"/>
                <c:pt idx="0">
                  <c:v>BAU</c:v>
                </c:pt>
              </c:strCache>
            </c:strRef>
          </c:tx>
          <c:spPr>
            <a:ln w="28575" cap="rnd">
              <a:solidFill>
                <a:schemeClr val="accent1"/>
              </a:solidFill>
              <a:round/>
            </a:ln>
            <a:effectLst/>
          </c:spPr>
          <c:marker>
            <c:symbol val="none"/>
          </c:marker>
          <c:cat>
            <c:numRef>
              <c:extLst>
                <c:ext xmlns:c15="http://schemas.microsoft.com/office/drawing/2012/chart" uri="{02D57815-91ED-43cb-92C2-25804820EDAC}">
                  <c15:fullRef>
                    <c15:sqref>'Cum. impacts (Scopes1-4)'!$A$61:$A$91</c15:sqref>
                  </c15:fullRef>
                </c:ext>
              </c:extLst>
              <c:f>'Cum. impacts (Scopes1-4)'!$A$63:$A$91</c:f>
              <c:numCache>
                <c:formatCode>General</c:formatCode>
                <c:ptCount val="2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pt idx="19">
                  <c:v>2041</c:v>
                </c:pt>
                <c:pt idx="20">
                  <c:v>2042</c:v>
                </c:pt>
                <c:pt idx="21">
                  <c:v>2043</c:v>
                </c:pt>
                <c:pt idx="22">
                  <c:v>2044</c:v>
                </c:pt>
                <c:pt idx="23">
                  <c:v>2045</c:v>
                </c:pt>
                <c:pt idx="24">
                  <c:v>2046</c:v>
                </c:pt>
                <c:pt idx="25">
                  <c:v>2047</c:v>
                </c:pt>
                <c:pt idx="26">
                  <c:v>2048</c:v>
                </c:pt>
                <c:pt idx="27">
                  <c:v>2049</c:v>
                </c:pt>
                <c:pt idx="28">
                  <c:v>2050</c:v>
                </c:pt>
              </c:numCache>
            </c:numRef>
          </c:cat>
          <c:val>
            <c:numRef>
              <c:extLst>
                <c:ext xmlns:c15="http://schemas.microsoft.com/office/drawing/2012/chart" uri="{02D57815-91ED-43cb-92C2-25804820EDAC}">
                  <c15:fullRef>
                    <c15:sqref>'Cum. impacts (Scopes1-4)'!$F$61:$F$91</c15:sqref>
                  </c15:fullRef>
                </c:ext>
              </c:extLst>
              <c:f>'Cum. impacts (Scopes1-4)'!$F$63:$F$91</c:f>
              <c:numCache>
                <c:formatCode>General</c:formatCode>
                <c:ptCount val="29"/>
                <c:pt idx="0">
                  <c:v>0</c:v>
                </c:pt>
                <c:pt idx="1">
                  <c:v>-2588950.9947228422</c:v>
                </c:pt>
                <c:pt idx="2">
                  <c:v>-5177901.9894456845</c:v>
                </c:pt>
                <c:pt idx="3">
                  <c:v>-7766852.9841685267</c:v>
                </c:pt>
                <c:pt idx="4">
                  <c:v>-10355803.978891369</c:v>
                </c:pt>
                <c:pt idx="5">
                  <c:v>-12944754.973614212</c:v>
                </c:pt>
                <c:pt idx="6">
                  <c:v>-15533705.968337055</c:v>
                </c:pt>
                <c:pt idx="7">
                  <c:v>-18122656.963059898</c:v>
                </c:pt>
                <c:pt idx="8">
                  <c:v>-20220750.842444718</c:v>
                </c:pt>
                <c:pt idx="9">
                  <c:v>-22318844.721829537</c:v>
                </c:pt>
                <c:pt idx="10">
                  <c:v>-24416938.601214357</c:v>
                </c:pt>
                <c:pt idx="11">
                  <c:v>-26515032.480599176</c:v>
                </c:pt>
                <c:pt idx="12">
                  <c:v>-28613126.359983996</c:v>
                </c:pt>
                <c:pt idx="13">
                  <c:v>-30711220.239368815</c:v>
                </c:pt>
                <c:pt idx="14">
                  <c:v>-32809314.118753634</c:v>
                </c:pt>
                <c:pt idx="15">
                  <c:v>-34907407.998138458</c:v>
                </c:pt>
                <c:pt idx="16">
                  <c:v>-37005501.877523281</c:v>
                </c:pt>
                <c:pt idx="17">
                  <c:v>-39103595.756908104</c:v>
                </c:pt>
                <c:pt idx="18">
                  <c:v>-40500901.268067494</c:v>
                </c:pt>
                <c:pt idx="19">
                  <c:v>-41898206.779226884</c:v>
                </c:pt>
                <c:pt idx="20">
                  <c:v>-43295512.290386274</c:v>
                </c:pt>
                <c:pt idx="21">
                  <c:v>-44692817.801545665</c:v>
                </c:pt>
                <c:pt idx="22">
                  <c:v>-46090123.312705055</c:v>
                </c:pt>
                <c:pt idx="23">
                  <c:v>-47487428.823864445</c:v>
                </c:pt>
                <c:pt idx="24">
                  <c:v>-48884734.335023835</c:v>
                </c:pt>
                <c:pt idx="25">
                  <c:v>-50282039.846183226</c:v>
                </c:pt>
                <c:pt idx="26">
                  <c:v>-51679345.357342616</c:v>
                </c:pt>
                <c:pt idx="27">
                  <c:v>-53076650.868502006</c:v>
                </c:pt>
                <c:pt idx="28" formatCode="_-* #,##0_-;\-* #,##0_-;_-* &quot;-&quot;??_-;_-@_-">
                  <c:v>-54284750.630184956</c:v>
                </c:pt>
              </c:numCache>
            </c:numRef>
          </c:val>
          <c:smooth val="0"/>
          <c:extLst xmlns:c15="http://schemas.microsoft.com/office/drawing/2012/chart">
            <c:ext xmlns:c16="http://schemas.microsoft.com/office/drawing/2014/chart" uri="{C3380CC4-5D6E-409C-BE32-E72D297353CC}">
              <c16:uniqueId val="{00000000-89A5-49C3-A325-6124EC6737C4}"/>
            </c:ext>
          </c:extLst>
        </c:ser>
        <c:ser>
          <c:idx val="1"/>
          <c:order val="1"/>
          <c:tx>
            <c:strRef>
              <c:f>'Cum. impacts (Scopes1-4)'!$G$60</c:f>
              <c:strCache>
                <c:ptCount val="1"/>
                <c:pt idx="0">
                  <c:v>cascading</c:v>
                </c:pt>
              </c:strCache>
            </c:strRef>
          </c:tx>
          <c:spPr>
            <a:ln w="28575" cap="rnd">
              <a:solidFill>
                <a:schemeClr val="accent2"/>
              </a:solidFill>
              <a:round/>
            </a:ln>
            <a:effectLst/>
          </c:spPr>
          <c:marker>
            <c:symbol val="none"/>
          </c:marker>
          <c:cat>
            <c:numRef>
              <c:extLst>
                <c:ext xmlns:c15="http://schemas.microsoft.com/office/drawing/2012/chart" uri="{02D57815-91ED-43cb-92C2-25804820EDAC}">
                  <c15:fullRef>
                    <c15:sqref>'Cum. impacts (Scopes1-4)'!$A$61:$A$91</c15:sqref>
                  </c15:fullRef>
                </c:ext>
              </c:extLst>
              <c:f>'Cum. impacts (Scopes1-4)'!$A$63:$A$91</c:f>
              <c:numCache>
                <c:formatCode>General</c:formatCode>
                <c:ptCount val="2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pt idx="19">
                  <c:v>2041</c:v>
                </c:pt>
                <c:pt idx="20">
                  <c:v>2042</c:v>
                </c:pt>
                <c:pt idx="21">
                  <c:v>2043</c:v>
                </c:pt>
                <c:pt idx="22">
                  <c:v>2044</c:v>
                </c:pt>
                <c:pt idx="23">
                  <c:v>2045</c:v>
                </c:pt>
                <c:pt idx="24">
                  <c:v>2046</c:v>
                </c:pt>
                <c:pt idx="25">
                  <c:v>2047</c:v>
                </c:pt>
                <c:pt idx="26">
                  <c:v>2048</c:v>
                </c:pt>
                <c:pt idx="27">
                  <c:v>2049</c:v>
                </c:pt>
                <c:pt idx="28">
                  <c:v>2050</c:v>
                </c:pt>
              </c:numCache>
            </c:numRef>
          </c:cat>
          <c:val>
            <c:numRef>
              <c:extLst>
                <c:ext xmlns:c15="http://schemas.microsoft.com/office/drawing/2012/chart" uri="{02D57815-91ED-43cb-92C2-25804820EDAC}">
                  <c15:fullRef>
                    <c15:sqref>'Cum. impacts (Scopes1-4)'!$G$61:$G$91</c15:sqref>
                  </c15:fullRef>
                </c:ext>
              </c:extLst>
              <c:f>'Cum. impacts (Scopes1-4)'!$G$63:$G$91</c:f>
              <c:numCache>
                <c:formatCode>General</c:formatCode>
                <c:ptCount val="29"/>
                <c:pt idx="0">
                  <c:v>0</c:v>
                </c:pt>
                <c:pt idx="1">
                  <c:v>-2588950.9947228422</c:v>
                </c:pt>
                <c:pt idx="2">
                  <c:v>-5177901.9894456845</c:v>
                </c:pt>
                <c:pt idx="3">
                  <c:v>-7766852.9841685267</c:v>
                </c:pt>
                <c:pt idx="4">
                  <c:v>-10355803.978891369</c:v>
                </c:pt>
                <c:pt idx="5">
                  <c:v>-12944754.973614212</c:v>
                </c:pt>
                <c:pt idx="6">
                  <c:v>-15636072.349491723</c:v>
                </c:pt>
                <c:pt idx="7">
                  <c:v>-18327389.725369234</c:v>
                </c:pt>
                <c:pt idx="8">
                  <c:v>-20568464.931951638</c:v>
                </c:pt>
                <c:pt idx="9">
                  <c:v>-22809540.138534043</c:v>
                </c:pt>
                <c:pt idx="10">
                  <c:v>-25050615.345116448</c:v>
                </c:pt>
                <c:pt idx="11">
                  <c:v>-27291690.551698852</c:v>
                </c:pt>
                <c:pt idx="12">
                  <c:v>-29532765.758281257</c:v>
                </c:pt>
                <c:pt idx="13">
                  <c:v>-31773840.964863662</c:v>
                </c:pt>
                <c:pt idx="14">
                  <c:v>-34014916.17144607</c:v>
                </c:pt>
                <c:pt idx="15">
                  <c:v>-36255991.378028475</c:v>
                </c:pt>
                <c:pt idx="16">
                  <c:v>-38497066.584610879</c:v>
                </c:pt>
                <c:pt idx="17">
                  <c:v>-40738141.791193284</c:v>
                </c:pt>
                <c:pt idx="18">
                  <c:v>-42295580.719859652</c:v>
                </c:pt>
                <c:pt idx="19">
                  <c:v>-43853019.64852602</c:v>
                </c:pt>
                <c:pt idx="20">
                  <c:v>-45410458.577192388</c:v>
                </c:pt>
                <c:pt idx="21">
                  <c:v>-46967897.505858757</c:v>
                </c:pt>
                <c:pt idx="22">
                  <c:v>-48525336.434525125</c:v>
                </c:pt>
                <c:pt idx="23">
                  <c:v>-50082775.363191493</c:v>
                </c:pt>
                <c:pt idx="24">
                  <c:v>-51640214.291857861</c:v>
                </c:pt>
                <c:pt idx="25">
                  <c:v>-53197653.220524229</c:v>
                </c:pt>
                <c:pt idx="26">
                  <c:v>-54755092.149190597</c:v>
                </c:pt>
                <c:pt idx="27">
                  <c:v>-56312531.077856965</c:v>
                </c:pt>
                <c:pt idx="28" formatCode="_-* #,##0_-;\-* #,##0_-;_-* &quot;-&quot;??_-;_-@_-">
                  <c:v>-57693845.780066632</c:v>
                </c:pt>
              </c:numCache>
            </c:numRef>
          </c:val>
          <c:smooth val="0"/>
          <c:extLst xmlns:c15="http://schemas.microsoft.com/office/drawing/2012/chart">
            <c:ext xmlns:c16="http://schemas.microsoft.com/office/drawing/2014/chart" uri="{C3380CC4-5D6E-409C-BE32-E72D297353CC}">
              <c16:uniqueId val="{00000001-89A5-49C3-A325-6124EC6737C4}"/>
            </c:ext>
          </c:extLst>
        </c:ser>
        <c:ser>
          <c:idx val="2"/>
          <c:order val="2"/>
          <c:tx>
            <c:strRef>
              <c:f>'Cum. impacts (Scopes1-4)'!$H$60</c:f>
              <c:strCache>
                <c:ptCount val="1"/>
                <c:pt idx="0">
                  <c:v>circular</c:v>
                </c:pt>
              </c:strCache>
            </c:strRef>
          </c:tx>
          <c:spPr>
            <a:ln w="28575" cap="rnd">
              <a:solidFill>
                <a:schemeClr val="accent3"/>
              </a:solidFill>
              <a:round/>
            </a:ln>
            <a:effectLst/>
          </c:spPr>
          <c:marker>
            <c:symbol val="none"/>
          </c:marker>
          <c:cat>
            <c:numRef>
              <c:extLst>
                <c:ext xmlns:c15="http://schemas.microsoft.com/office/drawing/2012/chart" uri="{02D57815-91ED-43cb-92C2-25804820EDAC}">
                  <c15:fullRef>
                    <c15:sqref>'Cum. impacts (Scopes1-4)'!$A$61:$A$91</c15:sqref>
                  </c15:fullRef>
                </c:ext>
              </c:extLst>
              <c:f>'Cum. impacts (Scopes1-4)'!$A$63:$A$91</c:f>
              <c:numCache>
                <c:formatCode>General</c:formatCode>
                <c:ptCount val="2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pt idx="19">
                  <c:v>2041</c:v>
                </c:pt>
                <c:pt idx="20">
                  <c:v>2042</c:v>
                </c:pt>
                <c:pt idx="21">
                  <c:v>2043</c:v>
                </c:pt>
                <c:pt idx="22">
                  <c:v>2044</c:v>
                </c:pt>
                <c:pt idx="23">
                  <c:v>2045</c:v>
                </c:pt>
                <c:pt idx="24">
                  <c:v>2046</c:v>
                </c:pt>
                <c:pt idx="25">
                  <c:v>2047</c:v>
                </c:pt>
                <c:pt idx="26">
                  <c:v>2048</c:v>
                </c:pt>
                <c:pt idx="27">
                  <c:v>2049</c:v>
                </c:pt>
                <c:pt idx="28">
                  <c:v>2050</c:v>
                </c:pt>
              </c:numCache>
            </c:numRef>
          </c:cat>
          <c:val>
            <c:numRef>
              <c:extLst>
                <c:ext xmlns:c15="http://schemas.microsoft.com/office/drawing/2012/chart" uri="{02D57815-91ED-43cb-92C2-25804820EDAC}">
                  <c15:fullRef>
                    <c15:sqref>'Cum. impacts (Scopes1-4)'!$H$61:$H$91</c15:sqref>
                  </c15:fullRef>
                </c:ext>
              </c:extLst>
              <c:f>'Cum. impacts (Scopes1-4)'!$H$63:$H$91</c:f>
              <c:numCache>
                <c:formatCode>General</c:formatCode>
                <c:ptCount val="29"/>
                <c:pt idx="0">
                  <c:v>0</c:v>
                </c:pt>
                <c:pt idx="1">
                  <c:v>-2588950.9947228422</c:v>
                </c:pt>
                <c:pt idx="2">
                  <c:v>-5177901.9894456845</c:v>
                </c:pt>
                <c:pt idx="3">
                  <c:v>-7766852.9841685267</c:v>
                </c:pt>
                <c:pt idx="4">
                  <c:v>-10355803.978891369</c:v>
                </c:pt>
                <c:pt idx="5">
                  <c:v>-12944754.973614212</c:v>
                </c:pt>
                <c:pt idx="6">
                  <c:v>-17311757.938997842</c:v>
                </c:pt>
                <c:pt idx="7">
                  <c:v>-21678760.904381469</c:v>
                </c:pt>
                <c:pt idx="8">
                  <c:v>-25542834.022699837</c:v>
                </c:pt>
                <c:pt idx="9">
                  <c:v>-29406907.141018204</c:v>
                </c:pt>
                <c:pt idx="10">
                  <c:v>-33270980.259336572</c:v>
                </c:pt>
                <c:pt idx="11">
                  <c:v>-37135053.37765494</c:v>
                </c:pt>
                <c:pt idx="12">
                  <c:v>-40999126.495973304</c:v>
                </c:pt>
                <c:pt idx="13">
                  <c:v>-44863199.614291668</c:v>
                </c:pt>
                <c:pt idx="14">
                  <c:v>-48727272.732610032</c:v>
                </c:pt>
                <c:pt idx="15">
                  <c:v>-52591345.850928396</c:v>
                </c:pt>
                <c:pt idx="16">
                  <c:v>-56455418.96924676</c:v>
                </c:pt>
                <c:pt idx="17">
                  <c:v>-60319492.087565124</c:v>
                </c:pt>
                <c:pt idx="18">
                  <c:v>-63506714.676447116</c:v>
                </c:pt>
                <c:pt idx="19">
                  <c:v>-66693937.265329108</c:v>
                </c:pt>
                <c:pt idx="20">
                  <c:v>-69881159.854211092</c:v>
                </c:pt>
                <c:pt idx="21">
                  <c:v>-73068382.443093076</c:v>
                </c:pt>
                <c:pt idx="22">
                  <c:v>-76255605.031975061</c:v>
                </c:pt>
                <c:pt idx="23">
                  <c:v>-79442827.620857045</c:v>
                </c:pt>
                <c:pt idx="24">
                  <c:v>-82630050.209739029</c:v>
                </c:pt>
                <c:pt idx="25">
                  <c:v>-85817272.798621014</c:v>
                </c:pt>
                <c:pt idx="26">
                  <c:v>-89004495.387502998</c:v>
                </c:pt>
                <c:pt idx="27">
                  <c:v>-92191717.976384982</c:v>
                </c:pt>
                <c:pt idx="28" formatCode="_-* #,##0_-;\-* #,##0_-;_-* &quot;-&quot;??_-;_-@_-">
                  <c:v>-95187676.648315698</c:v>
                </c:pt>
              </c:numCache>
            </c:numRef>
          </c:val>
          <c:smooth val="0"/>
          <c:extLst xmlns:c15="http://schemas.microsoft.com/office/drawing/2012/chart">
            <c:ext xmlns:c16="http://schemas.microsoft.com/office/drawing/2014/chart" uri="{C3380CC4-5D6E-409C-BE32-E72D297353CC}">
              <c16:uniqueId val="{00000002-89A5-49C3-A325-6124EC6737C4}"/>
            </c:ext>
          </c:extLst>
        </c:ser>
        <c:ser>
          <c:idx val="3"/>
          <c:order val="3"/>
          <c:tx>
            <c:strRef>
              <c:f>'Cum. impacts (Scopes1-4)'!$I$60</c:f>
              <c:strCache>
                <c:ptCount val="1"/>
                <c:pt idx="0">
                  <c:v>cascading&amp;circular</c:v>
                </c:pt>
              </c:strCache>
            </c:strRef>
          </c:tx>
          <c:spPr>
            <a:ln w="28575" cap="rnd">
              <a:solidFill>
                <a:schemeClr val="accent4"/>
              </a:solidFill>
              <a:round/>
            </a:ln>
            <a:effectLst/>
          </c:spPr>
          <c:marker>
            <c:symbol val="none"/>
          </c:marker>
          <c:cat>
            <c:numRef>
              <c:extLst>
                <c:ext xmlns:c15="http://schemas.microsoft.com/office/drawing/2012/chart" uri="{02D57815-91ED-43cb-92C2-25804820EDAC}">
                  <c15:fullRef>
                    <c15:sqref>'Cum. impacts (Scopes1-4)'!$A$61:$A$91</c15:sqref>
                  </c15:fullRef>
                </c:ext>
              </c:extLst>
              <c:f>'Cum. impacts (Scopes1-4)'!$A$63:$A$91</c:f>
              <c:numCache>
                <c:formatCode>General</c:formatCode>
                <c:ptCount val="2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pt idx="19">
                  <c:v>2041</c:v>
                </c:pt>
                <c:pt idx="20">
                  <c:v>2042</c:v>
                </c:pt>
                <c:pt idx="21">
                  <c:v>2043</c:v>
                </c:pt>
                <c:pt idx="22">
                  <c:v>2044</c:v>
                </c:pt>
                <c:pt idx="23">
                  <c:v>2045</c:v>
                </c:pt>
                <c:pt idx="24">
                  <c:v>2046</c:v>
                </c:pt>
                <c:pt idx="25">
                  <c:v>2047</c:v>
                </c:pt>
                <c:pt idx="26">
                  <c:v>2048</c:v>
                </c:pt>
                <c:pt idx="27">
                  <c:v>2049</c:v>
                </c:pt>
                <c:pt idx="28">
                  <c:v>2050</c:v>
                </c:pt>
              </c:numCache>
            </c:numRef>
          </c:cat>
          <c:val>
            <c:numRef>
              <c:extLst>
                <c:ext xmlns:c15="http://schemas.microsoft.com/office/drawing/2012/chart" uri="{02D57815-91ED-43cb-92C2-25804820EDAC}">
                  <c15:fullRef>
                    <c15:sqref>'Cum. impacts (Scopes1-4)'!$I$61:$I$91</c15:sqref>
                  </c15:fullRef>
                </c:ext>
              </c:extLst>
              <c:f>'Cum. impacts (Scopes1-4)'!$I$63:$I$91</c:f>
              <c:numCache>
                <c:formatCode>General</c:formatCode>
                <c:ptCount val="29"/>
                <c:pt idx="0">
                  <c:v>0</c:v>
                </c:pt>
                <c:pt idx="1">
                  <c:v>-2588950.9947228422</c:v>
                </c:pt>
                <c:pt idx="2">
                  <c:v>-5177901.9894456845</c:v>
                </c:pt>
                <c:pt idx="3">
                  <c:v>-7766852.9841685267</c:v>
                </c:pt>
                <c:pt idx="4">
                  <c:v>-10355803.978891369</c:v>
                </c:pt>
                <c:pt idx="5">
                  <c:v>-12944754.973614212</c:v>
                </c:pt>
                <c:pt idx="6">
                  <c:v>-17345443.134058148</c:v>
                </c:pt>
                <c:pt idx="7">
                  <c:v>-21746131.294502079</c:v>
                </c:pt>
                <c:pt idx="8">
                  <c:v>-25667372.988530111</c:v>
                </c:pt>
                <c:pt idx="9">
                  <c:v>-29588614.682558142</c:v>
                </c:pt>
                <c:pt idx="10">
                  <c:v>-33509856.376586173</c:v>
                </c:pt>
                <c:pt idx="11">
                  <c:v>-37431098.070614204</c:v>
                </c:pt>
                <c:pt idx="12">
                  <c:v>-41352339.764642239</c:v>
                </c:pt>
                <c:pt idx="13">
                  <c:v>-45273581.458670273</c:v>
                </c:pt>
                <c:pt idx="14">
                  <c:v>-49194823.152698308</c:v>
                </c:pt>
                <c:pt idx="15">
                  <c:v>-53116064.846726343</c:v>
                </c:pt>
                <c:pt idx="16">
                  <c:v>-57037306.540754378</c:v>
                </c:pt>
                <c:pt idx="17">
                  <c:v>-60958548.234782413</c:v>
                </c:pt>
                <c:pt idx="18">
                  <c:v>-64212856.661488414</c:v>
                </c:pt>
                <c:pt idx="19">
                  <c:v>-67467165.088194415</c:v>
                </c:pt>
                <c:pt idx="20">
                  <c:v>-70721473.514900416</c:v>
                </c:pt>
                <c:pt idx="21">
                  <c:v>-73975781.941606417</c:v>
                </c:pt>
                <c:pt idx="22">
                  <c:v>-77230090.368312418</c:v>
                </c:pt>
                <c:pt idx="23">
                  <c:v>-80484398.79501842</c:v>
                </c:pt>
                <c:pt idx="24">
                  <c:v>-83738707.221724421</c:v>
                </c:pt>
                <c:pt idx="25">
                  <c:v>-86993015.648430422</c:v>
                </c:pt>
                <c:pt idx="26">
                  <c:v>-90247324.075136423</c:v>
                </c:pt>
                <c:pt idx="27">
                  <c:v>-93501632.501842424</c:v>
                </c:pt>
                <c:pt idx="28" formatCode="_-* #,##0_-;\-* #,##0_-;_-* &quot;-&quot;??_-;_-@_-">
                  <c:v>-96572240.689860359</c:v>
                </c:pt>
              </c:numCache>
            </c:numRef>
          </c:val>
          <c:smooth val="0"/>
          <c:extLst xmlns:c15="http://schemas.microsoft.com/office/drawing/2012/chart">
            <c:ext xmlns:c16="http://schemas.microsoft.com/office/drawing/2014/chart" uri="{C3380CC4-5D6E-409C-BE32-E72D297353CC}">
              <c16:uniqueId val="{00000003-89A5-49C3-A325-6124EC6737C4}"/>
            </c:ext>
          </c:extLst>
        </c:ser>
        <c:ser>
          <c:idx val="4"/>
          <c:order val="4"/>
          <c:tx>
            <c:v>Afforestation</c:v>
          </c:tx>
          <c:spPr>
            <a:ln w="28575" cap="rnd">
              <a:solidFill>
                <a:schemeClr val="accent5"/>
              </a:solidFill>
              <a:prstDash val="sysDash"/>
              <a:round/>
            </a:ln>
            <a:effectLst/>
          </c:spPr>
          <c:marker>
            <c:symbol val="none"/>
          </c:marker>
          <c:cat>
            <c:strLit>
              <c:ptCount val="2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pt idx="19">
                <c:v>2041</c:v>
              </c:pt>
              <c:pt idx="20">
                <c:v>2042</c:v>
              </c:pt>
              <c:pt idx="21">
                <c:v>2043</c:v>
              </c:pt>
              <c:pt idx="22">
                <c:v>2044</c:v>
              </c:pt>
              <c:pt idx="23">
                <c:v>2045</c:v>
              </c:pt>
              <c:pt idx="24">
                <c:v>2046</c:v>
              </c:pt>
              <c:pt idx="25">
                <c:v>2047</c:v>
              </c:pt>
              <c:pt idx="26">
                <c:v>2048</c:v>
              </c:pt>
              <c:pt idx="27">
                <c:v>2049</c:v>
              </c:pt>
              <c:pt idx="28">
                <c:v>2050</c:v>
              </c:pt>
              <c:extLst>
                <c:ext xmlns:c15="http://schemas.microsoft.com/office/drawing/2012/chart" uri="{02D57815-91ED-43cb-92C2-25804820EDAC}">
                  <c15:autoCat val="1"/>
                </c:ext>
              </c:extLst>
            </c:strLit>
          </c:cat>
          <c:val>
            <c:numRef>
              <c:extLst>
                <c:ext xmlns:c15="http://schemas.microsoft.com/office/drawing/2012/chart" uri="{02D57815-91ED-43cb-92C2-25804820EDAC}">
                  <c15:fullRef>
                    <c15:sqref>Afforestation!$AI$39:$AI$69</c15:sqref>
                  </c15:fullRef>
                </c:ext>
              </c:extLst>
              <c:f>Afforestation!$AI$41:$AI$69</c:f>
              <c:numCache>
                <c:formatCode>_(* #,##0.00_);_(* \(#,##0.00\);_(* "-"??_);_(@_)</c:formatCode>
                <c:ptCount val="29"/>
                <c:pt idx="0">
                  <c:v>-13716.662777630687</c:v>
                </c:pt>
                <c:pt idx="1">
                  <c:v>-130506.57145440213</c:v>
                </c:pt>
                <c:pt idx="2">
                  <c:v>-364773.64699927811</c:v>
                </c:pt>
                <c:pt idx="3">
                  <c:v>-756077.84070980677</c:v>
                </c:pt>
                <c:pt idx="4">
                  <c:v>-1344949.0758568484</c:v>
                </c:pt>
                <c:pt idx="5">
                  <c:v>-2172381.8161807531</c:v>
                </c:pt>
                <c:pt idx="6">
                  <c:v>-3279383.4032203094</c:v>
                </c:pt>
                <c:pt idx="7">
                  <c:v>-4706574.5008689007</c:v>
                </c:pt>
                <c:pt idx="8">
                  <c:v>-6493835.6974686468</c:v>
                </c:pt>
                <c:pt idx="9">
                  <c:v>-8680004.0941458587</c:v>
                </c:pt>
                <c:pt idx="10">
                  <c:v>-11302612.340129739</c:v>
                </c:pt>
                <c:pt idx="11">
                  <c:v>-14397669.343801996</c:v>
                </c:pt>
                <c:pt idx="12">
                  <c:v>-17999479.059254292</c:v>
                </c:pt>
                <c:pt idx="13">
                  <c:v>-22140486.918687571</c:v>
                </c:pt>
                <c:pt idx="14">
                  <c:v>-26851155.864915323</c:v>
                </c:pt>
                <c:pt idx="15">
                  <c:v>-32159864.355783302</c:v>
                </c:pt>
                <c:pt idx="16">
                  <c:v>-38092819.419361807</c:v>
                </c:pt>
                <c:pt idx="17">
                  <c:v>-44468569.620616205</c:v>
                </c:pt>
                <c:pt idx="18">
                  <c:v>-51365779.491694771</c:v>
                </c:pt>
                <c:pt idx="19">
                  <c:v>-58791406.689863294</c:v>
                </c:pt>
                <c:pt idx="20">
                  <c:v>-66750112.11331626</c:v>
                </c:pt>
                <c:pt idx="21">
                  <c:v>-75406231.946461335</c:v>
                </c:pt>
                <c:pt idx="22">
                  <c:v>-84737770.215325028</c:v>
                </c:pt>
                <c:pt idx="23">
                  <c:v>-95127777.29011853</c:v>
                </c:pt>
                <c:pt idx="24">
                  <c:v>-106564158.44981565</c:v>
                </c:pt>
                <c:pt idx="25">
                  <c:v>-119037084.80829425</c:v>
                </c:pt>
                <c:pt idx="26">
                  <c:v>-132538423.73849608</c:v>
                </c:pt>
                <c:pt idx="27">
                  <c:v>-147061359.05654296</c:v>
                </c:pt>
                <c:pt idx="28">
                  <c:v>-162252958.10017708</c:v>
                </c:pt>
              </c:numCache>
            </c:numRef>
          </c:val>
          <c:smooth val="0"/>
          <c:extLst>
            <c:ext xmlns:c16="http://schemas.microsoft.com/office/drawing/2014/chart" uri="{C3380CC4-5D6E-409C-BE32-E72D297353CC}">
              <c16:uniqueId val="{00000000-C309-4814-BDF3-E1FA4E4CF2F4}"/>
            </c:ext>
          </c:extLst>
        </c:ser>
        <c:dLbls>
          <c:showLegendKey val="0"/>
          <c:showVal val="0"/>
          <c:showCatName val="0"/>
          <c:showSerName val="0"/>
          <c:showPercent val="0"/>
          <c:showBubbleSize val="0"/>
        </c:dLbls>
        <c:smooth val="0"/>
        <c:axId val="1030601136"/>
        <c:axId val="1030598184"/>
        <c:extLst/>
      </c:lineChart>
      <c:catAx>
        <c:axId val="1030601136"/>
        <c:scaling>
          <c:orientation val="minMax"/>
        </c:scaling>
        <c:delete val="0"/>
        <c:axPos val="b"/>
        <c:title>
          <c:tx>
            <c:rich>
              <a:bodyPr rot="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r>
                  <a:rPr lang="en-GB" sz="1600"/>
                  <a:t>Year</a:t>
                </a:r>
              </a:p>
            </c:rich>
          </c:tx>
          <c:layout>
            <c:manualLayout>
              <c:xMode val="edge"/>
              <c:yMode val="edge"/>
              <c:x val="0.91182218236270618"/>
              <c:y val="0.15116597052411537"/>
            </c:manualLayout>
          </c:layout>
          <c:overlay val="0"/>
          <c:spPr>
            <a:noFill/>
            <a:ln>
              <a:noFill/>
            </a:ln>
            <a:effectLst/>
          </c:spPr>
          <c:txPr>
            <a:bodyPr rot="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high"/>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crossAx val="1030598184"/>
        <c:crosses val="autoZero"/>
        <c:auto val="1"/>
        <c:lblAlgn val="ctr"/>
        <c:lblOffset val="100"/>
        <c:noMultiLvlLbl val="0"/>
      </c:catAx>
      <c:valAx>
        <c:axId val="103059818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sz="1600"/>
                  <a:t>Tonnes CO2e</a:t>
                </a:r>
              </a:p>
            </c:rich>
          </c:tx>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E+00" sourceLinked="0"/>
        <c:majorTickMark val="none"/>
        <c:minorTickMark val="none"/>
        <c:tickLblPos val="nextTo"/>
        <c:spPr>
          <a:noFill/>
          <a:ln>
            <a:noFill/>
          </a:ln>
          <a:effectLst/>
        </c:spPr>
        <c:txPr>
          <a:bodyPr rot="-600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en-US"/>
          </a:p>
        </c:txPr>
        <c:crossAx val="1030601136"/>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600" b="0" i="0" u="none" strike="noStrike" kern="1200" spc="0" baseline="0">
                <a:solidFill>
                  <a:sysClr val="windowText" lastClr="000000">
                    <a:lumMod val="65000"/>
                    <a:lumOff val="35000"/>
                  </a:sysClr>
                </a:solidFill>
                <a:latin typeface="+mn-lt"/>
                <a:ea typeface="+mn-ea"/>
                <a:cs typeface="+mn-cs"/>
              </a:defRPr>
            </a:pPr>
            <a:r>
              <a:rPr lang="en-GB" sz="1800" b="0" i="0" u="none" strike="noStrike" baseline="0">
                <a:effectLst/>
              </a:rPr>
              <a:t>Annual GWP impact </a:t>
            </a:r>
            <a:r>
              <a:rPr lang="en-GB" sz="1800" b="0" i="0" baseline="0">
                <a:effectLst/>
              </a:rPr>
              <a:t>(Scopes1-4) under stepped decadal decarbonisation </a:t>
            </a:r>
            <a:endParaRPr lang="en-GB" sz="1600">
              <a:effectLst/>
            </a:endParaRPr>
          </a:p>
        </c:rich>
      </c:tx>
      <c:layout/>
      <c:overlay val="0"/>
      <c:spPr>
        <a:noFill/>
        <a:ln>
          <a:noFill/>
        </a:ln>
        <a:effectLst/>
      </c:spPr>
      <c:txPr>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600" b="0" i="0" u="none" strike="noStrike" kern="1200" spc="0" baseline="0">
              <a:solidFill>
                <a:sysClr val="windowText" lastClr="000000">
                  <a:lumMod val="65000"/>
                  <a:lumOff val="35000"/>
                </a:sysClr>
              </a:solidFill>
              <a:latin typeface="+mn-lt"/>
              <a:ea typeface="+mn-ea"/>
              <a:cs typeface="+mn-cs"/>
            </a:defRPr>
          </a:pPr>
          <a:endParaRPr lang="en-US"/>
        </a:p>
      </c:txPr>
    </c:title>
    <c:autoTitleDeleted val="0"/>
    <c:plotArea>
      <c:layout/>
      <c:lineChart>
        <c:grouping val="standard"/>
        <c:varyColors val="0"/>
        <c:ser>
          <c:idx val="0"/>
          <c:order val="0"/>
          <c:tx>
            <c:strRef>
              <c:f>'Cum. impacts (Scopes1-4)'!$F$4</c:f>
              <c:strCache>
                <c:ptCount val="1"/>
                <c:pt idx="0">
                  <c:v>BAU</c:v>
                </c:pt>
              </c:strCache>
            </c:strRef>
          </c:tx>
          <c:spPr>
            <a:ln w="28575" cap="rnd">
              <a:solidFill>
                <a:schemeClr val="accent1"/>
              </a:solidFill>
              <a:round/>
            </a:ln>
            <a:effectLst/>
          </c:spPr>
          <c:marker>
            <c:symbol val="none"/>
          </c:marker>
          <c:cat>
            <c:numRef>
              <c:extLst>
                <c:ext xmlns:c15="http://schemas.microsoft.com/office/drawing/2012/chart" uri="{02D57815-91ED-43cb-92C2-25804820EDAC}">
                  <c15:fullRef>
                    <c15:sqref>'Cum. impacts (Scopes1-4)'!$A$5:$A$35</c15:sqref>
                  </c15:fullRef>
                </c:ext>
              </c:extLst>
              <c:f>'Cum. impacts (Scopes1-4)'!$A$8:$A$35</c:f>
              <c:numCache>
                <c:formatCode>General</c:formatCode>
                <c:ptCount val="28"/>
                <c:pt idx="0">
                  <c:v>2023</c:v>
                </c:pt>
                <c:pt idx="1">
                  <c:v>2024</c:v>
                </c:pt>
                <c:pt idx="2">
                  <c:v>2025</c:v>
                </c:pt>
                <c:pt idx="3">
                  <c:v>2026</c:v>
                </c:pt>
                <c:pt idx="4">
                  <c:v>2027</c:v>
                </c:pt>
                <c:pt idx="5">
                  <c:v>2028</c:v>
                </c:pt>
                <c:pt idx="6">
                  <c:v>2029</c:v>
                </c:pt>
                <c:pt idx="7">
                  <c:v>2030</c:v>
                </c:pt>
                <c:pt idx="8">
                  <c:v>2031</c:v>
                </c:pt>
                <c:pt idx="9">
                  <c:v>2032</c:v>
                </c:pt>
                <c:pt idx="10">
                  <c:v>2033</c:v>
                </c:pt>
                <c:pt idx="11">
                  <c:v>2034</c:v>
                </c:pt>
                <c:pt idx="12">
                  <c:v>2035</c:v>
                </c:pt>
                <c:pt idx="13">
                  <c:v>2036</c:v>
                </c:pt>
                <c:pt idx="14">
                  <c:v>2037</c:v>
                </c:pt>
                <c:pt idx="15">
                  <c:v>2038</c:v>
                </c:pt>
                <c:pt idx="16">
                  <c:v>2039</c:v>
                </c:pt>
                <c:pt idx="17">
                  <c:v>2040</c:v>
                </c:pt>
                <c:pt idx="18">
                  <c:v>2041</c:v>
                </c:pt>
                <c:pt idx="19">
                  <c:v>2042</c:v>
                </c:pt>
                <c:pt idx="20">
                  <c:v>2043</c:v>
                </c:pt>
                <c:pt idx="21">
                  <c:v>2044</c:v>
                </c:pt>
                <c:pt idx="22">
                  <c:v>2045</c:v>
                </c:pt>
                <c:pt idx="23">
                  <c:v>2046</c:v>
                </c:pt>
                <c:pt idx="24">
                  <c:v>2047</c:v>
                </c:pt>
                <c:pt idx="25">
                  <c:v>2048</c:v>
                </c:pt>
                <c:pt idx="26">
                  <c:v>2049</c:v>
                </c:pt>
                <c:pt idx="27">
                  <c:v>2050</c:v>
                </c:pt>
              </c:numCache>
            </c:numRef>
          </c:cat>
          <c:val>
            <c:numRef>
              <c:extLst>
                <c:ext xmlns:c15="http://schemas.microsoft.com/office/drawing/2012/chart" uri="{02D57815-91ED-43cb-92C2-25804820EDAC}">
                  <c15:fullRef>
                    <c15:sqref>'Cum. impacts (Scopes1-4)'!$F$5:$F$35</c15:sqref>
                  </c15:fullRef>
                </c:ext>
              </c:extLst>
              <c:f>'Cum. impacts (Scopes1-4)'!$F$8:$F$35</c:f>
              <c:numCache>
                <c:formatCode>_(* #,##0.00_);_(* \(#,##0.00\);_(* "-"??_);_(@_)</c:formatCode>
                <c:ptCount val="28"/>
                <c:pt idx="0">
                  <c:v>-2588950.9947228422</c:v>
                </c:pt>
                <c:pt idx="1">
                  <c:v>-2588950.9947228422</c:v>
                </c:pt>
                <c:pt idx="2">
                  <c:v>-2588950.9947228422</c:v>
                </c:pt>
                <c:pt idx="3">
                  <c:v>-2588950.9947228422</c:v>
                </c:pt>
                <c:pt idx="4">
                  <c:v>-2588950.9947228422</c:v>
                </c:pt>
                <c:pt idx="5">
                  <c:v>-2588950.9947228422</c:v>
                </c:pt>
                <c:pt idx="6">
                  <c:v>-2588950.9947228422</c:v>
                </c:pt>
                <c:pt idx="7">
                  <c:v>-2098093.8793848203</c:v>
                </c:pt>
                <c:pt idx="8">
                  <c:v>-2098093.8793848203</c:v>
                </c:pt>
                <c:pt idx="9">
                  <c:v>-2098093.8793848203</c:v>
                </c:pt>
                <c:pt idx="10">
                  <c:v>-2098093.8793848203</c:v>
                </c:pt>
                <c:pt idx="11">
                  <c:v>-2098093.8793848203</c:v>
                </c:pt>
                <c:pt idx="12">
                  <c:v>-2098093.8793848203</c:v>
                </c:pt>
                <c:pt idx="13">
                  <c:v>-2098093.8793848203</c:v>
                </c:pt>
                <c:pt idx="14">
                  <c:v>-2098093.8793848203</c:v>
                </c:pt>
                <c:pt idx="15">
                  <c:v>-2098093.8793848203</c:v>
                </c:pt>
                <c:pt idx="16">
                  <c:v>-2098093.8793848203</c:v>
                </c:pt>
                <c:pt idx="17">
                  <c:v>-1397305.5111593865</c:v>
                </c:pt>
                <c:pt idx="18">
                  <c:v>-1397305.5111593865</c:v>
                </c:pt>
                <c:pt idx="19">
                  <c:v>-1397305.5111593865</c:v>
                </c:pt>
                <c:pt idx="20">
                  <c:v>-1397305.5111593865</c:v>
                </c:pt>
                <c:pt idx="21">
                  <c:v>-1397305.5111593865</c:v>
                </c:pt>
                <c:pt idx="22">
                  <c:v>-1397305.5111593865</c:v>
                </c:pt>
                <c:pt idx="23">
                  <c:v>-1397305.5111593865</c:v>
                </c:pt>
                <c:pt idx="24">
                  <c:v>-1397305.5111593865</c:v>
                </c:pt>
                <c:pt idx="25">
                  <c:v>-1397305.5111593865</c:v>
                </c:pt>
                <c:pt idx="26">
                  <c:v>-1397305.5111593865</c:v>
                </c:pt>
                <c:pt idx="27">
                  <c:v>-1208099.7616829472</c:v>
                </c:pt>
              </c:numCache>
            </c:numRef>
          </c:val>
          <c:smooth val="0"/>
          <c:extLst>
            <c:ext xmlns:c16="http://schemas.microsoft.com/office/drawing/2014/chart" uri="{C3380CC4-5D6E-409C-BE32-E72D297353CC}">
              <c16:uniqueId val="{00000000-9FAA-482E-9EA8-0B5DD57B52EB}"/>
            </c:ext>
          </c:extLst>
        </c:ser>
        <c:ser>
          <c:idx val="1"/>
          <c:order val="1"/>
          <c:tx>
            <c:strRef>
              <c:f>'Cum. impacts (Scopes1-4)'!$G$4</c:f>
              <c:strCache>
                <c:ptCount val="1"/>
                <c:pt idx="0">
                  <c:v>cascading</c:v>
                </c:pt>
              </c:strCache>
            </c:strRef>
          </c:tx>
          <c:spPr>
            <a:ln w="28575" cap="rnd">
              <a:solidFill>
                <a:schemeClr val="accent2"/>
              </a:solidFill>
              <a:round/>
            </a:ln>
            <a:effectLst/>
          </c:spPr>
          <c:marker>
            <c:symbol val="none"/>
          </c:marker>
          <c:cat>
            <c:numRef>
              <c:extLst>
                <c:ext xmlns:c15="http://schemas.microsoft.com/office/drawing/2012/chart" uri="{02D57815-91ED-43cb-92C2-25804820EDAC}">
                  <c15:fullRef>
                    <c15:sqref>'Cum. impacts (Scopes1-4)'!$A$5:$A$35</c15:sqref>
                  </c15:fullRef>
                </c:ext>
              </c:extLst>
              <c:f>'Cum. impacts (Scopes1-4)'!$A$8:$A$35</c:f>
              <c:numCache>
                <c:formatCode>General</c:formatCode>
                <c:ptCount val="28"/>
                <c:pt idx="0">
                  <c:v>2023</c:v>
                </c:pt>
                <c:pt idx="1">
                  <c:v>2024</c:v>
                </c:pt>
                <c:pt idx="2">
                  <c:v>2025</c:v>
                </c:pt>
                <c:pt idx="3">
                  <c:v>2026</c:v>
                </c:pt>
                <c:pt idx="4">
                  <c:v>2027</c:v>
                </c:pt>
                <c:pt idx="5">
                  <c:v>2028</c:v>
                </c:pt>
                <c:pt idx="6">
                  <c:v>2029</c:v>
                </c:pt>
                <c:pt idx="7">
                  <c:v>2030</c:v>
                </c:pt>
                <c:pt idx="8">
                  <c:v>2031</c:v>
                </c:pt>
                <c:pt idx="9">
                  <c:v>2032</c:v>
                </c:pt>
                <c:pt idx="10">
                  <c:v>2033</c:v>
                </c:pt>
                <c:pt idx="11">
                  <c:v>2034</c:v>
                </c:pt>
                <c:pt idx="12">
                  <c:v>2035</c:v>
                </c:pt>
                <c:pt idx="13">
                  <c:v>2036</c:v>
                </c:pt>
                <c:pt idx="14">
                  <c:v>2037</c:v>
                </c:pt>
                <c:pt idx="15">
                  <c:v>2038</c:v>
                </c:pt>
                <c:pt idx="16">
                  <c:v>2039</c:v>
                </c:pt>
                <c:pt idx="17">
                  <c:v>2040</c:v>
                </c:pt>
                <c:pt idx="18">
                  <c:v>2041</c:v>
                </c:pt>
                <c:pt idx="19">
                  <c:v>2042</c:v>
                </c:pt>
                <c:pt idx="20">
                  <c:v>2043</c:v>
                </c:pt>
                <c:pt idx="21">
                  <c:v>2044</c:v>
                </c:pt>
                <c:pt idx="22">
                  <c:v>2045</c:v>
                </c:pt>
                <c:pt idx="23">
                  <c:v>2046</c:v>
                </c:pt>
                <c:pt idx="24">
                  <c:v>2047</c:v>
                </c:pt>
                <c:pt idx="25">
                  <c:v>2048</c:v>
                </c:pt>
                <c:pt idx="26">
                  <c:v>2049</c:v>
                </c:pt>
                <c:pt idx="27">
                  <c:v>2050</c:v>
                </c:pt>
              </c:numCache>
            </c:numRef>
          </c:cat>
          <c:val>
            <c:numRef>
              <c:extLst>
                <c:ext xmlns:c15="http://schemas.microsoft.com/office/drawing/2012/chart" uri="{02D57815-91ED-43cb-92C2-25804820EDAC}">
                  <c15:fullRef>
                    <c15:sqref>'Cum. impacts (Scopes1-4)'!$G$5:$G$35</c15:sqref>
                  </c15:fullRef>
                </c:ext>
              </c:extLst>
              <c:f>'Cum. impacts (Scopes1-4)'!$G$8:$G$35</c:f>
              <c:numCache>
                <c:formatCode>_(* #,##0.00_);_(* \(#,##0.00\);_(* "-"??_);_(@_)</c:formatCode>
                <c:ptCount val="28"/>
                <c:pt idx="0">
                  <c:v>-2588950.9947228422</c:v>
                </c:pt>
                <c:pt idx="1">
                  <c:v>-2588950.9947228422</c:v>
                </c:pt>
                <c:pt idx="2">
                  <c:v>-2588950.9947228422</c:v>
                </c:pt>
                <c:pt idx="3">
                  <c:v>-2588950.9947228422</c:v>
                </c:pt>
                <c:pt idx="4">
                  <c:v>-2588950.9947228422</c:v>
                </c:pt>
                <c:pt idx="5">
                  <c:v>-2691317.3758775117</c:v>
                </c:pt>
                <c:pt idx="6">
                  <c:v>-2691317.3758775117</c:v>
                </c:pt>
                <c:pt idx="7">
                  <c:v>-2241075.2065824056</c:v>
                </c:pt>
                <c:pt idx="8">
                  <c:v>-2241075.2065824056</c:v>
                </c:pt>
                <c:pt idx="9">
                  <c:v>-2241075.2065824056</c:v>
                </c:pt>
                <c:pt idx="10">
                  <c:v>-2241075.2065824056</c:v>
                </c:pt>
                <c:pt idx="11">
                  <c:v>-2241075.2065824056</c:v>
                </c:pt>
                <c:pt idx="12">
                  <c:v>-2241075.2065824056</c:v>
                </c:pt>
                <c:pt idx="13">
                  <c:v>-2241075.2065824056</c:v>
                </c:pt>
                <c:pt idx="14">
                  <c:v>-2241075.2065824056</c:v>
                </c:pt>
                <c:pt idx="15">
                  <c:v>-2241075.2065824056</c:v>
                </c:pt>
                <c:pt idx="16">
                  <c:v>-2241075.2065824056</c:v>
                </c:pt>
                <c:pt idx="17">
                  <c:v>-1557438.9286663663</c:v>
                </c:pt>
                <c:pt idx="18">
                  <c:v>-1557438.9286663663</c:v>
                </c:pt>
                <c:pt idx="19">
                  <c:v>-1557438.9286663663</c:v>
                </c:pt>
                <c:pt idx="20">
                  <c:v>-1557438.9286663663</c:v>
                </c:pt>
                <c:pt idx="21">
                  <c:v>-1557438.9286663663</c:v>
                </c:pt>
                <c:pt idx="22">
                  <c:v>-1557438.9286663663</c:v>
                </c:pt>
                <c:pt idx="23">
                  <c:v>-1557438.9286663663</c:v>
                </c:pt>
                <c:pt idx="24">
                  <c:v>-1557438.9286663663</c:v>
                </c:pt>
                <c:pt idx="25">
                  <c:v>-1557438.9286663663</c:v>
                </c:pt>
                <c:pt idx="26">
                  <c:v>-1557438.9286663663</c:v>
                </c:pt>
                <c:pt idx="27">
                  <c:v>-1381314.7022096664</c:v>
                </c:pt>
              </c:numCache>
            </c:numRef>
          </c:val>
          <c:smooth val="0"/>
          <c:extLst>
            <c:ext xmlns:c16="http://schemas.microsoft.com/office/drawing/2014/chart" uri="{C3380CC4-5D6E-409C-BE32-E72D297353CC}">
              <c16:uniqueId val="{00000001-9FAA-482E-9EA8-0B5DD57B52EB}"/>
            </c:ext>
          </c:extLst>
        </c:ser>
        <c:ser>
          <c:idx val="2"/>
          <c:order val="2"/>
          <c:tx>
            <c:strRef>
              <c:f>'Cum. impacts (Scopes1-4)'!$H$4</c:f>
              <c:strCache>
                <c:ptCount val="1"/>
                <c:pt idx="0">
                  <c:v>circular</c:v>
                </c:pt>
              </c:strCache>
            </c:strRef>
          </c:tx>
          <c:spPr>
            <a:ln w="28575" cap="rnd">
              <a:solidFill>
                <a:schemeClr val="accent3"/>
              </a:solidFill>
              <a:round/>
            </a:ln>
            <a:effectLst/>
          </c:spPr>
          <c:marker>
            <c:symbol val="none"/>
          </c:marker>
          <c:cat>
            <c:numRef>
              <c:extLst>
                <c:ext xmlns:c15="http://schemas.microsoft.com/office/drawing/2012/chart" uri="{02D57815-91ED-43cb-92C2-25804820EDAC}">
                  <c15:fullRef>
                    <c15:sqref>'Cum. impacts (Scopes1-4)'!$A$5:$A$35</c15:sqref>
                  </c15:fullRef>
                </c:ext>
              </c:extLst>
              <c:f>'Cum. impacts (Scopes1-4)'!$A$8:$A$35</c:f>
              <c:numCache>
                <c:formatCode>General</c:formatCode>
                <c:ptCount val="28"/>
                <c:pt idx="0">
                  <c:v>2023</c:v>
                </c:pt>
                <c:pt idx="1">
                  <c:v>2024</c:v>
                </c:pt>
                <c:pt idx="2">
                  <c:v>2025</c:v>
                </c:pt>
                <c:pt idx="3">
                  <c:v>2026</c:v>
                </c:pt>
                <c:pt idx="4">
                  <c:v>2027</c:v>
                </c:pt>
                <c:pt idx="5">
                  <c:v>2028</c:v>
                </c:pt>
                <c:pt idx="6">
                  <c:v>2029</c:v>
                </c:pt>
                <c:pt idx="7">
                  <c:v>2030</c:v>
                </c:pt>
                <c:pt idx="8">
                  <c:v>2031</c:v>
                </c:pt>
                <c:pt idx="9">
                  <c:v>2032</c:v>
                </c:pt>
                <c:pt idx="10">
                  <c:v>2033</c:v>
                </c:pt>
                <c:pt idx="11">
                  <c:v>2034</c:v>
                </c:pt>
                <c:pt idx="12">
                  <c:v>2035</c:v>
                </c:pt>
                <c:pt idx="13">
                  <c:v>2036</c:v>
                </c:pt>
                <c:pt idx="14">
                  <c:v>2037</c:v>
                </c:pt>
                <c:pt idx="15">
                  <c:v>2038</c:v>
                </c:pt>
                <c:pt idx="16">
                  <c:v>2039</c:v>
                </c:pt>
                <c:pt idx="17">
                  <c:v>2040</c:v>
                </c:pt>
                <c:pt idx="18">
                  <c:v>2041</c:v>
                </c:pt>
                <c:pt idx="19">
                  <c:v>2042</c:v>
                </c:pt>
                <c:pt idx="20">
                  <c:v>2043</c:v>
                </c:pt>
                <c:pt idx="21">
                  <c:v>2044</c:v>
                </c:pt>
                <c:pt idx="22">
                  <c:v>2045</c:v>
                </c:pt>
                <c:pt idx="23">
                  <c:v>2046</c:v>
                </c:pt>
                <c:pt idx="24">
                  <c:v>2047</c:v>
                </c:pt>
                <c:pt idx="25">
                  <c:v>2048</c:v>
                </c:pt>
                <c:pt idx="26">
                  <c:v>2049</c:v>
                </c:pt>
                <c:pt idx="27">
                  <c:v>2050</c:v>
                </c:pt>
              </c:numCache>
            </c:numRef>
          </c:cat>
          <c:val>
            <c:numRef>
              <c:extLst>
                <c:ext xmlns:c15="http://schemas.microsoft.com/office/drawing/2012/chart" uri="{02D57815-91ED-43cb-92C2-25804820EDAC}">
                  <c15:fullRef>
                    <c15:sqref>'Cum. impacts (Scopes1-4)'!$H$5:$H$35</c15:sqref>
                  </c15:fullRef>
                </c:ext>
              </c:extLst>
              <c:f>'Cum. impacts (Scopes1-4)'!$H$8:$H$35</c:f>
              <c:numCache>
                <c:formatCode>_(* #,##0.00_);_(* \(#,##0.00\);_(* "-"??_);_(@_)</c:formatCode>
                <c:ptCount val="28"/>
                <c:pt idx="0">
                  <c:v>-2588950.9947228422</c:v>
                </c:pt>
                <c:pt idx="1">
                  <c:v>-2588950.9947228422</c:v>
                </c:pt>
                <c:pt idx="2">
                  <c:v>-2588950.9947228422</c:v>
                </c:pt>
                <c:pt idx="3">
                  <c:v>-2588950.9947228422</c:v>
                </c:pt>
                <c:pt idx="4">
                  <c:v>-2588950.9947228422</c:v>
                </c:pt>
                <c:pt idx="5">
                  <c:v>-4367002.9653836284</c:v>
                </c:pt>
                <c:pt idx="6">
                  <c:v>-4367002.9653836284</c:v>
                </c:pt>
                <c:pt idx="7">
                  <c:v>-3864073.1183183664</c:v>
                </c:pt>
                <c:pt idx="8">
                  <c:v>-3864073.1183183664</c:v>
                </c:pt>
                <c:pt idx="9">
                  <c:v>-3864073.1183183664</c:v>
                </c:pt>
                <c:pt idx="10">
                  <c:v>-3864073.1183183664</c:v>
                </c:pt>
                <c:pt idx="11">
                  <c:v>-3864073.1183183664</c:v>
                </c:pt>
                <c:pt idx="12">
                  <c:v>-3864073.1183183664</c:v>
                </c:pt>
                <c:pt idx="13">
                  <c:v>-3864073.1183183664</c:v>
                </c:pt>
                <c:pt idx="14">
                  <c:v>-3864073.1183183664</c:v>
                </c:pt>
                <c:pt idx="15">
                  <c:v>-3864073.1183183664</c:v>
                </c:pt>
                <c:pt idx="16">
                  <c:v>-3864073.1183183664</c:v>
                </c:pt>
                <c:pt idx="17">
                  <c:v>-3187222.5888819899</c:v>
                </c:pt>
                <c:pt idx="18">
                  <c:v>-3187222.5888819899</c:v>
                </c:pt>
                <c:pt idx="19">
                  <c:v>-3187222.5888819899</c:v>
                </c:pt>
                <c:pt idx="20">
                  <c:v>-3187222.5888819899</c:v>
                </c:pt>
                <c:pt idx="21">
                  <c:v>-3187222.5888819899</c:v>
                </c:pt>
                <c:pt idx="22">
                  <c:v>-3187222.5888819899</c:v>
                </c:pt>
                <c:pt idx="23">
                  <c:v>-3187222.5888819899</c:v>
                </c:pt>
                <c:pt idx="24">
                  <c:v>-3187222.5888819899</c:v>
                </c:pt>
                <c:pt idx="25">
                  <c:v>-3187222.5888819899</c:v>
                </c:pt>
                <c:pt idx="26">
                  <c:v>-3187222.5888819899</c:v>
                </c:pt>
                <c:pt idx="27">
                  <c:v>-2995958.6719307229</c:v>
                </c:pt>
              </c:numCache>
            </c:numRef>
          </c:val>
          <c:smooth val="0"/>
          <c:extLst>
            <c:ext xmlns:c16="http://schemas.microsoft.com/office/drawing/2014/chart" uri="{C3380CC4-5D6E-409C-BE32-E72D297353CC}">
              <c16:uniqueId val="{00000002-9FAA-482E-9EA8-0B5DD57B52EB}"/>
            </c:ext>
          </c:extLst>
        </c:ser>
        <c:ser>
          <c:idx val="3"/>
          <c:order val="3"/>
          <c:tx>
            <c:strRef>
              <c:f>'Cum. impacts (Scopes1-4)'!$I$4</c:f>
              <c:strCache>
                <c:ptCount val="1"/>
                <c:pt idx="0">
                  <c:v>cascading&amp;circular</c:v>
                </c:pt>
              </c:strCache>
            </c:strRef>
          </c:tx>
          <c:spPr>
            <a:ln w="28575" cap="rnd">
              <a:solidFill>
                <a:schemeClr val="accent4"/>
              </a:solidFill>
              <a:round/>
            </a:ln>
            <a:effectLst/>
          </c:spPr>
          <c:marker>
            <c:symbol val="none"/>
          </c:marker>
          <c:cat>
            <c:numRef>
              <c:extLst>
                <c:ext xmlns:c15="http://schemas.microsoft.com/office/drawing/2012/chart" uri="{02D57815-91ED-43cb-92C2-25804820EDAC}">
                  <c15:fullRef>
                    <c15:sqref>'Cum. impacts (Scopes1-4)'!$A$5:$A$35</c15:sqref>
                  </c15:fullRef>
                </c:ext>
              </c:extLst>
              <c:f>'Cum. impacts (Scopes1-4)'!$A$8:$A$35</c:f>
              <c:numCache>
                <c:formatCode>General</c:formatCode>
                <c:ptCount val="28"/>
                <c:pt idx="0">
                  <c:v>2023</c:v>
                </c:pt>
                <c:pt idx="1">
                  <c:v>2024</c:v>
                </c:pt>
                <c:pt idx="2">
                  <c:v>2025</c:v>
                </c:pt>
                <c:pt idx="3">
                  <c:v>2026</c:v>
                </c:pt>
                <c:pt idx="4">
                  <c:v>2027</c:v>
                </c:pt>
                <c:pt idx="5">
                  <c:v>2028</c:v>
                </c:pt>
                <c:pt idx="6">
                  <c:v>2029</c:v>
                </c:pt>
                <c:pt idx="7">
                  <c:v>2030</c:v>
                </c:pt>
                <c:pt idx="8">
                  <c:v>2031</c:v>
                </c:pt>
                <c:pt idx="9">
                  <c:v>2032</c:v>
                </c:pt>
                <c:pt idx="10">
                  <c:v>2033</c:v>
                </c:pt>
                <c:pt idx="11">
                  <c:v>2034</c:v>
                </c:pt>
                <c:pt idx="12">
                  <c:v>2035</c:v>
                </c:pt>
                <c:pt idx="13">
                  <c:v>2036</c:v>
                </c:pt>
                <c:pt idx="14">
                  <c:v>2037</c:v>
                </c:pt>
                <c:pt idx="15">
                  <c:v>2038</c:v>
                </c:pt>
                <c:pt idx="16">
                  <c:v>2039</c:v>
                </c:pt>
                <c:pt idx="17">
                  <c:v>2040</c:v>
                </c:pt>
                <c:pt idx="18">
                  <c:v>2041</c:v>
                </c:pt>
                <c:pt idx="19">
                  <c:v>2042</c:v>
                </c:pt>
                <c:pt idx="20">
                  <c:v>2043</c:v>
                </c:pt>
                <c:pt idx="21">
                  <c:v>2044</c:v>
                </c:pt>
                <c:pt idx="22">
                  <c:v>2045</c:v>
                </c:pt>
                <c:pt idx="23">
                  <c:v>2046</c:v>
                </c:pt>
                <c:pt idx="24">
                  <c:v>2047</c:v>
                </c:pt>
                <c:pt idx="25">
                  <c:v>2048</c:v>
                </c:pt>
                <c:pt idx="26">
                  <c:v>2049</c:v>
                </c:pt>
                <c:pt idx="27">
                  <c:v>2050</c:v>
                </c:pt>
              </c:numCache>
            </c:numRef>
          </c:cat>
          <c:val>
            <c:numRef>
              <c:extLst>
                <c:ext xmlns:c15="http://schemas.microsoft.com/office/drawing/2012/chart" uri="{02D57815-91ED-43cb-92C2-25804820EDAC}">
                  <c15:fullRef>
                    <c15:sqref>'Cum. impacts (Scopes1-4)'!$I$5:$I$35</c15:sqref>
                  </c15:fullRef>
                </c:ext>
              </c:extLst>
              <c:f>'Cum. impacts (Scopes1-4)'!$I$8:$I$35</c:f>
              <c:numCache>
                <c:formatCode>_(* #,##0.00_);_(* \(#,##0.00\);_(* "-"??_);_(@_)</c:formatCode>
                <c:ptCount val="28"/>
                <c:pt idx="0">
                  <c:v>-2588950.9947228422</c:v>
                </c:pt>
                <c:pt idx="1">
                  <c:v>-2588950.9947228422</c:v>
                </c:pt>
                <c:pt idx="2">
                  <c:v>-2588950.9947228422</c:v>
                </c:pt>
                <c:pt idx="3">
                  <c:v>-2588950.9947228422</c:v>
                </c:pt>
                <c:pt idx="4">
                  <c:v>-2588950.9947228422</c:v>
                </c:pt>
                <c:pt idx="5">
                  <c:v>-4400688.1604439337</c:v>
                </c:pt>
                <c:pt idx="6">
                  <c:v>-4400688.1604439337</c:v>
                </c:pt>
                <c:pt idx="7">
                  <c:v>-3921241.6940280315</c:v>
                </c:pt>
                <c:pt idx="8">
                  <c:v>-3921241.6940280315</c:v>
                </c:pt>
                <c:pt idx="9">
                  <c:v>-3921241.6940280315</c:v>
                </c:pt>
                <c:pt idx="10">
                  <c:v>-3921241.6940280315</c:v>
                </c:pt>
                <c:pt idx="11">
                  <c:v>-3921241.6940280315</c:v>
                </c:pt>
                <c:pt idx="12">
                  <c:v>-3921241.6940280315</c:v>
                </c:pt>
                <c:pt idx="13">
                  <c:v>-3921241.6940280315</c:v>
                </c:pt>
                <c:pt idx="14">
                  <c:v>-3921241.6940280315</c:v>
                </c:pt>
                <c:pt idx="15">
                  <c:v>-3921241.6940280315</c:v>
                </c:pt>
                <c:pt idx="16">
                  <c:v>-3921241.6940280315</c:v>
                </c:pt>
                <c:pt idx="17">
                  <c:v>-3254308.426706004</c:v>
                </c:pt>
                <c:pt idx="18">
                  <c:v>-3254308.426706004</c:v>
                </c:pt>
                <c:pt idx="19">
                  <c:v>-3254308.426706004</c:v>
                </c:pt>
                <c:pt idx="20">
                  <c:v>-3254308.426706004</c:v>
                </c:pt>
                <c:pt idx="21">
                  <c:v>-3254308.426706004</c:v>
                </c:pt>
                <c:pt idx="22">
                  <c:v>-3254308.426706004</c:v>
                </c:pt>
                <c:pt idx="23">
                  <c:v>-3254308.426706004</c:v>
                </c:pt>
                <c:pt idx="24">
                  <c:v>-3254308.426706004</c:v>
                </c:pt>
                <c:pt idx="25">
                  <c:v>-3254308.426706004</c:v>
                </c:pt>
                <c:pt idx="26">
                  <c:v>-3254308.426706004</c:v>
                </c:pt>
                <c:pt idx="27">
                  <c:v>-3070608.1880179392</c:v>
                </c:pt>
              </c:numCache>
            </c:numRef>
          </c:val>
          <c:smooth val="0"/>
          <c:extLst>
            <c:ext xmlns:c16="http://schemas.microsoft.com/office/drawing/2014/chart" uri="{C3380CC4-5D6E-409C-BE32-E72D297353CC}">
              <c16:uniqueId val="{00000003-9FAA-482E-9EA8-0B5DD57B52EB}"/>
            </c:ext>
          </c:extLst>
        </c:ser>
        <c:dLbls>
          <c:showLegendKey val="0"/>
          <c:showVal val="0"/>
          <c:showCatName val="0"/>
          <c:showSerName val="0"/>
          <c:showPercent val="0"/>
          <c:showBubbleSize val="0"/>
        </c:dLbls>
        <c:smooth val="0"/>
        <c:axId val="445883832"/>
        <c:axId val="445881208"/>
      </c:lineChart>
      <c:catAx>
        <c:axId val="445883832"/>
        <c:scaling>
          <c:orientation val="minMax"/>
        </c:scaling>
        <c:delete val="0"/>
        <c:axPos val="b"/>
        <c:title>
          <c:tx>
            <c:rich>
              <a:bodyPr rot="0" spcFirstLastPara="1" vertOverflow="ellipsis" vert="horz" wrap="square" anchor="t" anchorCtr="0"/>
              <a:lstStyle/>
              <a:p>
                <a:pPr>
                  <a:defRPr sz="1400" b="0" i="0" u="none" strike="noStrike" kern="1200" baseline="0">
                    <a:solidFill>
                      <a:schemeClr val="tx1">
                        <a:lumMod val="65000"/>
                        <a:lumOff val="35000"/>
                      </a:schemeClr>
                    </a:solidFill>
                    <a:latin typeface="+mn-lt"/>
                    <a:ea typeface="+mn-ea"/>
                    <a:cs typeface="+mn-cs"/>
                  </a:defRPr>
                </a:pPr>
                <a:r>
                  <a:rPr lang="en-GB" sz="1400"/>
                  <a:t>Year</a:t>
                </a:r>
              </a:p>
            </c:rich>
          </c:tx>
          <c:layout>
            <c:manualLayout>
              <c:xMode val="edge"/>
              <c:yMode val="edge"/>
              <c:x val="0.46817066515294464"/>
              <c:y val="0.17179167522532671"/>
            </c:manualLayout>
          </c:layout>
          <c:overlay val="0"/>
          <c:spPr>
            <a:noFill/>
            <a:ln>
              <a:noFill/>
            </a:ln>
            <a:effectLst/>
          </c:spPr>
          <c:txPr>
            <a:bodyPr rot="0" spcFirstLastPara="1" vertOverflow="ellipsis" vert="horz" wrap="square" anchor="t" anchorCtr="0"/>
            <a:lstStyle/>
            <a:p>
              <a:pPr>
                <a:defRPr sz="14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high"/>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crossAx val="445881208"/>
        <c:crosses val="autoZero"/>
        <c:auto val="1"/>
        <c:lblAlgn val="ctr"/>
        <c:lblOffset val="100"/>
        <c:noMultiLvlLbl val="0"/>
      </c:catAx>
      <c:valAx>
        <c:axId val="445881208"/>
        <c:scaling>
          <c:orientation val="minMax"/>
          <c:min val="-60000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r>
                  <a:rPr lang="en-GB" sz="1400"/>
                  <a:t>Tonnes CO2e per year</a:t>
                </a:r>
              </a:p>
            </c:rich>
          </c:tx>
          <c:layout/>
          <c:overlay val="0"/>
          <c:spPr>
            <a:noFill/>
            <a:ln>
              <a:noFill/>
            </a:ln>
            <a:effectLst/>
          </c:spPr>
          <c:txPr>
            <a:bodyPr rot="-54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title>
        <c:numFmt formatCode="0.0E+0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crossAx val="445883832"/>
        <c:crosses val="autoZero"/>
        <c:crossBetween val="between"/>
        <c:minorUnit val="100000"/>
      </c:valAx>
      <c:spPr>
        <a:noFill/>
        <a:ln>
          <a:noFill/>
        </a:ln>
        <a:effectLst/>
      </c:spPr>
    </c:plotArea>
    <c:legend>
      <c:legendPos val="b"/>
      <c:layout>
        <c:manualLayout>
          <c:xMode val="edge"/>
          <c:yMode val="edge"/>
          <c:x val="0.2569884259594083"/>
          <c:y val="0.89082231776567466"/>
          <c:w val="0.54142407237890822"/>
          <c:h val="0.10699058445796657"/>
        </c:manualLayout>
      </c:layout>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1"/>
          <c:order val="0"/>
          <c:tx>
            <c:strRef>
              <c:f>'Cum. impacts (Scopes1-4)'!$G$4</c:f>
              <c:strCache>
                <c:ptCount val="1"/>
                <c:pt idx="0">
                  <c:v>cascading</c:v>
                </c:pt>
              </c:strCache>
            </c:strRef>
          </c:tx>
          <c:spPr>
            <a:ln w="28575" cap="rnd">
              <a:solidFill>
                <a:schemeClr val="accent2"/>
              </a:solidFill>
              <a:round/>
            </a:ln>
            <a:effectLst/>
          </c:spPr>
          <c:marker>
            <c:symbol val="none"/>
          </c:marker>
          <c:cat>
            <c:numRef>
              <c:extLst>
                <c:ext xmlns:c15="http://schemas.microsoft.com/office/drawing/2012/chart" uri="{02D57815-91ED-43cb-92C2-25804820EDAC}">
                  <c15:fullRef>
                    <c15:sqref>'Cum. impacts (Scopes1-4)'!$A$5:$A$35</c15:sqref>
                  </c15:fullRef>
                </c:ext>
              </c:extLst>
              <c:f>'Cum. impacts (Scopes1-4)'!$A$8:$A$35</c:f>
              <c:numCache>
                <c:formatCode>General</c:formatCode>
                <c:ptCount val="28"/>
                <c:pt idx="0">
                  <c:v>2023</c:v>
                </c:pt>
                <c:pt idx="1">
                  <c:v>2024</c:v>
                </c:pt>
                <c:pt idx="2">
                  <c:v>2025</c:v>
                </c:pt>
                <c:pt idx="3">
                  <c:v>2026</c:v>
                </c:pt>
                <c:pt idx="4">
                  <c:v>2027</c:v>
                </c:pt>
                <c:pt idx="5">
                  <c:v>2028</c:v>
                </c:pt>
                <c:pt idx="6">
                  <c:v>2029</c:v>
                </c:pt>
                <c:pt idx="7">
                  <c:v>2030</c:v>
                </c:pt>
                <c:pt idx="8">
                  <c:v>2031</c:v>
                </c:pt>
                <c:pt idx="9">
                  <c:v>2032</c:v>
                </c:pt>
                <c:pt idx="10">
                  <c:v>2033</c:v>
                </c:pt>
                <c:pt idx="11">
                  <c:v>2034</c:v>
                </c:pt>
                <c:pt idx="12">
                  <c:v>2035</c:v>
                </c:pt>
                <c:pt idx="13">
                  <c:v>2036</c:v>
                </c:pt>
                <c:pt idx="14">
                  <c:v>2037</c:v>
                </c:pt>
                <c:pt idx="15">
                  <c:v>2038</c:v>
                </c:pt>
                <c:pt idx="16">
                  <c:v>2039</c:v>
                </c:pt>
                <c:pt idx="17">
                  <c:v>2040</c:v>
                </c:pt>
                <c:pt idx="18">
                  <c:v>2041</c:v>
                </c:pt>
                <c:pt idx="19">
                  <c:v>2042</c:v>
                </c:pt>
                <c:pt idx="20">
                  <c:v>2043</c:v>
                </c:pt>
                <c:pt idx="21">
                  <c:v>2044</c:v>
                </c:pt>
                <c:pt idx="22">
                  <c:v>2045</c:v>
                </c:pt>
                <c:pt idx="23">
                  <c:v>2046</c:v>
                </c:pt>
                <c:pt idx="24">
                  <c:v>2047</c:v>
                </c:pt>
                <c:pt idx="25">
                  <c:v>2048</c:v>
                </c:pt>
                <c:pt idx="26">
                  <c:v>2049</c:v>
                </c:pt>
                <c:pt idx="27">
                  <c:v>2050</c:v>
                </c:pt>
              </c:numCache>
            </c:numRef>
          </c:cat>
          <c:val>
            <c:numRef>
              <c:extLst>
                <c:ext xmlns:c15="http://schemas.microsoft.com/office/drawing/2012/chart" uri="{02D57815-91ED-43cb-92C2-25804820EDAC}">
                  <c15:fullRef>
                    <c15:sqref>'Cum. impacts (Scopes1-4)'!$G$5:$G$35</c15:sqref>
                  </c15:fullRef>
                </c:ext>
              </c:extLst>
              <c:f>'Cum. impacts (Scopes1-4)'!$G$8:$G$35</c:f>
              <c:numCache>
                <c:formatCode>_(* #,##0.00_);_(* \(#,##0.00\);_(* "-"??_);_(@_)</c:formatCode>
                <c:ptCount val="28"/>
                <c:pt idx="0">
                  <c:v>-2588950.9947228422</c:v>
                </c:pt>
                <c:pt idx="1">
                  <c:v>-2588950.9947228422</c:v>
                </c:pt>
                <c:pt idx="2">
                  <c:v>-2588950.9947228422</c:v>
                </c:pt>
                <c:pt idx="3">
                  <c:v>-2588950.9947228422</c:v>
                </c:pt>
                <c:pt idx="4">
                  <c:v>-2588950.9947228422</c:v>
                </c:pt>
                <c:pt idx="5">
                  <c:v>-2691317.3758775117</c:v>
                </c:pt>
                <c:pt idx="6">
                  <c:v>-2691317.3758775117</c:v>
                </c:pt>
                <c:pt idx="7">
                  <c:v>-2241075.2065824056</c:v>
                </c:pt>
                <c:pt idx="8">
                  <c:v>-2241075.2065824056</c:v>
                </c:pt>
                <c:pt idx="9">
                  <c:v>-2241075.2065824056</c:v>
                </c:pt>
                <c:pt idx="10">
                  <c:v>-2241075.2065824056</c:v>
                </c:pt>
                <c:pt idx="11">
                  <c:v>-2241075.2065824056</c:v>
                </c:pt>
                <c:pt idx="12">
                  <c:v>-2241075.2065824056</c:v>
                </c:pt>
                <c:pt idx="13">
                  <c:v>-2241075.2065824056</c:v>
                </c:pt>
                <c:pt idx="14">
                  <c:v>-2241075.2065824056</c:v>
                </c:pt>
                <c:pt idx="15">
                  <c:v>-2241075.2065824056</c:v>
                </c:pt>
                <c:pt idx="16">
                  <c:v>-2241075.2065824056</c:v>
                </c:pt>
                <c:pt idx="17">
                  <c:v>-1557438.9286663663</c:v>
                </c:pt>
                <c:pt idx="18">
                  <c:v>-1557438.9286663663</c:v>
                </c:pt>
                <c:pt idx="19">
                  <c:v>-1557438.9286663663</c:v>
                </c:pt>
                <c:pt idx="20">
                  <c:v>-1557438.9286663663</c:v>
                </c:pt>
                <c:pt idx="21">
                  <c:v>-1557438.9286663663</c:v>
                </c:pt>
                <c:pt idx="22">
                  <c:v>-1557438.9286663663</c:v>
                </c:pt>
                <c:pt idx="23">
                  <c:v>-1557438.9286663663</c:v>
                </c:pt>
                <c:pt idx="24">
                  <c:v>-1557438.9286663663</c:v>
                </c:pt>
                <c:pt idx="25">
                  <c:v>-1557438.9286663663</c:v>
                </c:pt>
                <c:pt idx="26">
                  <c:v>-1557438.9286663663</c:v>
                </c:pt>
                <c:pt idx="27">
                  <c:v>-1381314.7022096664</c:v>
                </c:pt>
              </c:numCache>
            </c:numRef>
          </c:val>
          <c:smooth val="0"/>
          <c:extLst>
            <c:ext xmlns:c16="http://schemas.microsoft.com/office/drawing/2014/chart" uri="{C3380CC4-5D6E-409C-BE32-E72D297353CC}">
              <c16:uniqueId val="{00000001-4400-4B0B-8E97-59AAE8916CDC}"/>
            </c:ext>
          </c:extLst>
        </c:ser>
        <c:ser>
          <c:idx val="2"/>
          <c:order val="1"/>
          <c:tx>
            <c:strRef>
              <c:f>'Cum. impacts (Scopes1-4)'!$H$4</c:f>
              <c:strCache>
                <c:ptCount val="1"/>
                <c:pt idx="0">
                  <c:v>circular</c:v>
                </c:pt>
              </c:strCache>
            </c:strRef>
          </c:tx>
          <c:spPr>
            <a:ln w="28575" cap="rnd">
              <a:solidFill>
                <a:schemeClr val="accent3"/>
              </a:solidFill>
              <a:round/>
            </a:ln>
            <a:effectLst/>
          </c:spPr>
          <c:marker>
            <c:symbol val="none"/>
          </c:marker>
          <c:cat>
            <c:numRef>
              <c:extLst>
                <c:ext xmlns:c15="http://schemas.microsoft.com/office/drawing/2012/chart" uri="{02D57815-91ED-43cb-92C2-25804820EDAC}">
                  <c15:fullRef>
                    <c15:sqref>'Cum. impacts (Scopes1-4)'!$A$5:$A$35</c15:sqref>
                  </c15:fullRef>
                </c:ext>
              </c:extLst>
              <c:f>'Cum. impacts (Scopes1-4)'!$A$8:$A$35</c:f>
              <c:numCache>
                <c:formatCode>General</c:formatCode>
                <c:ptCount val="28"/>
                <c:pt idx="0">
                  <c:v>2023</c:v>
                </c:pt>
                <c:pt idx="1">
                  <c:v>2024</c:v>
                </c:pt>
                <c:pt idx="2">
                  <c:v>2025</c:v>
                </c:pt>
                <c:pt idx="3">
                  <c:v>2026</c:v>
                </c:pt>
                <c:pt idx="4">
                  <c:v>2027</c:v>
                </c:pt>
                <c:pt idx="5">
                  <c:v>2028</c:v>
                </c:pt>
                <c:pt idx="6">
                  <c:v>2029</c:v>
                </c:pt>
                <c:pt idx="7">
                  <c:v>2030</c:v>
                </c:pt>
                <c:pt idx="8">
                  <c:v>2031</c:v>
                </c:pt>
                <c:pt idx="9">
                  <c:v>2032</c:v>
                </c:pt>
                <c:pt idx="10">
                  <c:v>2033</c:v>
                </c:pt>
                <c:pt idx="11">
                  <c:v>2034</c:v>
                </c:pt>
                <c:pt idx="12">
                  <c:v>2035</c:v>
                </c:pt>
                <c:pt idx="13">
                  <c:v>2036</c:v>
                </c:pt>
                <c:pt idx="14">
                  <c:v>2037</c:v>
                </c:pt>
                <c:pt idx="15">
                  <c:v>2038</c:v>
                </c:pt>
                <c:pt idx="16">
                  <c:v>2039</c:v>
                </c:pt>
                <c:pt idx="17">
                  <c:v>2040</c:v>
                </c:pt>
                <c:pt idx="18">
                  <c:v>2041</c:v>
                </c:pt>
                <c:pt idx="19">
                  <c:v>2042</c:v>
                </c:pt>
                <c:pt idx="20">
                  <c:v>2043</c:v>
                </c:pt>
                <c:pt idx="21">
                  <c:v>2044</c:v>
                </c:pt>
                <c:pt idx="22">
                  <c:v>2045</c:v>
                </c:pt>
                <c:pt idx="23">
                  <c:v>2046</c:v>
                </c:pt>
                <c:pt idx="24">
                  <c:v>2047</c:v>
                </c:pt>
                <c:pt idx="25">
                  <c:v>2048</c:v>
                </c:pt>
                <c:pt idx="26">
                  <c:v>2049</c:v>
                </c:pt>
                <c:pt idx="27">
                  <c:v>2050</c:v>
                </c:pt>
              </c:numCache>
            </c:numRef>
          </c:cat>
          <c:val>
            <c:numRef>
              <c:extLst>
                <c:ext xmlns:c15="http://schemas.microsoft.com/office/drawing/2012/chart" uri="{02D57815-91ED-43cb-92C2-25804820EDAC}">
                  <c15:fullRef>
                    <c15:sqref>'Cum. impacts (Scopes1-4)'!$H$5:$H$35</c15:sqref>
                  </c15:fullRef>
                </c:ext>
              </c:extLst>
              <c:f>'Cum. impacts (Scopes1-4)'!$H$8:$H$35</c:f>
              <c:numCache>
                <c:formatCode>_(* #,##0.00_);_(* \(#,##0.00\);_(* "-"??_);_(@_)</c:formatCode>
                <c:ptCount val="28"/>
                <c:pt idx="0">
                  <c:v>-2588950.9947228422</c:v>
                </c:pt>
                <c:pt idx="1">
                  <c:v>-2588950.9947228422</c:v>
                </c:pt>
                <c:pt idx="2">
                  <c:v>-2588950.9947228422</c:v>
                </c:pt>
                <c:pt idx="3">
                  <c:v>-2588950.9947228422</c:v>
                </c:pt>
                <c:pt idx="4">
                  <c:v>-2588950.9947228422</c:v>
                </c:pt>
                <c:pt idx="5">
                  <c:v>-4367002.9653836284</c:v>
                </c:pt>
                <c:pt idx="6">
                  <c:v>-4367002.9653836284</c:v>
                </c:pt>
                <c:pt idx="7">
                  <c:v>-3864073.1183183664</c:v>
                </c:pt>
                <c:pt idx="8">
                  <c:v>-3864073.1183183664</c:v>
                </c:pt>
                <c:pt idx="9">
                  <c:v>-3864073.1183183664</c:v>
                </c:pt>
                <c:pt idx="10">
                  <c:v>-3864073.1183183664</c:v>
                </c:pt>
                <c:pt idx="11">
                  <c:v>-3864073.1183183664</c:v>
                </c:pt>
                <c:pt idx="12">
                  <c:v>-3864073.1183183664</c:v>
                </c:pt>
                <c:pt idx="13">
                  <c:v>-3864073.1183183664</c:v>
                </c:pt>
                <c:pt idx="14">
                  <c:v>-3864073.1183183664</c:v>
                </c:pt>
                <c:pt idx="15">
                  <c:v>-3864073.1183183664</c:v>
                </c:pt>
                <c:pt idx="16">
                  <c:v>-3864073.1183183664</c:v>
                </c:pt>
                <c:pt idx="17">
                  <c:v>-3187222.5888819899</c:v>
                </c:pt>
                <c:pt idx="18">
                  <c:v>-3187222.5888819899</c:v>
                </c:pt>
                <c:pt idx="19">
                  <c:v>-3187222.5888819899</c:v>
                </c:pt>
                <c:pt idx="20">
                  <c:v>-3187222.5888819899</c:v>
                </c:pt>
                <c:pt idx="21">
                  <c:v>-3187222.5888819899</c:v>
                </c:pt>
                <c:pt idx="22">
                  <c:v>-3187222.5888819899</c:v>
                </c:pt>
                <c:pt idx="23">
                  <c:v>-3187222.5888819899</c:v>
                </c:pt>
                <c:pt idx="24">
                  <c:v>-3187222.5888819899</c:v>
                </c:pt>
                <c:pt idx="25">
                  <c:v>-3187222.5888819899</c:v>
                </c:pt>
                <c:pt idx="26">
                  <c:v>-3187222.5888819899</c:v>
                </c:pt>
                <c:pt idx="27">
                  <c:v>-2995958.6719307229</c:v>
                </c:pt>
              </c:numCache>
            </c:numRef>
          </c:val>
          <c:smooth val="0"/>
          <c:extLst>
            <c:ext xmlns:c16="http://schemas.microsoft.com/office/drawing/2014/chart" uri="{C3380CC4-5D6E-409C-BE32-E72D297353CC}">
              <c16:uniqueId val="{00000002-4400-4B0B-8E97-59AAE8916CDC}"/>
            </c:ext>
          </c:extLst>
        </c:ser>
        <c:ser>
          <c:idx val="3"/>
          <c:order val="2"/>
          <c:tx>
            <c:strRef>
              <c:f>'Cum. impacts (Scopes1-4)'!$I$4</c:f>
              <c:strCache>
                <c:ptCount val="1"/>
                <c:pt idx="0">
                  <c:v>cascading&amp;circular</c:v>
                </c:pt>
              </c:strCache>
            </c:strRef>
          </c:tx>
          <c:spPr>
            <a:ln w="28575" cap="rnd">
              <a:solidFill>
                <a:schemeClr val="accent4"/>
              </a:solidFill>
              <a:round/>
            </a:ln>
            <a:effectLst/>
          </c:spPr>
          <c:marker>
            <c:symbol val="none"/>
          </c:marker>
          <c:cat>
            <c:numRef>
              <c:extLst>
                <c:ext xmlns:c15="http://schemas.microsoft.com/office/drawing/2012/chart" uri="{02D57815-91ED-43cb-92C2-25804820EDAC}">
                  <c15:fullRef>
                    <c15:sqref>'Cum. impacts (Scopes1-4)'!$A$5:$A$35</c15:sqref>
                  </c15:fullRef>
                </c:ext>
              </c:extLst>
              <c:f>'Cum. impacts (Scopes1-4)'!$A$8:$A$35</c:f>
              <c:numCache>
                <c:formatCode>General</c:formatCode>
                <c:ptCount val="28"/>
                <c:pt idx="0">
                  <c:v>2023</c:v>
                </c:pt>
                <c:pt idx="1">
                  <c:v>2024</c:v>
                </c:pt>
                <c:pt idx="2">
                  <c:v>2025</c:v>
                </c:pt>
                <c:pt idx="3">
                  <c:v>2026</c:v>
                </c:pt>
                <c:pt idx="4">
                  <c:v>2027</c:v>
                </c:pt>
                <c:pt idx="5">
                  <c:v>2028</c:v>
                </c:pt>
                <c:pt idx="6">
                  <c:v>2029</c:v>
                </c:pt>
                <c:pt idx="7">
                  <c:v>2030</c:v>
                </c:pt>
                <c:pt idx="8">
                  <c:v>2031</c:v>
                </c:pt>
                <c:pt idx="9">
                  <c:v>2032</c:v>
                </c:pt>
                <c:pt idx="10">
                  <c:v>2033</c:v>
                </c:pt>
                <c:pt idx="11">
                  <c:v>2034</c:v>
                </c:pt>
                <c:pt idx="12">
                  <c:v>2035</c:v>
                </c:pt>
                <c:pt idx="13">
                  <c:v>2036</c:v>
                </c:pt>
                <c:pt idx="14">
                  <c:v>2037</c:v>
                </c:pt>
                <c:pt idx="15">
                  <c:v>2038</c:v>
                </c:pt>
                <c:pt idx="16">
                  <c:v>2039</c:v>
                </c:pt>
                <c:pt idx="17">
                  <c:v>2040</c:v>
                </c:pt>
                <c:pt idx="18">
                  <c:v>2041</c:v>
                </c:pt>
                <c:pt idx="19">
                  <c:v>2042</c:v>
                </c:pt>
                <c:pt idx="20">
                  <c:v>2043</c:v>
                </c:pt>
                <c:pt idx="21">
                  <c:v>2044</c:v>
                </c:pt>
                <c:pt idx="22">
                  <c:v>2045</c:v>
                </c:pt>
                <c:pt idx="23">
                  <c:v>2046</c:v>
                </c:pt>
                <c:pt idx="24">
                  <c:v>2047</c:v>
                </c:pt>
                <c:pt idx="25">
                  <c:v>2048</c:v>
                </c:pt>
                <c:pt idx="26">
                  <c:v>2049</c:v>
                </c:pt>
                <c:pt idx="27">
                  <c:v>2050</c:v>
                </c:pt>
              </c:numCache>
            </c:numRef>
          </c:cat>
          <c:val>
            <c:numRef>
              <c:extLst>
                <c:ext xmlns:c15="http://schemas.microsoft.com/office/drawing/2012/chart" uri="{02D57815-91ED-43cb-92C2-25804820EDAC}">
                  <c15:fullRef>
                    <c15:sqref>'Cum. impacts (Scopes1-4)'!$I$5:$I$35</c15:sqref>
                  </c15:fullRef>
                </c:ext>
              </c:extLst>
              <c:f>'Cum. impacts (Scopes1-4)'!$I$8:$I$35</c:f>
              <c:numCache>
                <c:formatCode>_(* #,##0.00_);_(* \(#,##0.00\);_(* "-"??_);_(@_)</c:formatCode>
                <c:ptCount val="28"/>
                <c:pt idx="0">
                  <c:v>-2588950.9947228422</c:v>
                </c:pt>
                <c:pt idx="1">
                  <c:v>-2588950.9947228422</c:v>
                </c:pt>
                <c:pt idx="2">
                  <c:v>-2588950.9947228422</c:v>
                </c:pt>
                <c:pt idx="3">
                  <c:v>-2588950.9947228422</c:v>
                </c:pt>
                <c:pt idx="4">
                  <c:v>-2588950.9947228422</c:v>
                </c:pt>
                <c:pt idx="5">
                  <c:v>-4400688.1604439337</c:v>
                </c:pt>
                <c:pt idx="6">
                  <c:v>-4400688.1604439337</c:v>
                </c:pt>
                <c:pt idx="7">
                  <c:v>-3921241.6940280315</c:v>
                </c:pt>
                <c:pt idx="8">
                  <c:v>-3921241.6940280315</c:v>
                </c:pt>
                <c:pt idx="9">
                  <c:v>-3921241.6940280315</c:v>
                </c:pt>
                <c:pt idx="10">
                  <c:v>-3921241.6940280315</c:v>
                </c:pt>
                <c:pt idx="11">
                  <c:v>-3921241.6940280315</c:v>
                </c:pt>
                <c:pt idx="12">
                  <c:v>-3921241.6940280315</c:v>
                </c:pt>
                <c:pt idx="13">
                  <c:v>-3921241.6940280315</c:v>
                </c:pt>
                <c:pt idx="14">
                  <c:v>-3921241.6940280315</c:v>
                </c:pt>
                <c:pt idx="15">
                  <c:v>-3921241.6940280315</c:v>
                </c:pt>
                <c:pt idx="16">
                  <c:v>-3921241.6940280315</c:v>
                </c:pt>
                <c:pt idx="17">
                  <c:v>-3254308.426706004</c:v>
                </c:pt>
                <c:pt idx="18">
                  <c:v>-3254308.426706004</c:v>
                </c:pt>
                <c:pt idx="19">
                  <c:v>-3254308.426706004</c:v>
                </c:pt>
                <c:pt idx="20">
                  <c:v>-3254308.426706004</c:v>
                </c:pt>
                <c:pt idx="21">
                  <c:v>-3254308.426706004</c:v>
                </c:pt>
                <c:pt idx="22">
                  <c:v>-3254308.426706004</c:v>
                </c:pt>
                <c:pt idx="23">
                  <c:v>-3254308.426706004</c:v>
                </c:pt>
                <c:pt idx="24">
                  <c:v>-3254308.426706004</c:v>
                </c:pt>
                <c:pt idx="25">
                  <c:v>-3254308.426706004</c:v>
                </c:pt>
                <c:pt idx="26">
                  <c:v>-3254308.426706004</c:v>
                </c:pt>
                <c:pt idx="27">
                  <c:v>-3070608.1880179392</c:v>
                </c:pt>
              </c:numCache>
            </c:numRef>
          </c:val>
          <c:smooth val="0"/>
          <c:extLst>
            <c:ext xmlns:c16="http://schemas.microsoft.com/office/drawing/2014/chart" uri="{C3380CC4-5D6E-409C-BE32-E72D297353CC}">
              <c16:uniqueId val="{00000003-4400-4B0B-8E97-59AAE8916CDC}"/>
            </c:ext>
          </c:extLst>
        </c:ser>
        <c:ser>
          <c:idx val="0"/>
          <c:order val="3"/>
          <c:tx>
            <c:strRef>
              <c:f>'Cum. impacts (Scopes1-4)'!$F$4</c:f>
              <c:strCache>
                <c:ptCount val="1"/>
                <c:pt idx="0">
                  <c:v>BAU</c:v>
                </c:pt>
              </c:strCache>
            </c:strRef>
          </c:tx>
          <c:spPr>
            <a:ln w="28575" cap="rnd">
              <a:solidFill>
                <a:schemeClr val="accent1"/>
              </a:solidFill>
              <a:round/>
            </a:ln>
            <a:effectLst/>
          </c:spPr>
          <c:marker>
            <c:symbol val="none"/>
          </c:marker>
          <c:cat>
            <c:numRef>
              <c:extLst>
                <c:ext xmlns:c15="http://schemas.microsoft.com/office/drawing/2012/chart" uri="{02D57815-91ED-43cb-92C2-25804820EDAC}">
                  <c15:fullRef>
                    <c15:sqref>'Cum. impacts (Scopes1-4)'!$A$5:$A$35</c15:sqref>
                  </c15:fullRef>
                </c:ext>
              </c:extLst>
              <c:f>'Cum. impacts (Scopes1-4)'!$A$8:$A$35</c:f>
              <c:numCache>
                <c:formatCode>General</c:formatCode>
                <c:ptCount val="28"/>
                <c:pt idx="0">
                  <c:v>2023</c:v>
                </c:pt>
                <c:pt idx="1">
                  <c:v>2024</c:v>
                </c:pt>
                <c:pt idx="2">
                  <c:v>2025</c:v>
                </c:pt>
                <c:pt idx="3">
                  <c:v>2026</c:v>
                </c:pt>
                <c:pt idx="4">
                  <c:v>2027</c:v>
                </c:pt>
                <c:pt idx="5">
                  <c:v>2028</c:v>
                </c:pt>
                <c:pt idx="6">
                  <c:v>2029</c:v>
                </c:pt>
                <c:pt idx="7">
                  <c:v>2030</c:v>
                </c:pt>
                <c:pt idx="8">
                  <c:v>2031</c:v>
                </c:pt>
                <c:pt idx="9">
                  <c:v>2032</c:v>
                </c:pt>
                <c:pt idx="10">
                  <c:v>2033</c:v>
                </c:pt>
                <c:pt idx="11">
                  <c:v>2034</c:v>
                </c:pt>
                <c:pt idx="12">
                  <c:v>2035</c:v>
                </c:pt>
                <c:pt idx="13">
                  <c:v>2036</c:v>
                </c:pt>
                <c:pt idx="14">
                  <c:v>2037</c:v>
                </c:pt>
                <c:pt idx="15">
                  <c:v>2038</c:v>
                </c:pt>
                <c:pt idx="16">
                  <c:v>2039</c:v>
                </c:pt>
                <c:pt idx="17">
                  <c:v>2040</c:v>
                </c:pt>
                <c:pt idx="18">
                  <c:v>2041</c:v>
                </c:pt>
                <c:pt idx="19">
                  <c:v>2042</c:v>
                </c:pt>
                <c:pt idx="20">
                  <c:v>2043</c:v>
                </c:pt>
                <c:pt idx="21">
                  <c:v>2044</c:v>
                </c:pt>
                <c:pt idx="22">
                  <c:v>2045</c:v>
                </c:pt>
                <c:pt idx="23">
                  <c:v>2046</c:v>
                </c:pt>
                <c:pt idx="24">
                  <c:v>2047</c:v>
                </c:pt>
                <c:pt idx="25">
                  <c:v>2048</c:v>
                </c:pt>
                <c:pt idx="26">
                  <c:v>2049</c:v>
                </c:pt>
                <c:pt idx="27">
                  <c:v>2050</c:v>
                </c:pt>
              </c:numCache>
            </c:numRef>
          </c:cat>
          <c:val>
            <c:numRef>
              <c:extLst>
                <c:ext xmlns:c15="http://schemas.microsoft.com/office/drawing/2012/chart" uri="{02D57815-91ED-43cb-92C2-25804820EDAC}">
                  <c15:fullRef>
                    <c15:sqref>'Cum. impacts (Scopes1-4)'!$F$5:$F$35</c15:sqref>
                  </c15:fullRef>
                </c:ext>
              </c:extLst>
              <c:f>'Cum. impacts (Scopes1-4)'!$F$8:$F$35</c:f>
              <c:numCache>
                <c:formatCode>_(* #,##0.00_);_(* \(#,##0.00\);_(* "-"??_);_(@_)</c:formatCode>
                <c:ptCount val="28"/>
                <c:pt idx="0">
                  <c:v>-2588950.9947228422</c:v>
                </c:pt>
                <c:pt idx="1">
                  <c:v>-2588950.9947228422</c:v>
                </c:pt>
                <c:pt idx="2">
                  <c:v>-2588950.9947228422</c:v>
                </c:pt>
                <c:pt idx="3">
                  <c:v>-2588950.9947228422</c:v>
                </c:pt>
                <c:pt idx="4">
                  <c:v>-2588950.9947228422</c:v>
                </c:pt>
                <c:pt idx="5">
                  <c:v>-2588950.9947228422</c:v>
                </c:pt>
                <c:pt idx="6">
                  <c:v>-2588950.9947228422</c:v>
                </c:pt>
                <c:pt idx="7">
                  <c:v>-2098093.8793848203</c:v>
                </c:pt>
                <c:pt idx="8">
                  <c:v>-2098093.8793848203</c:v>
                </c:pt>
                <c:pt idx="9">
                  <c:v>-2098093.8793848203</c:v>
                </c:pt>
                <c:pt idx="10">
                  <c:v>-2098093.8793848203</c:v>
                </c:pt>
                <c:pt idx="11">
                  <c:v>-2098093.8793848203</c:v>
                </c:pt>
                <c:pt idx="12">
                  <c:v>-2098093.8793848203</c:v>
                </c:pt>
                <c:pt idx="13">
                  <c:v>-2098093.8793848203</c:v>
                </c:pt>
                <c:pt idx="14">
                  <c:v>-2098093.8793848203</c:v>
                </c:pt>
                <c:pt idx="15">
                  <c:v>-2098093.8793848203</c:v>
                </c:pt>
                <c:pt idx="16">
                  <c:v>-2098093.8793848203</c:v>
                </c:pt>
                <c:pt idx="17">
                  <c:v>-1397305.5111593865</c:v>
                </c:pt>
                <c:pt idx="18">
                  <c:v>-1397305.5111593865</c:v>
                </c:pt>
                <c:pt idx="19">
                  <c:v>-1397305.5111593865</c:v>
                </c:pt>
                <c:pt idx="20">
                  <c:v>-1397305.5111593865</c:v>
                </c:pt>
                <c:pt idx="21">
                  <c:v>-1397305.5111593865</c:v>
                </c:pt>
                <c:pt idx="22">
                  <c:v>-1397305.5111593865</c:v>
                </c:pt>
                <c:pt idx="23">
                  <c:v>-1397305.5111593865</c:v>
                </c:pt>
                <c:pt idx="24">
                  <c:v>-1397305.5111593865</c:v>
                </c:pt>
                <c:pt idx="25">
                  <c:v>-1397305.5111593865</c:v>
                </c:pt>
                <c:pt idx="26">
                  <c:v>-1397305.5111593865</c:v>
                </c:pt>
                <c:pt idx="27">
                  <c:v>-1208099.7616829472</c:v>
                </c:pt>
              </c:numCache>
            </c:numRef>
          </c:val>
          <c:smooth val="0"/>
          <c:extLst>
            <c:ext xmlns:c16="http://schemas.microsoft.com/office/drawing/2014/chart" uri="{C3380CC4-5D6E-409C-BE32-E72D297353CC}">
              <c16:uniqueId val="{00000000-4400-4B0B-8E97-59AAE8916CDC}"/>
            </c:ext>
          </c:extLst>
        </c:ser>
        <c:dLbls>
          <c:showLegendKey val="0"/>
          <c:showVal val="0"/>
          <c:showCatName val="0"/>
          <c:showSerName val="0"/>
          <c:showPercent val="0"/>
          <c:showBubbleSize val="0"/>
        </c:dLbls>
        <c:smooth val="0"/>
        <c:axId val="445883832"/>
        <c:axId val="445881208"/>
      </c:lineChart>
      <c:catAx>
        <c:axId val="445883832"/>
        <c:scaling>
          <c:orientation val="minMax"/>
        </c:scaling>
        <c:delete val="0"/>
        <c:axPos val="b"/>
        <c:title>
          <c:tx>
            <c:rich>
              <a:bodyPr rot="0" spcFirstLastPara="1" vertOverflow="ellipsis" vert="horz" wrap="square" anchor="t" anchorCtr="0"/>
              <a:lstStyle/>
              <a:p>
                <a:pPr>
                  <a:defRPr sz="1600" b="0" i="0" u="none" strike="noStrike" kern="1200" baseline="0">
                    <a:solidFill>
                      <a:schemeClr val="tx1">
                        <a:lumMod val="65000"/>
                        <a:lumOff val="35000"/>
                      </a:schemeClr>
                    </a:solidFill>
                    <a:latin typeface="+mn-lt"/>
                    <a:ea typeface="+mn-ea"/>
                    <a:cs typeface="+mn-cs"/>
                  </a:defRPr>
                </a:pPr>
                <a:r>
                  <a:rPr lang="en-GB" sz="1600"/>
                  <a:t>Year</a:t>
                </a:r>
              </a:p>
            </c:rich>
          </c:tx>
          <c:layout>
            <c:manualLayout>
              <c:xMode val="edge"/>
              <c:yMode val="edge"/>
              <c:x val="0.49583456607522308"/>
              <c:y val="0.10409239080780759"/>
            </c:manualLayout>
          </c:layout>
          <c:overlay val="0"/>
          <c:spPr>
            <a:noFill/>
            <a:ln>
              <a:noFill/>
            </a:ln>
            <a:effectLst/>
          </c:spPr>
          <c:txPr>
            <a:bodyPr rot="0" spcFirstLastPara="1" vertOverflow="ellipsis" vert="horz" wrap="square" anchor="t" anchorCtr="0"/>
            <a:lstStyle/>
            <a:p>
              <a:pPr>
                <a:defRPr sz="16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high"/>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crossAx val="445881208"/>
        <c:crosses val="autoZero"/>
        <c:auto val="1"/>
        <c:lblAlgn val="ctr"/>
        <c:lblOffset val="100"/>
        <c:noMultiLvlLbl val="0"/>
      </c:catAx>
      <c:valAx>
        <c:axId val="445881208"/>
        <c:scaling>
          <c:orientation val="minMax"/>
          <c:min val="-70000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r>
                  <a:rPr lang="en-GB" sz="1600"/>
                  <a:t>Tonnes CO2e per year</a:t>
                </a:r>
              </a:p>
            </c:rich>
          </c:tx>
          <c:layout/>
          <c:overlay val="0"/>
          <c:spPr>
            <a:noFill/>
            <a:ln>
              <a:noFill/>
            </a:ln>
            <a:effectLst/>
          </c:spPr>
          <c:txPr>
            <a:bodyPr rot="-54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en-US"/>
            </a:p>
          </c:txPr>
        </c:title>
        <c:numFmt formatCode="0.0E+0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crossAx val="445883832"/>
        <c:crosses val="autoZero"/>
        <c:crossBetween val="between"/>
        <c:minorUnit val="100000"/>
      </c:valAx>
      <c:spPr>
        <a:noFill/>
        <a:ln>
          <a:noFill/>
        </a:ln>
        <a:effectLst/>
      </c:spPr>
    </c:plotArea>
    <c:legend>
      <c:legendPos val="b"/>
      <c:layout>
        <c:manualLayout>
          <c:xMode val="edge"/>
          <c:yMode val="edge"/>
          <c:x val="0.2569884259594083"/>
          <c:y val="0.89082231776567466"/>
          <c:w val="0.54142407237890822"/>
          <c:h val="0.10699058445796657"/>
        </c:manualLayout>
      </c:layout>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1"/>
          <c:order val="0"/>
          <c:tx>
            <c:strRef>
              <c:f>'Cum. impacts (Scopes1-4)'!$G$60</c:f>
              <c:strCache>
                <c:ptCount val="1"/>
                <c:pt idx="0">
                  <c:v>cascading</c:v>
                </c:pt>
              </c:strCache>
            </c:strRef>
          </c:tx>
          <c:spPr>
            <a:ln w="28575" cap="rnd">
              <a:solidFill>
                <a:schemeClr val="accent2"/>
              </a:solidFill>
              <a:round/>
            </a:ln>
            <a:effectLst/>
          </c:spPr>
          <c:marker>
            <c:symbol val="none"/>
          </c:marker>
          <c:cat>
            <c:numRef>
              <c:extLst>
                <c:ext xmlns:c15="http://schemas.microsoft.com/office/drawing/2012/chart" uri="{02D57815-91ED-43cb-92C2-25804820EDAC}">
                  <c15:fullRef>
                    <c15:sqref>'Cum. impacts (Scopes1-4)'!$A$61:$A$91</c15:sqref>
                  </c15:fullRef>
                </c:ext>
              </c:extLst>
              <c:f>'Cum. impacts (Scopes1-4)'!$A$63:$A$91</c:f>
              <c:numCache>
                <c:formatCode>General</c:formatCode>
                <c:ptCount val="2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pt idx="19">
                  <c:v>2041</c:v>
                </c:pt>
                <c:pt idx="20">
                  <c:v>2042</c:v>
                </c:pt>
                <c:pt idx="21">
                  <c:v>2043</c:v>
                </c:pt>
                <c:pt idx="22">
                  <c:v>2044</c:v>
                </c:pt>
                <c:pt idx="23">
                  <c:v>2045</c:v>
                </c:pt>
                <c:pt idx="24">
                  <c:v>2046</c:v>
                </c:pt>
                <c:pt idx="25">
                  <c:v>2047</c:v>
                </c:pt>
                <c:pt idx="26">
                  <c:v>2048</c:v>
                </c:pt>
                <c:pt idx="27">
                  <c:v>2049</c:v>
                </c:pt>
                <c:pt idx="28">
                  <c:v>2050</c:v>
                </c:pt>
              </c:numCache>
            </c:numRef>
          </c:cat>
          <c:val>
            <c:numRef>
              <c:extLst>
                <c:ext xmlns:c15="http://schemas.microsoft.com/office/drawing/2012/chart" uri="{02D57815-91ED-43cb-92C2-25804820EDAC}">
                  <c15:fullRef>
                    <c15:sqref>'Cum. impacts (Scopes1-4)'!$G$61:$G$91</c15:sqref>
                  </c15:fullRef>
                </c:ext>
              </c:extLst>
              <c:f>'Cum. impacts (Scopes1-4)'!$G$63:$G$91</c:f>
              <c:numCache>
                <c:formatCode>General</c:formatCode>
                <c:ptCount val="29"/>
                <c:pt idx="0">
                  <c:v>0</c:v>
                </c:pt>
                <c:pt idx="1">
                  <c:v>-2588950.9947228422</c:v>
                </c:pt>
                <c:pt idx="2">
                  <c:v>-5177901.9894456845</c:v>
                </c:pt>
                <c:pt idx="3">
                  <c:v>-7766852.9841685267</c:v>
                </c:pt>
                <c:pt idx="4">
                  <c:v>-10355803.978891369</c:v>
                </c:pt>
                <c:pt idx="5">
                  <c:v>-12944754.973614212</c:v>
                </c:pt>
                <c:pt idx="6">
                  <c:v>-15636072.349491723</c:v>
                </c:pt>
                <c:pt idx="7">
                  <c:v>-18327389.725369234</c:v>
                </c:pt>
                <c:pt idx="8">
                  <c:v>-20568464.931951638</c:v>
                </c:pt>
                <c:pt idx="9">
                  <c:v>-22809540.138534043</c:v>
                </c:pt>
                <c:pt idx="10">
                  <c:v>-25050615.345116448</c:v>
                </c:pt>
                <c:pt idx="11">
                  <c:v>-27291690.551698852</c:v>
                </c:pt>
                <c:pt idx="12">
                  <c:v>-29532765.758281257</c:v>
                </c:pt>
                <c:pt idx="13">
                  <c:v>-31773840.964863662</c:v>
                </c:pt>
                <c:pt idx="14">
                  <c:v>-34014916.17144607</c:v>
                </c:pt>
                <c:pt idx="15">
                  <c:v>-36255991.378028475</c:v>
                </c:pt>
                <c:pt idx="16">
                  <c:v>-38497066.584610879</c:v>
                </c:pt>
                <c:pt idx="17">
                  <c:v>-40738141.791193284</c:v>
                </c:pt>
                <c:pt idx="18">
                  <c:v>-42295580.719859652</c:v>
                </c:pt>
                <c:pt idx="19">
                  <c:v>-43853019.64852602</c:v>
                </c:pt>
                <c:pt idx="20">
                  <c:v>-45410458.577192388</c:v>
                </c:pt>
                <c:pt idx="21">
                  <c:v>-46967897.505858757</c:v>
                </c:pt>
                <c:pt idx="22">
                  <c:v>-48525336.434525125</c:v>
                </c:pt>
                <c:pt idx="23">
                  <c:v>-50082775.363191493</c:v>
                </c:pt>
                <c:pt idx="24">
                  <c:v>-51640214.291857861</c:v>
                </c:pt>
                <c:pt idx="25">
                  <c:v>-53197653.220524229</c:v>
                </c:pt>
                <c:pt idx="26">
                  <c:v>-54755092.149190597</c:v>
                </c:pt>
                <c:pt idx="27">
                  <c:v>-56312531.077856965</c:v>
                </c:pt>
                <c:pt idx="28" formatCode="_-* #,##0_-;\-* #,##0_-;_-* &quot;-&quot;??_-;_-@_-">
                  <c:v>-57693845.780066632</c:v>
                </c:pt>
              </c:numCache>
            </c:numRef>
          </c:val>
          <c:smooth val="0"/>
          <c:extLst xmlns:c15="http://schemas.microsoft.com/office/drawing/2012/chart">
            <c:ext xmlns:c16="http://schemas.microsoft.com/office/drawing/2014/chart" uri="{C3380CC4-5D6E-409C-BE32-E72D297353CC}">
              <c16:uniqueId val="{00000001-929C-4A19-AD72-9F3286007FDE}"/>
            </c:ext>
          </c:extLst>
        </c:ser>
        <c:ser>
          <c:idx val="2"/>
          <c:order val="1"/>
          <c:tx>
            <c:strRef>
              <c:f>'Cum. impacts (Scopes1-4)'!$H$60</c:f>
              <c:strCache>
                <c:ptCount val="1"/>
                <c:pt idx="0">
                  <c:v>circular</c:v>
                </c:pt>
              </c:strCache>
            </c:strRef>
          </c:tx>
          <c:spPr>
            <a:ln w="28575" cap="rnd">
              <a:solidFill>
                <a:schemeClr val="accent3"/>
              </a:solidFill>
              <a:round/>
            </a:ln>
            <a:effectLst/>
          </c:spPr>
          <c:marker>
            <c:symbol val="none"/>
          </c:marker>
          <c:cat>
            <c:numRef>
              <c:extLst>
                <c:ext xmlns:c15="http://schemas.microsoft.com/office/drawing/2012/chart" uri="{02D57815-91ED-43cb-92C2-25804820EDAC}">
                  <c15:fullRef>
                    <c15:sqref>'Cum. impacts (Scopes1-4)'!$A$61:$A$91</c15:sqref>
                  </c15:fullRef>
                </c:ext>
              </c:extLst>
              <c:f>'Cum. impacts (Scopes1-4)'!$A$63:$A$91</c:f>
              <c:numCache>
                <c:formatCode>General</c:formatCode>
                <c:ptCount val="2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pt idx="19">
                  <c:v>2041</c:v>
                </c:pt>
                <c:pt idx="20">
                  <c:v>2042</c:v>
                </c:pt>
                <c:pt idx="21">
                  <c:v>2043</c:v>
                </c:pt>
                <c:pt idx="22">
                  <c:v>2044</c:v>
                </c:pt>
                <c:pt idx="23">
                  <c:v>2045</c:v>
                </c:pt>
                <c:pt idx="24">
                  <c:v>2046</c:v>
                </c:pt>
                <c:pt idx="25">
                  <c:v>2047</c:v>
                </c:pt>
                <c:pt idx="26">
                  <c:v>2048</c:v>
                </c:pt>
                <c:pt idx="27">
                  <c:v>2049</c:v>
                </c:pt>
                <c:pt idx="28">
                  <c:v>2050</c:v>
                </c:pt>
              </c:numCache>
            </c:numRef>
          </c:cat>
          <c:val>
            <c:numRef>
              <c:extLst>
                <c:ext xmlns:c15="http://schemas.microsoft.com/office/drawing/2012/chart" uri="{02D57815-91ED-43cb-92C2-25804820EDAC}">
                  <c15:fullRef>
                    <c15:sqref>'Cum. impacts (Scopes1-4)'!$H$61:$H$91</c15:sqref>
                  </c15:fullRef>
                </c:ext>
              </c:extLst>
              <c:f>'Cum. impacts (Scopes1-4)'!$H$63:$H$91</c:f>
              <c:numCache>
                <c:formatCode>General</c:formatCode>
                <c:ptCount val="29"/>
                <c:pt idx="0">
                  <c:v>0</c:v>
                </c:pt>
                <c:pt idx="1">
                  <c:v>-2588950.9947228422</c:v>
                </c:pt>
                <c:pt idx="2">
                  <c:v>-5177901.9894456845</c:v>
                </c:pt>
                <c:pt idx="3">
                  <c:v>-7766852.9841685267</c:v>
                </c:pt>
                <c:pt idx="4">
                  <c:v>-10355803.978891369</c:v>
                </c:pt>
                <c:pt idx="5">
                  <c:v>-12944754.973614212</c:v>
                </c:pt>
                <c:pt idx="6">
                  <c:v>-17311757.938997842</c:v>
                </c:pt>
                <c:pt idx="7">
                  <c:v>-21678760.904381469</c:v>
                </c:pt>
                <c:pt idx="8">
                  <c:v>-25542834.022699837</c:v>
                </c:pt>
                <c:pt idx="9">
                  <c:v>-29406907.141018204</c:v>
                </c:pt>
                <c:pt idx="10">
                  <c:v>-33270980.259336572</c:v>
                </c:pt>
                <c:pt idx="11">
                  <c:v>-37135053.37765494</c:v>
                </c:pt>
                <c:pt idx="12">
                  <c:v>-40999126.495973304</c:v>
                </c:pt>
                <c:pt idx="13">
                  <c:v>-44863199.614291668</c:v>
                </c:pt>
                <c:pt idx="14">
                  <c:v>-48727272.732610032</c:v>
                </c:pt>
                <c:pt idx="15">
                  <c:v>-52591345.850928396</c:v>
                </c:pt>
                <c:pt idx="16">
                  <c:v>-56455418.96924676</c:v>
                </c:pt>
                <c:pt idx="17">
                  <c:v>-60319492.087565124</c:v>
                </c:pt>
                <c:pt idx="18">
                  <c:v>-63506714.676447116</c:v>
                </c:pt>
                <c:pt idx="19">
                  <c:v>-66693937.265329108</c:v>
                </c:pt>
                <c:pt idx="20">
                  <c:v>-69881159.854211092</c:v>
                </c:pt>
                <c:pt idx="21">
                  <c:v>-73068382.443093076</c:v>
                </c:pt>
                <c:pt idx="22">
                  <c:v>-76255605.031975061</c:v>
                </c:pt>
                <c:pt idx="23">
                  <c:v>-79442827.620857045</c:v>
                </c:pt>
                <c:pt idx="24">
                  <c:v>-82630050.209739029</c:v>
                </c:pt>
                <c:pt idx="25">
                  <c:v>-85817272.798621014</c:v>
                </c:pt>
                <c:pt idx="26">
                  <c:v>-89004495.387502998</c:v>
                </c:pt>
                <c:pt idx="27">
                  <c:v>-92191717.976384982</c:v>
                </c:pt>
                <c:pt idx="28" formatCode="_-* #,##0_-;\-* #,##0_-;_-* &quot;-&quot;??_-;_-@_-">
                  <c:v>-95187676.648315698</c:v>
                </c:pt>
              </c:numCache>
            </c:numRef>
          </c:val>
          <c:smooth val="0"/>
          <c:extLst xmlns:c15="http://schemas.microsoft.com/office/drawing/2012/chart">
            <c:ext xmlns:c16="http://schemas.microsoft.com/office/drawing/2014/chart" uri="{C3380CC4-5D6E-409C-BE32-E72D297353CC}">
              <c16:uniqueId val="{00000002-929C-4A19-AD72-9F3286007FDE}"/>
            </c:ext>
          </c:extLst>
        </c:ser>
        <c:ser>
          <c:idx val="3"/>
          <c:order val="2"/>
          <c:tx>
            <c:strRef>
              <c:f>'Cum. impacts (Scopes1-4)'!$I$60</c:f>
              <c:strCache>
                <c:ptCount val="1"/>
                <c:pt idx="0">
                  <c:v>cascading&amp;circular</c:v>
                </c:pt>
              </c:strCache>
            </c:strRef>
          </c:tx>
          <c:spPr>
            <a:ln w="28575" cap="rnd">
              <a:solidFill>
                <a:schemeClr val="accent4"/>
              </a:solidFill>
              <a:round/>
            </a:ln>
            <a:effectLst/>
          </c:spPr>
          <c:marker>
            <c:symbol val="none"/>
          </c:marker>
          <c:cat>
            <c:numRef>
              <c:extLst>
                <c:ext xmlns:c15="http://schemas.microsoft.com/office/drawing/2012/chart" uri="{02D57815-91ED-43cb-92C2-25804820EDAC}">
                  <c15:fullRef>
                    <c15:sqref>'Cum. impacts (Scopes1-4)'!$A$61:$A$91</c15:sqref>
                  </c15:fullRef>
                </c:ext>
              </c:extLst>
              <c:f>'Cum. impacts (Scopes1-4)'!$A$63:$A$91</c:f>
              <c:numCache>
                <c:formatCode>General</c:formatCode>
                <c:ptCount val="2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pt idx="19">
                  <c:v>2041</c:v>
                </c:pt>
                <c:pt idx="20">
                  <c:v>2042</c:v>
                </c:pt>
                <c:pt idx="21">
                  <c:v>2043</c:v>
                </c:pt>
                <c:pt idx="22">
                  <c:v>2044</c:v>
                </c:pt>
                <c:pt idx="23">
                  <c:v>2045</c:v>
                </c:pt>
                <c:pt idx="24">
                  <c:v>2046</c:v>
                </c:pt>
                <c:pt idx="25">
                  <c:v>2047</c:v>
                </c:pt>
                <c:pt idx="26">
                  <c:v>2048</c:v>
                </c:pt>
                <c:pt idx="27">
                  <c:v>2049</c:v>
                </c:pt>
                <c:pt idx="28">
                  <c:v>2050</c:v>
                </c:pt>
              </c:numCache>
            </c:numRef>
          </c:cat>
          <c:val>
            <c:numRef>
              <c:extLst>
                <c:ext xmlns:c15="http://schemas.microsoft.com/office/drawing/2012/chart" uri="{02D57815-91ED-43cb-92C2-25804820EDAC}">
                  <c15:fullRef>
                    <c15:sqref>'Cum. impacts (Scopes1-4)'!$I$61:$I$91</c15:sqref>
                  </c15:fullRef>
                </c:ext>
              </c:extLst>
              <c:f>'Cum. impacts (Scopes1-4)'!$I$63:$I$91</c:f>
              <c:numCache>
                <c:formatCode>General</c:formatCode>
                <c:ptCount val="29"/>
                <c:pt idx="0">
                  <c:v>0</c:v>
                </c:pt>
                <c:pt idx="1">
                  <c:v>-2588950.9947228422</c:v>
                </c:pt>
                <c:pt idx="2">
                  <c:v>-5177901.9894456845</c:v>
                </c:pt>
                <c:pt idx="3">
                  <c:v>-7766852.9841685267</c:v>
                </c:pt>
                <c:pt idx="4">
                  <c:v>-10355803.978891369</c:v>
                </c:pt>
                <c:pt idx="5">
                  <c:v>-12944754.973614212</c:v>
                </c:pt>
                <c:pt idx="6">
                  <c:v>-17345443.134058148</c:v>
                </c:pt>
                <c:pt idx="7">
                  <c:v>-21746131.294502079</c:v>
                </c:pt>
                <c:pt idx="8">
                  <c:v>-25667372.988530111</c:v>
                </c:pt>
                <c:pt idx="9">
                  <c:v>-29588614.682558142</c:v>
                </c:pt>
                <c:pt idx="10">
                  <c:v>-33509856.376586173</c:v>
                </c:pt>
                <c:pt idx="11">
                  <c:v>-37431098.070614204</c:v>
                </c:pt>
                <c:pt idx="12">
                  <c:v>-41352339.764642239</c:v>
                </c:pt>
                <c:pt idx="13">
                  <c:v>-45273581.458670273</c:v>
                </c:pt>
                <c:pt idx="14">
                  <c:v>-49194823.152698308</c:v>
                </c:pt>
                <c:pt idx="15">
                  <c:v>-53116064.846726343</c:v>
                </c:pt>
                <c:pt idx="16">
                  <c:v>-57037306.540754378</c:v>
                </c:pt>
                <c:pt idx="17">
                  <c:v>-60958548.234782413</c:v>
                </c:pt>
                <c:pt idx="18">
                  <c:v>-64212856.661488414</c:v>
                </c:pt>
                <c:pt idx="19">
                  <c:v>-67467165.088194415</c:v>
                </c:pt>
                <c:pt idx="20">
                  <c:v>-70721473.514900416</c:v>
                </c:pt>
                <c:pt idx="21">
                  <c:v>-73975781.941606417</c:v>
                </c:pt>
                <c:pt idx="22">
                  <c:v>-77230090.368312418</c:v>
                </c:pt>
                <c:pt idx="23">
                  <c:v>-80484398.79501842</c:v>
                </c:pt>
                <c:pt idx="24">
                  <c:v>-83738707.221724421</c:v>
                </c:pt>
                <c:pt idx="25">
                  <c:v>-86993015.648430422</c:v>
                </c:pt>
                <c:pt idx="26">
                  <c:v>-90247324.075136423</c:v>
                </c:pt>
                <c:pt idx="27">
                  <c:v>-93501632.501842424</c:v>
                </c:pt>
                <c:pt idx="28" formatCode="_-* #,##0_-;\-* #,##0_-;_-* &quot;-&quot;??_-;_-@_-">
                  <c:v>-96572240.689860359</c:v>
                </c:pt>
              </c:numCache>
            </c:numRef>
          </c:val>
          <c:smooth val="0"/>
          <c:extLst xmlns:c15="http://schemas.microsoft.com/office/drawing/2012/chart">
            <c:ext xmlns:c16="http://schemas.microsoft.com/office/drawing/2014/chart" uri="{C3380CC4-5D6E-409C-BE32-E72D297353CC}">
              <c16:uniqueId val="{00000003-929C-4A19-AD72-9F3286007FDE}"/>
            </c:ext>
          </c:extLst>
        </c:ser>
        <c:ser>
          <c:idx val="0"/>
          <c:order val="3"/>
          <c:tx>
            <c:strRef>
              <c:f>'Cum. impacts (Scopes1-4)'!$F$60</c:f>
              <c:strCache>
                <c:ptCount val="1"/>
                <c:pt idx="0">
                  <c:v>BAU</c:v>
                </c:pt>
              </c:strCache>
            </c:strRef>
          </c:tx>
          <c:spPr>
            <a:ln w="28575" cap="rnd">
              <a:solidFill>
                <a:schemeClr val="accent1"/>
              </a:solidFill>
              <a:round/>
            </a:ln>
            <a:effectLst/>
          </c:spPr>
          <c:marker>
            <c:symbol val="none"/>
          </c:marker>
          <c:cat>
            <c:numRef>
              <c:extLst>
                <c:ext xmlns:c15="http://schemas.microsoft.com/office/drawing/2012/chart" uri="{02D57815-91ED-43cb-92C2-25804820EDAC}">
                  <c15:fullRef>
                    <c15:sqref>'Cum. impacts (Scopes1-4)'!$A$61:$A$91</c15:sqref>
                  </c15:fullRef>
                </c:ext>
              </c:extLst>
              <c:f>'Cum. impacts (Scopes1-4)'!$A$63:$A$91</c:f>
              <c:numCache>
                <c:formatCode>General</c:formatCode>
                <c:ptCount val="2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pt idx="19">
                  <c:v>2041</c:v>
                </c:pt>
                <c:pt idx="20">
                  <c:v>2042</c:v>
                </c:pt>
                <c:pt idx="21">
                  <c:v>2043</c:v>
                </c:pt>
                <c:pt idx="22">
                  <c:v>2044</c:v>
                </c:pt>
                <c:pt idx="23">
                  <c:v>2045</c:v>
                </c:pt>
                <c:pt idx="24">
                  <c:v>2046</c:v>
                </c:pt>
                <c:pt idx="25">
                  <c:v>2047</c:v>
                </c:pt>
                <c:pt idx="26">
                  <c:v>2048</c:v>
                </c:pt>
                <c:pt idx="27">
                  <c:v>2049</c:v>
                </c:pt>
                <c:pt idx="28">
                  <c:v>2050</c:v>
                </c:pt>
              </c:numCache>
            </c:numRef>
          </c:cat>
          <c:val>
            <c:numRef>
              <c:extLst>
                <c:ext xmlns:c15="http://schemas.microsoft.com/office/drawing/2012/chart" uri="{02D57815-91ED-43cb-92C2-25804820EDAC}">
                  <c15:fullRef>
                    <c15:sqref>'Cum. impacts (Scopes1-4)'!$F$61:$F$91</c15:sqref>
                  </c15:fullRef>
                </c:ext>
              </c:extLst>
              <c:f>'Cum. impacts (Scopes1-4)'!$F$63:$F$91</c:f>
              <c:numCache>
                <c:formatCode>General</c:formatCode>
                <c:ptCount val="29"/>
                <c:pt idx="0">
                  <c:v>0</c:v>
                </c:pt>
                <c:pt idx="1">
                  <c:v>-2588950.9947228422</c:v>
                </c:pt>
                <c:pt idx="2">
                  <c:v>-5177901.9894456845</c:v>
                </c:pt>
                <c:pt idx="3">
                  <c:v>-7766852.9841685267</c:v>
                </c:pt>
                <c:pt idx="4">
                  <c:v>-10355803.978891369</c:v>
                </c:pt>
                <c:pt idx="5">
                  <c:v>-12944754.973614212</c:v>
                </c:pt>
                <c:pt idx="6">
                  <c:v>-15533705.968337055</c:v>
                </c:pt>
                <c:pt idx="7">
                  <c:v>-18122656.963059898</c:v>
                </c:pt>
                <c:pt idx="8">
                  <c:v>-20220750.842444718</c:v>
                </c:pt>
                <c:pt idx="9">
                  <c:v>-22318844.721829537</c:v>
                </c:pt>
                <c:pt idx="10">
                  <c:v>-24416938.601214357</c:v>
                </c:pt>
                <c:pt idx="11">
                  <c:v>-26515032.480599176</c:v>
                </c:pt>
                <c:pt idx="12">
                  <c:v>-28613126.359983996</c:v>
                </c:pt>
                <c:pt idx="13">
                  <c:v>-30711220.239368815</c:v>
                </c:pt>
                <c:pt idx="14">
                  <c:v>-32809314.118753634</c:v>
                </c:pt>
                <c:pt idx="15">
                  <c:v>-34907407.998138458</c:v>
                </c:pt>
                <c:pt idx="16">
                  <c:v>-37005501.877523281</c:v>
                </c:pt>
                <c:pt idx="17">
                  <c:v>-39103595.756908104</c:v>
                </c:pt>
                <c:pt idx="18">
                  <c:v>-40500901.268067494</c:v>
                </c:pt>
                <c:pt idx="19">
                  <c:v>-41898206.779226884</c:v>
                </c:pt>
                <c:pt idx="20">
                  <c:v>-43295512.290386274</c:v>
                </c:pt>
                <c:pt idx="21">
                  <c:v>-44692817.801545665</c:v>
                </c:pt>
                <c:pt idx="22">
                  <c:v>-46090123.312705055</c:v>
                </c:pt>
                <c:pt idx="23">
                  <c:v>-47487428.823864445</c:v>
                </c:pt>
                <c:pt idx="24">
                  <c:v>-48884734.335023835</c:v>
                </c:pt>
                <c:pt idx="25">
                  <c:v>-50282039.846183226</c:v>
                </c:pt>
                <c:pt idx="26">
                  <c:v>-51679345.357342616</c:v>
                </c:pt>
                <c:pt idx="27">
                  <c:v>-53076650.868502006</c:v>
                </c:pt>
                <c:pt idx="28" formatCode="_-* #,##0_-;\-* #,##0_-;_-* &quot;-&quot;??_-;_-@_-">
                  <c:v>-54284750.630184956</c:v>
                </c:pt>
              </c:numCache>
            </c:numRef>
          </c:val>
          <c:smooth val="0"/>
          <c:extLst xmlns:c15="http://schemas.microsoft.com/office/drawing/2012/chart">
            <c:ext xmlns:c16="http://schemas.microsoft.com/office/drawing/2014/chart" uri="{C3380CC4-5D6E-409C-BE32-E72D297353CC}">
              <c16:uniqueId val="{00000000-929C-4A19-AD72-9F3286007FDE}"/>
            </c:ext>
          </c:extLst>
        </c:ser>
        <c:ser>
          <c:idx val="4"/>
          <c:order val="4"/>
          <c:tx>
            <c:v>Afforestation</c:v>
          </c:tx>
          <c:spPr>
            <a:ln w="28575" cap="rnd">
              <a:solidFill>
                <a:schemeClr val="accent5"/>
              </a:solidFill>
              <a:prstDash val="sysDash"/>
              <a:round/>
            </a:ln>
            <a:effectLst/>
          </c:spPr>
          <c:marker>
            <c:symbol val="none"/>
          </c:marker>
          <c:cat>
            <c:strLit>
              <c:ptCount val="2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pt idx="19">
                <c:v>2041</c:v>
              </c:pt>
              <c:pt idx="20">
                <c:v>2042</c:v>
              </c:pt>
              <c:pt idx="21">
                <c:v>2043</c:v>
              </c:pt>
              <c:pt idx="22">
                <c:v>2044</c:v>
              </c:pt>
              <c:pt idx="23">
                <c:v>2045</c:v>
              </c:pt>
              <c:pt idx="24">
                <c:v>2046</c:v>
              </c:pt>
              <c:pt idx="25">
                <c:v>2047</c:v>
              </c:pt>
              <c:pt idx="26">
                <c:v>2048</c:v>
              </c:pt>
              <c:pt idx="27">
                <c:v>2049</c:v>
              </c:pt>
              <c:pt idx="28">
                <c:v>2050</c:v>
              </c:pt>
              <c:extLst>
                <c:ext xmlns:c15="http://schemas.microsoft.com/office/drawing/2012/chart" uri="{02D57815-91ED-43cb-92C2-25804820EDAC}">
                  <c15:autoCat val="1"/>
                </c:ext>
              </c:extLst>
            </c:strLit>
          </c:cat>
          <c:val>
            <c:numRef>
              <c:extLst>
                <c:ext xmlns:c15="http://schemas.microsoft.com/office/drawing/2012/chart" uri="{02D57815-91ED-43cb-92C2-25804820EDAC}">
                  <c15:fullRef>
                    <c15:sqref>Afforestation!$AI$39:$AI$69</c15:sqref>
                  </c15:fullRef>
                </c:ext>
              </c:extLst>
              <c:f>Afforestation!$AI$41:$AI$69</c:f>
              <c:numCache>
                <c:formatCode>_(* #,##0.00_);_(* \(#,##0.00\);_(* "-"??_);_(@_)</c:formatCode>
                <c:ptCount val="29"/>
                <c:pt idx="0">
                  <c:v>-13716.662777630687</c:v>
                </c:pt>
                <c:pt idx="1">
                  <c:v>-130506.57145440213</c:v>
                </c:pt>
                <c:pt idx="2">
                  <c:v>-364773.64699927811</c:v>
                </c:pt>
                <c:pt idx="3">
                  <c:v>-756077.84070980677</c:v>
                </c:pt>
                <c:pt idx="4">
                  <c:v>-1344949.0758568484</c:v>
                </c:pt>
                <c:pt idx="5">
                  <c:v>-2172381.8161807531</c:v>
                </c:pt>
                <c:pt idx="6">
                  <c:v>-3279383.4032203094</c:v>
                </c:pt>
                <c:pt idx="7">
                  <c:v>-4706574.5008689007</c:v>
                </c:pt>
                <c:pt idx="8">
                  <c:v>-6493835.6974686468</c:v>
                </c:pt>
                <c:pt idx="9">
                  <c:v>-8680004.0941458587</c:v>
                </c:pt>
                <c:pt idx="10">
                  <c:v>-11302612.340129739</c:v>
                </c:pt>
                <c:pt idx="11">
                  <c:v>-14397669.343801996</c:v>
                </c:pt>
                <c:pt idx="12">
                  <c:v>-17999479.059254292</c:v>
                </c:pt>
                <c:pt idx="13">
                  <c:v>-22140486.918687571</c:v>
                </c:pt>
                <c:pt idx="14">
                  <c:v>-26851155.864915323</c:v>
                </c:pt>
                <c:pt idx="15">
                  <c:v>-32159864.355783302</c:v>
                </c:pt>
                <c:pt idx="16">
                  <c:v>-38092819.419361807</c:v>
                </c:pt>
                <c:pt idx="17">
                  <c:v>-44468569.620616205</c:v>
                </c:pt>
                <c:pt idx="18">
                  <c:v>-51365779.491694771</c:v>
                </c:pt>
                <c:pt idx="19">
                  <c:v>-58791406.689863294</c:v>
                </c:pt>
                <c:pt idx="20">
                  <c:v>-66750112.11331626</c:v>
                </c:pt>
                <c:pt idx="21">
                  <c:v>-75406231.946461335</c:v>
                </c:pt>
                <c:pt idx="22">
                  <c:v>-84737770.215325028</c:v>
                </c:pt>
                <c:pt idx="23">
                  <c:v>-95127777.29011853</c:v>
                </c:pt>
                <c:pt idx="24">
                  <c:v>-106564158.44981565</c:v>
                </c:pt>
                <c:pt idx="25">
                  <c:v>-119037084.80829425</c:v>
                </c:pt>
                <c:pt idx="26">
                  <c:v>-132538423.73849608</c:v>
                </c:pt>
                <c:pt idx="27">
                  <c:v>-147061359.05654296</c:v>
                </c:pt>
                <c:pt idx="28">
                  <c:v>-162252958.10017708</c:v>
                </c:pt>
              </c:numCache>
            </c:numRef>
          </c:val>
          <c:smooth val="0"/>
          <c:extLst>
            <c:ext xmlns:c16="http://schemas.microsoft.com/office/drawing/2014/chart" uri="{C3380CC4-5D6E-409C-BE32-E72D297353CC}">
              <c16:uniqueId val="{00000004-929C-4A19-AD72-9F3286007FDE}"/>
            </c:ext>
          </c:extLst>
        </c:ser>
        <c:dLbls>
          <c:showLegendKey val="0"/>
          <c:showVal val="0"/>
          <c:showCatName val="0"/>
          <c:showSerName val="0"/>
          <c:showPercent val="0"/>
          <c:showBubbleSize val="0"/>
        </c:dLbls>
        <c:smooth val="0"/>
        <c:axId val="1030601136"/>
        <c:axId val="1030598184"/>
        <c:extLst/>
      </c:lineChart>
      <c:catAx>
        <c:axId val="1030601136"/>
        <c:scaling>
          <c:orientation val="minMax"/>
        </c:scaling>
        <c:delete val="0"/>
        <c:axPos val="b"/>
        <c:title>
          <c:tx>
            <c:rich>
              <a:bodyPr rot="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r>
                  <a:rPr lang="en-GB" sz="1600"/>
                  <a:t>Year</a:t>
                </a:r>
              </a:p>
            </c:rich>
          </c:tx>
          <c:layout>
            <c:manualLayout>
              <c:xMode val="edge"/>
              <c:yMode val="edge"/>
              <c:x val="0.51620756777407029"/>
              <c:y val="8.770943835238651E-2"/>
            </c:manualLayout>
          </c:layout>
          <c:overlay val="0"/>
          <c:spPr>
            <a:noFill/>
            <a:ln>
              <a:noFill/>
            </a:ln>
            <a:effectLst/>
          </c:spPr>
          <c:txPr>
            <a:bodyPr rot="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high"/>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crossAx val="1030598184"/>
        <c:crosses val="autoZero"/>
        <c:auto val="1"/>
        <c:lblAlgn val="ctr"/>
        <c:lblOffset val="100"/>
        <c:noMultiLvlLbl val="0"/>
      </c:catAx>
      <c:valAx>
        <c:axId val="103059818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sz="1600"/>
                  <a:t>Tonnes CO2e</a:t>
                </a:r>
              </a:p>
            </c:rich>
          </c:tx>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E+00" sourceLinked="0"/>
        <c:majorTickMark val="none"/>
        <c:minorTickMark val="none"/>
        <c:tickLblPos val="nextTo"/>
        <c:spPr>
          <a:noFill/>
          <a:ln>
            <a:noFill/>
          </a:ln>
          <a:effectLst/>
        </c:spPr>
        <c:txPr>
          <a:bodyPr rot="-600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en-US"/>
          </a:p>
        </c:txPr>
        <c:crossAx val="1030601136"/>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ysClr val="windowText" lastClr="000000">
                    <a:lumMod val="65000"/>
                    <a:lumOff val="35000"/>
                  </a:sysClr>
                </a:solidFill>
                <a:latin typeface="+mn-lt"/>
                <a:ea typeface="+mn-ea"/>
                <a:cs typeface="+mn-cs"/>
              </a:defRPr>
            </a:pPr>
            <a:r>
              <a:rPr lang="en-GB" sz="1800" b="0" i="0" baseline="0">
                <a:effectLst/>
              </a:rPr>
              <a:t>Annual GWP impact (Scopes 1-3)</a:t>
            </a:r>
            <a:endParaRPr lang="en-GB" sz="1400">
              <a:effectLst/>
            </a:endParaRPr>
          </a:p>
        </c:rich>
      </c:tx>
      <c:layout/>
      <c:overlay val="0"/>
      <c:spPr>
        <a:noFill/>
        <a:ln>
          <a:noFill/>
        </a:ln>
        <a:effectLst/>
      </c:spPr>
      <c:txPr>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ysClr val="windowText" lastClr="000000">
                  <a:lumMod val="65000"/>
                  <a:lumOff val="35000"/>
                </a:sysClr>
              </a:solidFill>
              <a:latin typeface="+mn-lt"/>
              <a:ea typeface="+mn-ea"/>
              <a:cs typeface="+mn-cs"/>
            </a:defRPr>
          </a:pPr>
          <a:endParaRPr lang="en-US"/>
        </a:p>
      </c:txPr>
    </c:title>
    <c:autoTitleDeleted val="0"/>
    <c:plotArea>
      <c:layout/>
      <c:lineChart>
        <c:grouping val="standard"/>
        <c:varyColors val="0"/>
        <c:ser>
          <c:idx val="0"/>
          <c:order val="0"/>
          <c:tx>
            <c:strRef>
              <c:f>'Cum. impacts (Scopes1-3)'!$F$4</c:f>
              <c:strCache>
                <c:ptCount val="1"/>
                <c:pt idx="0">
                  <c:v>BAU</c:v>
                </c:pt>
              </c:strCache>
            </c:strRef>
          </c:tx>
          <c:spPr>
            <a:ln w="28575" cap="rnd">
              <a:solidFill>
                <a:schemeClr val="accent1"/>
              </a:solidFill>
              <a:round/>
            </a:ln>
            <a:effectLst/>
          </c:spPr>
          <c:marker>
            <c:symbol val="none"/>
          </c:marker>
          <c:cat>
            <c:numRef>
              <c:extLst>
                <c:ext xmlns:c15="http://schemas.microsoft.com/office/drawing/2012/chart" uri="{02D57815-91ED-43cb-92C2-25804820EDAC}">
                  <c15:fullRef>
                    <c15:sqref>'Cum. impacts (Scopes1-3)'!$A$5:$A$35</c15:sqref>
                  </c15:fullRef>
                </c:ext>
              </c:extLst>
              <c:f>'Cum. impacts (Scopes1-3)'!$A$8:$A$35</c:f>
              <c:numCache>
                <c:formatCode>General</c:formatCode>
                <c:ptCount val="28"/>
                <c:pt idx="0">
                  <c:v>2023</c:v>
                </c:pt>
                <c:pt idx="1">
                  <c:v>2024</c:v>
                </c:pt>
                <c:pt idx="2">
                  <c:v>2025</c:v>
                </c:pt>
                <c:pt idx="3">
                  <c:v>2026</c:v>
                </c:pt>
                <c:pt idx="4">
                  <c:v>2027</c:v>
                </c:pt>
                <c:pt idx="5">
                  <c:v>2028</c:v>
                </c:pt>
                <c:pt idx="6">
                  <c:v>2029</c:v>
                </c:pt>
                <c:pt idx="7">
                  <c:v>2030</c:v>
                </c:pt>
                <c:pt idx="8">
                  <c:v>2031</c:v>
                </c:pt>
                <c:pt idx="9">
                  <c:v>2032</c:v>
                </c:pt>
                <c:pt idx="10">
                  <c:v>2033</c:v>
                </c:pt>
                <c:pt idx="11">
                  <c:v>2034</c:v>
                </c:pt>
                <c:pt idx="12">
                  <c:v>2035</c:v>
                </c:pt>
                <c:pt idx="13">
                  <c:v>2036</c:v>
                </c:pt>
                <c:pt idx="14">
                  <c:v>2037</c:v>
                </c:pt>
                <c:pt idx="15">
                  <c:v>2038</c:v>
                </c:pt>
                <c:pt idx="16">
                  <c:v>2039</c:v>
                </c:pt>
                <c:pt idx="17">
                  <c:v>2040</c:v>
                </c:pt>
                <c:pt idx="18">
                  <c:v>2041</c:v>
                </c:pt>
                <c:pt idx="19">
                  <c:v>2042</c:v>
                </c:pt>
                <c:pt idx="20">
                  <c:v>2043</c:v>
                </c:pt>
                <c:pt idx="21">
                  <c:v>2044</c:v>
                </c:pt>
                <c:pt idx="22">
                  <c:v>2045</c:v>
                </c:pt>
                <c:pt idx="23">
                  <c:v>2046</c:v>
                </c:pt>
                <c:pt idx="24">
                  <c:v>2047</c:v>
                </c:pt>
                <c:pt idx="25">
                  <c:v>2048</c:v>
                </c:pt>
                <c:pt idx="26">
                  <c:v>2049</c:v>
                </c:pt>
                <c:pt idx="27">
                  <c:v>2050</c:v>
                </c:pt>
              </c:numCache>
            </c:numRef>
          </c:cat>
          <c:val>
            <c:numRef>
              <c:extLst>
                <c:ext xmlns:c15="http://schemas.microsoft.com/office/drawing/2012/chart" uri="{02D57815-91ED-43cb-92C2-25804820EDAC}">
                  <c15:fullRef>
                    <c15:sqref>'Cum. impacts (Scopes1-3)'!$F$5:$F$35</c15:sqref>
                  </c15:fullRef>
                </c:ext>
              </c:extLst>
              <c:f>'Cum. impacts (Scopes1-3)'!$F$8:$F$35</c:f>
              <c:numCache>
                <c:formatCode>General</c:formatCode>
                <c:ptCount val="28"/>
                <c:pt idx="0">
                  <c:v>1996674.9190135032</c:v>
                </c:pt>
                <c:pt idx="1">
                  <c:v>1996674.9190135032</c:v>
                </c:pt>
                <c:pt idx="2">
                  <c:v>1996674.9190135032</c:v>
                </c:pt>
                <c:pt idx="3">
                  <c:v>1996674.9190135032</c:v>
                </c:pt>
                <c:pt idx="4">
                  <c:v>1996674.9190135032</c:v>
                </c:pt>
                <c:pt idx="5">
                  <c:v>1996674.9190135032</c:v>
                </c:pt>
                <c:pt idx="6">
                  <c:v>1996674.9190135032</c:v>
                </c:pt>
                <c:pt idx="7">
                  <c:v>1123109.7397441699</c:v>
                </c:pt>
                <c:pt idx="8">
                  <c:v>1123109.7397441699</c:v>
                </c:pt>
                <c:pt idx="9">
                  <c:v>1123109.7397441699</c:v>
                </c:pt>
                <c:pt idx="10">
                  <c:v>1123109.7397441699</c:v>
                </c:pt>
                <c:pt idx="11">
                  <c:v>1123109.7397441699</c:v>
                </c:pt>
                <c:pt idx="12">
                  <c:v>1123109.7397441699</c:v>
                </c:pt>
                <c:pt idx="13">
                  <c:v>1123109.7397441699</c:v>
                </c:pt>
                <c:pt idx="14">
                  <c:v>1123109.7397441699</c:v>
                </c:pt>
                <c:pt idx="15">
                  <c:v>1123109.7397441699</c:v>
                </c:pt>
                <c:pt idx="16">
                  <c:v>1123109.7397441699</c:v>
                </c:pt>
                <c:pt idx="17">
                  <c:v>754194.59136163827</c:v>
                </c:pt>
                <c:pt idx="18">
                  <c:v>754194.59136163827</c:v>
                </c:pt>
                <c:pt idx="19">
                  <c:v>754194.59136163827</c:v>
                </c:pt>
                <c:pt idx="20">
                  <c:v>754194.59136163827</c:v>
                </c:pt>
                <c:pt idx="21">
                  <c:v>754194.59136163827</c:v>
                </c:pt>
                <c:pt idx="22">
                  <c:v>754194.59136163827</c:v>
                </c:pt>
                <c:pt idx="23">
                  <c:v>754194.59136163827</c:v>
                </c:pt>
                <c:pt idx="24">
                  <c:v>754194.59136163827</c:v>
                </c:pt>
                <c:pt idx="25">
                  <c:v>754194.59136163827</c:v>
                </c:pt>
                <c:pt idx="26">
                  <c:v>754194.59136163827</c:v>
                </c:pt>
                <c:pt idx="27">
                  <c:v>472831.10044921364</c:v>
                </c:pt>
              </c:numCache>
            </c:numRef>
          </c:val>
          <c:smooth val="0"/>
          <c:extLst>
            <c:ext xmlns:c16="http://schemas.microsoft.com/office/drawing/2014/chart" uri="{C3380CC4-5D6E-409C-BE32-E72D297353CC}">
              <c16:uniqueId val="{00000000-92B5-4A6D-B26B-908FE3646C00}"/>
            </c:ext>
          </c:extLst>
        </c:ser>
        <c:ser>
          <c:idx val="1"/>
          <c:order val="1"/>
          <c:tx>
            <c:strRef>
              <c:f>'Cum. impacts (Scopes1-3)'!$G$4</c:f>
              <c:strCache>
                <c:ptCount val="1"/>
                <c:pt idx="0">
                  <c:v>cascading</c:v>
                </c:pt>
              </c:strCache>
            </c:strRef>
          </c:tx>
          <c:spPr>
            <a:ln w="28575" cap="rnd">
              <a:solidFill>
                <a:schemeClr val="accent2"/>
              </a:solidFill>
              <a:round/>
            </a:ln>
            <a:effectLst/>
          </c:spPr>
          <c:marker>
            <c:symbol val="none"/>
          </c:marker>
          <c:cat>
            <c:numRef>
              <c:extLst>
                <c:ext xmlns:c15="http://schemas.microsoft.com/office/drawing/2012/chart" uri="{02D57815-91ED-43cb-92C2-25804820EDAC}">
                  <c15:fullRef>
                    <c15:sqref>'Cum. impacts (Scopes1-3)'!$A$5:$A$35</c15:sqref>
                  </c15:fullRef>
                </c:ext>
              </c:extLst>
              <c:f>'Cum. impacts (Scopes1-3)'!$A$8:$A$35</c:f>
              <c:numCache>
                <c:formatCode>General</c:formatCode>
                <c:ptCount val="28"/>
                <c:pt idx="0">
                  <c:v>2023</c:v>
                </c:pt>
                <c:pt idx="1">
                  <c:v>2024</c:v>
                </c:pt>
                <c:pt idx="2">
                  <c:v>2025</c:v>
                </c:pt>
                <c:pt idx="3">
                  <c:v>2026</c:v>
                </c:pt>
                <c:pt idx="4">
                  <c:v>2027</c:v>
                </c:pt>
                <c:pt idx="5">
                  <c:v>2028</c:v>
                </c:pt>
                <c:pt idx="6">
                  <c:v>2029</c:v>
                </c:pt>
                <c:pt idx="7">
                  <c:v>2030</c:v>
                </c:pt>
                <c:pt idx="8">
                  <c:v>2031</c:v>
                </c:pt>
                <c:pt idx="9">
                  <c:v>2032</c:v>
                </c:pt>
                <c:pt idx="10">
                  <c:v>2033</c:v>
                </c:pt>
                <c:pt idx="11">
                  <c:v>2034</c:v>
                </c:pt>
                <c:pt idx="12">
                  <c:v>2035</c:v>
                </c:pt>
                <c:pt idx="13">
                  <c:v>2036</c:v>
                </c:pt>
                <c:pt idx="14">
                  <c:v>2037</c:v>
                </c:pt>
                <c:pt idx="15">
                  <c:v>2038</c:v>
                </c:pt>
                <c:pt idx="16">
                  <c:v>2039</c:v>
                </c:pt>
                <c:pt idx="17">
                  <c:v>2040</c:v>
                </c:pt>
                <c:pt idx="18">
                  <c:v>2041</c:v>
                </c:pt>
                <c:pt idx="19">
                  <c:v>2042</c:v>
                </c:pt>
                <c:pt idx="20">
                  <c:v>2043</c:v>
                </c:pt>
                <c:pt idx="21">
                  <c:v>2044</c:v>
                </c:pt>
                <c:pt idx="22">
                  <c:v>2045</c:v>
                </c:pt>
                <c:pt idx="23">
                  <c:v>2046</c:v>
                </c:pt>
                <c:pt idx="24">
                  <c:v>2047</c:v>
                </c:pt>
                <c:pt idx="25">
                  <c:v>2048</c:v>
                </c:pt>
                <c:pt idx="26">
                  <c:v>2049</c:v>
                </c:pt>
                <c:pt idx="27">
                  <c:v>2050</c:v>
                </c:pt>
              </c:numCache>
            </c:numRef>
          </c:cat>
          <c:val>
            <c:numRef>
              <c:extLst>
                <c:ext xmlns:c15="http://schemas.microsoft.com/office/drawing/2012/chart" uri="{02D57815-91ED-43cb-92C2-25804820EDAC}">
                  <c15:fullRef>
                    <c15:sqref>'Cum. impacts (Scopes1-3)'!$G$5:$G$35</c15:sqref>
                  </c15:fullRef>
                </c:ext>
              </c:extLst>
              <c:f>'Cum. impacts (Scopes1-3)'!$G$8:$G$35</c:f>
              <c:numCache>
                <c:formatCode>General</c:formatCode>
                <c:ptCount val="28"/>
                <c:pt idx="0">
                  <c:v>1996674.9190135032</c:v>
                </c:pt>
                <c:pt idx="1">
                  <c:v>1996674.9190135032</c:v>
                </c:pt>
                <c:pt idx="2">
                  <c:v>1996674.9190135032</c:v>
                </c:pt>
                <c:pt idx="3">
                  <c:v>1996674.9190135032</c:v>
                </c:pt>
                <c:pt idx="4">
                  <c:v>1996674.9190135032</c:v>
                </c:pt>
                <c:pt idx="5" formatCode="_(* #,##0.00_);_(* \(#,##0.00\);_(* &quot;-&quot;??_);_(@_)">
                  <c:v>1894308.5378588336</c:v>
                </c:pt>
                <c:pt idx="6" formatCode="_(* #,##0.00_);_(* \(#,##0.00\);_(* &quot;-&quot;??_);_(@_)">
                  <c:v>1894308.5378588336</c:v>
                </c:pt>
                <c:pt idx="7" formatCode="_(* #,##0.00_);_(* \(#,##0.00\);_(* &quot;-&quot;??_);_(@_)">
                  <c:v>980128.41254658473</c:v>
                </c:pt>
                <c:pt idx="8" formatCode="_(* #,##0.00_);_(* \(#,##0.00\);_(* &quot;-&quot;??_);_(@_)">
                  <c:v>980128.41254658473</c:v>
                </c:pt>
                <c:pt idx="9" formatCode="_(* #,##0.00_);_(* \(#,##0.00\);_(* &quot;-&quot;??_);_(@_)">
                  <c:v>980128.41254658473</c:v>
                </c:pt>
                <c:pt idx="10" formatCode="_(* #,##0.00_);_(* \(#,##0.00\);_(* &quot;-&quot;??_);_(@_)">
                  <c:v>980128.41254658473</c:v>
                </c:pt>
                <c:pt idx="11" formatCode="_(* #,##0.00_);_(* \(#,##0.00\);_(* &quot;-&quot;??_);_(@_)">
                  <c:v>980128.41254658473</c:v>
                </c:pt>
                <c:pt idx="12" formatCode="_(* #,##0.00_);_(* \(#,##0.00\);_(* &quot;-&quot;??_);_(@_)">
                  <c:v>980128.41254658473</c:v>
                </c:pt>
                <c:pt idx="13" formatCode="_(* #,##0.00_);_(* \(#,##0.00\);_(* &quot;-&quot;??_);_(@_)">
                  <c:v>980128.41254658473</c:v>
                </c:pt>
                <c:pt idx="14" formatCode="_(* #,##0.00_);_(* \(#,##0.00\);_(* &quot;-&quot;??_);_(@_)">
                  <c:v>980128.41254658473</c:v>
                </c:pt>
                <c:pt idx="15" formatCode="_(* #,##0.00_);_(* \(#,##0.00\);_(* &quot;-&quot;??_);_(@_)">
                  <c:v>980128.41254658473</c:v>
                </c:pt>
                <c:pt idx="16" formatCode="_(* #,##0.00_);_(* \(#,##0.00\);_(* &quot;-&quot;??_);_(@_)">
                  <c:v>980128.41254658473</c:v>
                </c:pt>
                <c:pt idx="17" formatCode="_(* #,##0.00_);_(* \(#,##0.00\);_(* &quot;-&quot;??_);_(@_)">
                  <c:v>594061.17385465815</c:v>
                </c:pt>
                <c:pt idx="18" formatCode="_(* #,##0.00_);_(* \(#,##0.00\);_(* &quot;-&quot;??_);_(@_)">
                  <c:v>594061.17385465815</c:v>
                </c:pt>
                <c:pt idx="19" formatCode="_(* #,##0.00_);_(* \(#,##0.00\);_(* &quot;-&quot;??_);_(@_)">
                  <c:v>594061.17385465815</c:v>
                </c:pt>
                <c:pt idx="20" formatCode="_(* #,##0.00_);_(* \(#,##0.00\);_(* &quot;-&quot;??_);_(@_)">
                  <c:v>594061.17385465815</c:v>
                </c:pt>
                <c:pt idx="21" formatCode="_(* #,##0.00_);_(* \(#,##0.00\);_(* &quot;-&quot;??_);_(@_)">
                  <c:v>594061.17385465815</c:v>
                </c:pt>
                <c:pt idx="22" formatCode="_(* #,##0.00_);_(* \(#,##0.00\);_(* &quot;-&quot;??_);_(@_)">
                  <c:v>594061.17385465815</c:v>
                </c:pt>
                <c:pt idx="23" formatCode="_(* #,##0.00_);_(* \(#,##0.00\);_(* &quot;-&quot;??_);_(@_)">
                  <c:v>594061.17385465815</c:v>
                </c:pt>
                <c:pt idx="24" formatCode="_(* #,##0.00_);_(* \(#,##0.00\);_(* &quot;-&quot;??_);_(@_)">
                  <c:v>594061.17385465815</c:v>
                </c:pt>
                <c:pt idx="25" formatCode="_(* #,##0.00_);_(* \(#,##0.00\);_(* &quot;-&quot;??_);_(@_)">
                  <c:v>594061.17385465815</c:v>
                </c:pt>
                <c:pt idx="26" formatCode="_(* #,##0.00_);_(* \(#,##0.00\);_(* &quot;-&quot;??_);_(@_)">
                  <c:v>594061.17385465815</c:v>
                </c:pt>
                <c:pt idx="27" formatCode="_(* #,##0.00_);_(* \(#,##0.00\);_(* &quot;-&quot;??_);_(@_)">
                  <c:v>299616.15992249426</c:v>
                </c:pt>
              </c:numCache>
            </c:numRef>
          </c:val>
          <c:smooth val="0"/>
          <c:extLst>
            <c:ext xmlns:c16="http://schemas.microsoft.com/office/drawing/2014/chart" uri="{C3380CC4-5D6E-409C-BE32-E72D297353CC}">
              <c16:uniqueId val="{00000001-92B5-4A6D-B26B-908FE3646C00}"/>
            </c:ext>
          </c:extLst>
        </c:ser>
        <c:ser>
          <c:idx val="2"/>
          <c:order val="2"/>
          <c:tx>
            <c:strRef>
              <c:f>'Cum. impacts (Scopes1-3)'!$H$4</c:f>
              <c:strCache>
                <c:ptCount val="1"/>
                <c:pt idx="0">
                  <c:v>circular</c:v>
                </c:pt>
              </c:strCache>
            </c:strRef>
          </c:tx>
          <c:spPr>
            <a:ln w="28575" cap="rnd">
              <a:solidFill>
                <a:schemeClr val="accent3"/>
              </a:solidFill>
              <a:round/>
            </a:ln>
            <a:effectLst/>
          </c:spPr>
          <c:marker>
            <c:symbol val="none"/>
          </c:marker>
          <c:cat>
            <c:numRef>
              <c:extLst>
                <c:ext xmlns:c15="http://schemas.microsoft.com/office/drawing/2012/chart" uri="{02D57815-91ED-43cb-92C2-25804820EDAC}">
                  <c15:fullRef>
                    <c15:sqref>'Cum. impacts (Scopes1-3)'!$A$5:$A$35</c15:sqref>
                  </c15:fullRef>
                </c:ext>
              </c:extLst>
              <c:f>'Cum. impacts (Scopes1-3)'!$A$8:$A$35</c:f>
              <c:numCache>
                <c:formatCode>General</c:formatCode>
                <c:ptCount val="28"/>
                <c:pt idx="0">
                  <c:v>2023</c:v>
                </c:pt>
                <c:pt idx="1">
                  <c:v>2024</c:v>
                </c:pt>
                <c:pt idx="2">
                  <c:v>2025</c:v>
                </c:pt>
                <c:pt idx="3">
                  <c:v>2026</c:v>
                </c:pt>
                <c:pt idx="4">
                  <c:v>2027</c:v>
                </c:pt>
                <c:pt idx="5">
                  <c:v>2028</c:v>
                </c:pt>
                <c:pt idx="6">
                  <c:v>2029</c:v>
                </c:pt>
                <c:pt idx="7">
                  <c:v>2030</c:v>
                </c:pt>
                <c:pt idx="8">
                  <c:v>2031</c:v>
                </c:pt>
                <c:pt idx="9">
                  <c:v>2032</c:v>
                </c:pt>
                <c:pt idx="10">
                  <c:v>2033</c:v>
                </c:pt>
                <c:pt idx="11">
                  <c:v>2034</c:v>
                </c:pt>
                <c:pt idx="12">
                  <c:v>2035</c:v>
                </c:pt>
                <c:pt idx="13">
                  <c:v>2036</c:v>
                </c:pt>
                <c:pt idx="14">
                  <c:v>2037</c:v>
                </c:pt>
                <c:pt idx="15">
                  <c:v>2038</c:v>
                </c:pt>
                <c:pt idx="16">
                  <c:v>2039</c:v>
                </c:pt>
                <c:pt idx="17">
                  <c:v>2040</c:v>
                </c:pt>
                <c:pt idx="18">
                  <c:v>2041</c:v>
                </c:pt>
                <c:pt idx="19">
                  <c:v>2042</c:v>
                </c:pt>
                <c:pt idx="20">
                  <c:v>2043</c:v>
                </c:pt>
                <c:pt idx="21">
                  <c:v>2044</c:v>
                </c:pt>
                <c:pt idx="22">
                  <c:v>2045</c:v>
                </c:pt>
                <c:pt idx="23">
                  <c:v>2046</c:v>
                </c:pt>
                <c:pt idx="24">
                  <c:v>2047</c:v>
                </c:pt>
                <c:pt idx="25">
                  <c:v>2048</c:v>
                </c:pt>
                <c:pt idx="26">
                  <c:v>2049</c:v>
                </c:pt>
                <c:pt idx="27">
                  <c:v>2050</c:v>
                </c:pt>
              </c:numCache>
            </c:numRef>
          </c:cat>
          <c:val>
            <c:numRef>
              <c:extLst>
                <c:ext xmlns:c15="http://schemas.microsoft.com/office/drawing/2012/chart" uri="{02D57815-91ED-43cb-92C2-25804820EDAC}">
                  <c15:fullRef>
                    <c15:sqref>'Cum. impacts (Scopes1-3)'!$H$5:$H$35</c15:sqref>
                  </c15:fullRef>
                </c:ext>
              </c:extLst>
              <c:f>'Cum. impacts (Scopes1-3)'!$H$8:$H$35</c:f>
              <c:numCache>
                <c:formatCode>General</c:formatCode>
                <c:ptCount val="28"/>
                <c:pt idx="0">
                  <c:v>1996674.9190135032</c:v>
                </c:pt>
                <c:pt idx="1">
                  <c:v>1996674.9190135032</c:v>
                </c:pt>
                <c:pt idx="2">
                  <c:v>1996674.9190135032</c:v>
                </c:pt>
                <c:pt idx="3">
                  <c:v>1996674.9190135032</c:v>
                </c:pt>
                <c:pt idx="4">
                  <c:v>1996674.9190135032</c:v>
                </c:pt>
                <c:pt idx="5">
                  <c:v>1363976.6334542052</c:v>
                </c:pt>
                <c:pt idx="6">
                  <c:v>1363976.6334542052</c:v>
                </c:pt>
                <c:pt idx="7">
                  <c:v>582764.16752821405</c:v>
                </c:pt>
                <c:pt idx="8">
                  <c:v>582764.16752821405</c:v>
                </c:pt>
                <c:pt idx="9">
                  <c:v>582764.16752821405</c:v>
                </c:pt>
                <c:pt idx="10">
                  <c:v>582764.16752821405</c:v>
                </c:pt>
                <c:pt idx="11">
                  <c:v>582764.16752821405</c:v>
                </c:pt>
                <c:pt idx="12">
                  <c:v>582764.16752821405</c:v>
                </c:pt>
                <c:pt idx="13">
                  <c:v>582764.16752821405</c:v>
                </c:pt>
                <c:pt idx="14">
                  <c:v>582764.16752821405</c:v>
                </c:pt>
                <c:pt idx="15">
                  <c:v>582764.16752821405</c:v>
                </c:pt>
                <c:pt idx="16">
                  <c:v>582764.16752821405</c:v>
                </c:pt>
                <c:pt idx="17">
                  <c:v>252850.47634099517</c:v>
                </c:pt>
                <c:pt idx="18">
                  <c:v>252850.47634099517</c:v>
                </c:pt>
                <c:pt idx="19">
                  <c:v>252850.47634099517</c:v>
                </c:pt>
                <c:pt idx="20">
                  <c:v>252850.47634099517</c:v>
                </c:pt>
                <c:pt idx="21">
                  <c:v>252850.47634099517</c:v>
                </c:pt>
                <c:pt idx="22">
                  <c:v>252850.47634099517</c:v>
                </c:pt>
                <c:pt idx="23">
                  <c:v>252850.47634099517</c:v>
                </c:pt>
                <c:pt idx="24">
                  <c:v>252850.47634099517</c:v>
                </c:pt>
                <c:pt idx="25">
                  <c:v>252850.47634099517</c:v>
                </c:pt>
                <c:pt idx="26">
                  <c:v>252850.47634099517</c:v>
                </c:pt>
                <c:pt idx="27">
                  <c:v>1232.5412704955088</c:v>
                </c:pt>
              </c:numCache>
            </c:numRef>
          </c:val>
          <c:smooth val="0"/>
          <c:extLst>
            <c:ext xmlns:c16="http://schemas.microsoft.com/office/drawing/2014/chart" uri="{C3380CC4-5D6E-409C-BE32-E72D297353CC}">
              <c16:uniqueId val="{00000002-92B5-4A6D-B26B-908FE3646C00}"/>
            </c:ext>
          </c:extLst>
        </c:ser>
        <c:ser>
          <c:idx val="3"/>
          <c:order val="3"/>
          <c:tx>
            <c:strRef>
              <c:f>'Cum. impacts (Scopes1-3)'!$I$4</c:f>
              <c:strCache>
                <c:ptCount val="1"/>
                <c:pt idx="0">
                  <c:v>cascading&amp;circular</c:v>
                </c:pt>
              </c:strCache>
            </c:strRef>
          </c:tx>
          <c:spPr>
            <a:ln w="28575" cap="rnd">
              <a:solidFill>
                <a:schemeClr val="accent4"/>
              </a:solidFill>
              <a:round/>
            </a:ln>
            <a:effectLst/>
          </c:spPr>
          <c:marker>
            <c:symbol val="none"/>
          </c:marker>
          <c:cat>
            <c:numRef>
              <c:extLst>
                <c:ext xmlns:c15="http://schemas.microsoft.com/office/drawing/2012/chart" uri="{02D57815-91ED-43cb-92C2-25804820EDAC}">
                  <c15:fullRef>
                    <c15:sqref>'Cum. impacts (Scopes1-3)'!$A$5:$A$35</c15:sqref>
                  </c15:fullRef>
                </c:ext>
              </c:extLst>
              <c:f>'Cum. impacts (Scopes1-3)'!$A$8:$A$35</c:f>
              <c:numCache>
                <c:formatCode>General</c:formatCode>
                <c:ptCount val="28"/>
                <c:pt idx="0">
                  <c:v>2023</c:v>
                </c:pt>
                <c:pt idx="1">
                  <c:v>2024</c:v>
                </c:pt>
                <c:pt idx="2">
                  <c:v>2025</c:v>
                </c:pt>
                <c:pt idx="3">
                  <c:v>2026</c:v>
                </c:pt>
                <c:pt idx="4">
                  <c:v>2027</c:v>
                </c:pt>
                <c:pt idx="5">
                  <c:v>2028</c:v>
                </c:pt>
                <c:pt idx="6">
                  <c:v>2029</c:v>
                </c:pt>
                <c:pt idx="7">
                  <c:v>2030</c:v>
                </c:pt>
                <c:pt idx="8">
                  <c:v>2031</c:v>
                </c:pt>
                <c:pt idx="9">
                  <c:v>2032</c:v>
                </c:pt>
                <c:pt idx="10">
                  <c:v>2033</c:v>
                </c:pt>
                <c:pt idx="11">
                  <c:v>2034</c:v>
                </c:pt>
                <c:pt idx="12">
                  <c:v>2035</c:v>
                </c:pt>
                <c:pt idx="13">
                  <c:v>2036</c:v>
                </c:pt>
                <c:pt idx="14">
                  <c:v>2037</c:v>
                </c:pt>
                <c:pt idx="15">
                  <c:v>2038</c:v>
                </c:pt>
                <c:pt idx="16">
                  <c:v>2039</c:v>
                </c:pt>
                <c:pt idx="17">
                  <c:v>2040</c:v>
                </c:pt>
                <c:pt idx="18">
                  <c:v>2041</c:v>
                </c:pt>
                <c:pt idx="19">
                  <c:v>2042</c:v>
                </c:pt>
                <c:pt idx="20">
                  <c:v>2043</c:v>
                </c:pt>
                <c:pt idx="21">
                  <c:v>2044</c:v>
                </c:pt>
                <c:pt idx="22">
                  <c:v>2045</c:v>
                </c:pt>
                <c:pt idx="23">
                  <c:v>2046</c:v>
                </c:pt>
                <c:pt idx="24">
                  <c:v>2047</c:v>
                </c:pt>
                <c:pt idx="25">
                  <c:v>2048</c:v>
                </c:pt>
                <c:pt idx="26">
                  <c:v>2049</c:v>
                </c:pt>
                <c:pt idx="27">
                  <c:v>2050</c:v>
                </c:pt>
              </c:numCache>
            </c:numRef>
          </c:cat>
          <c:val>
            <c:numRef>
              <c:extLst>
                <c:ext xmlns:c15="http://schemas.microsoft.com/office/drawing/2012/chart" uri="{02D57815-91ED-43cb-92C2-25804820EDAC}">
                  <c15:fullRef>
                    <c15:sqref>'Cum. impacts (Scopes1-3)'!$I$5:$I$35</c15:sqref>
                  </c15:fullRef>
                </c:ext>
              </c:extLst>
              <c:f>'Cum. impacts (Scopes1-3)'!$I$8:$I$35</c:f>
              <c:numCache>
                <c:formatCode>General</c:formatCode>
                <c:ptCount val="28"/>
                <c:pt idx="0">
                  <c:v>1996674.9190135032</c:v>
                </c:pt>
                <c:pt idx="1">
                  <c:v>1996674.9190135032</c:v>
                </c:pt>
                <c:pt idx="2">
                  <c:v>1996674.9190135032</c:v>
                </c:pt>
                <c:pt idx="3">
                  <c:v>1996674.9190135032</c:v>
                </c:pt>
                <c:pt idx="4">
                  <c:v>1996674.9190135032</c:v>
                </c:pt>
                <c:pt idx="5">
                  <c:v>1330291.4383939004</c:v>
                </c:pt>
                <c:pt idx="6">
                  <c:v>1330291.4383939004</c:v>
                </c:pt>
                <c:pt idx="7">
                  <c:v>525595.59181854874</c:v>
                </c:pt>
                <c:pt idx="8">
                  <c:v>525595.59181854874</c:v>
                </c:pt>
                <c:pt idx="9">
                  <c:v>525595.59181854874</c:v>
                </c:pt>
                <c:pt idx="10">
                  <c:v>525595.59181854874</c:v>
                </c:pt>
                <c:pt idx="11">
                  <c:v>525595.59181854874</c:v>
                </c:pt>
                <c:pt idx="12">
                  <c:v>525595.59181854874</c:v>
                </c:pt>
                <c:pt idx="13">
                  <c:v>525595.59181854874</c:v>
                </c:pt>
                <c:pt idx="14">
                  <c:v>525595.59181854874</c:v>
                </c:pt>
                <c:pt idx="15">
                  <c:v>525595.59181854874</c:v>
                </c:pt>
                <c:pt idx="16">
                  <c:v>525595.59181854874</c:v>
                </c:pt>
                <c:pt idx="17">
                  <c:v>185764.63851698063</c:v>
                </c:pt>
                <c:pt idx="18">
                  <c:v>185764.63851698063</c:v>
                </c:pt>
                <c:pt idx="19">
                  <c:v>185764.63851698063</c:v>
                </c:pt>
                <c:pt idx="20">
                  <c:v>185764.63851698063</c:v>
                </c:pt>
                <c:pt idx="21">
                  <c:v>185764.63851698063</c:v>
                </c:pt>
                <c:pt idx="22">
                  <c:v>185764.63851698063</c:v>
                </c:pt>
                <c:pt idx="23">
                  <c:v>185764.63851698063</c:v>
                </c:pt>
                <c:pt idx="24">
                  <c:v>185764.63851698063</c:v>
                </c:pt>
                <c:pt idx="25">
                  <c:v>185764.63851698063</c:v>
                </c:pt>
                <c:pt idx="26">
                  <c:v>185764.63851698063</c:v>
                </c:pt>
                <c:pt idx="27">
                  <c:v>-73416.974816720642</c:v>
                </c:pt>
              </c:numCache>
            </c:numRef>
          </c:val>
          <c:smooth val="0"/>
          <c:extLst>
            <c:ext xmlns:c16="http://schemas.microsoft.com/office/drawing/2014/chart" uri="{C3380CC4-5D6E-409C-BE32-E72D297353CC}">
              <c16:uniqueId val="{00000003-92B5-4A6D-B26B-908FE3646C00}"/>
            </c:ext>
          </c:extLst>
        </c:ser>
        <c:dLbls>
          <c:showLegendKey val="0"/>
          <c:showVal val="0"/>
          <c:showCatName val="0"/>
          <c:showSerName val="0"/>
          <c:showPercent val="0"/>
          <c:showBubbleSize val="0"/>
        </c:dLbls>
        <c:smooth val="0"/>
        <c:axId val="576411024"/>
        <c:axId val="576422504"/>
      </c:lineChart>
      <c:catAx>
        <c:axId val="576411024"/>
        <c:scaling>
          <c:orientation val="minMax"/>
        </c:scaling>
        <c:delete val="0"/>
        <c:axPos val="b"/>
        <c:title>
          <c:tx>
            <c:rich>
              <a:bodyPr rot="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r>
                  <a:rPr lang="en-GB" sz="1600"/>
                  <a:t>Year</a:t>
                </a:r>
              </a:p>
            </c:rich>
          </c:tx>
          <c:layout>
            <c:manualLayout>
              <c:xMode val="edge"/>
              <c:yMode val="edge"/>
              <c:x val="0.5133933366744009"/>
              <c:y val="0.67591039194248881"/>
            </c:manualLayout>
          </c:layout>
          <c:overlay val="0"/>
          <c:spPr>
            <a:noFill/>
            <a:ln>
              <a:noFill/>
            </a:ln>
            <a:effectLst/>
          </c:spPr>
          <c:txPr>
            <a:bodyPr rot="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crossAx val="576422504"/>
        <c:crosses val="autoZero"/>
        <c:auto val="1"/>
        <c:lblAlgn val="ctr"/>
        <c:lblOffset val="100"/>
        <c:noMultiLvlLbl val="0"/>
      </c:catAx>
      <c:valAx>
        <c:axId val="57642250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r>
                  <a:rPr lang="en-GB" sz="1600"/>
                  <a:t>Tonnes CO2e per year</a:t>
                </a:r>
              </a:p>
            </c:rich>
          </c:tx>
          <c:layout/>
          <c:overlay val="0"/>
          <c:spPr>
            <a:noFill/>
            <a:ln>
              <a:noFill/>
            </a:ln>
            <a:effectLst/>
          </c:spPr>
          <c:txPr>
            <a:bodyPr rot="-54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en-US"/>
            </a:p>
          </c:txPr>
        </c:title>
        <c:numFmt formatCode="0.0E+0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crossAx val="576411024"/>
        <c:crosses val="autoZero"/>
        <c:crossBetween val="between"/>
      </c:valAx>
      <c:spPr>
        <a:noFill/>
        <a:ln>
          <a:noFill/>
        </a:ln>
        <a:effectLst/>
      </c:spPr>
    </c:plotArea>
    <c:legend>
      <c:legendPos val="b"/>
      <c:layout>
        <c:manualLayout>
          <c:xMode val="edge"/>
          <c:yMode val="edge"/>
          <c:x val="0.24135151729013493"/>
          <c:y val="0.87147071843323121"/>
          <c:w val="0.59198223264036276"/>
          <c:h val="0.12816771380418995"/>
        </c:manualLayout>
      </c:layout>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600" b="0" i="0" u="none" strike="noStrike" kern="1200" spc="0" baseline="0">
                <a:solidFill>
                  <a:sysClr val="windowText" lastClr="000000">
                    <a:lumMod val="65000"/>
                    <a:lumOff val="35000"/>
                  </a:sysClr>
                </a:solidFill>
                <a:latin typeface="+mn-lt"/>
                <a:ea typeface="+mn-ea"/>
                <a:cs typeface="+mn-cs"/>
              </a:defRPr>
            </a:pPr>
            <a:r>
              <a:rPr lang="en-GB" sz="1600" b="0" i="0" baseline="0">
                <a:effectLst/>
              </a:rPr>
              <a:t>Cumulative GWP impact (not including avoided emissions)</a:t>
            </a:r>
            <a:endParaRPr lang="en-GB" sz="1600">
              <a:effectLst/>
            </a:endParaRPr>
          </a:p>
        </c:rich>
      </c:tx>
      <c:layout>
        <c:manualLayout>
          <c:xMode val="edge"/>
          <c:yMode val="edge"/>
          <c:x val="0.19597063424719094"/>
          <c:y val="0"/>
        </c:manualLayout>
      </c:layout>
      <c:overlay val="0"/>
      <c:spPr>
        <a:noFill/>
        <a:ln>
          <a:noFill/>
        </a:ln>
        <a:effectLst/>
      </c:spPr>
      <c:txPr>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600" b="0" i="0" u="none" strike="noStrike" kern="1200" spc="0" baseline="0">
              <a:solidFill>
                <a:sysClr val="windowText" lastClr="000000">
                  <a:lumMod val="65000"/>
                  <a:lumOff val="35000"/>
                </a:sysClr>
              </a:solidFill>
              <a:latin typeface="+mn-lt"/>
              <a:ea typeface="+mn-ea"/>
              <a:cs typeface="+mn-cs"/>
            </a:defRPr>
          </a:pPr>
          <a:endParaRPr lang="en-US"/>
        </a:p>
      </c:txPr>
    </c:title>
    <c:autoTitleDeleted val="0"/>
    <c:plotArea>
      <c:layout/>
      <c:lineChart>
        <c:grouping val="standard"/>
        <c:varyColors val="0"/>
        <c:ser>
          <c:idx val="0"/>
          <c:order val="0"/>
          <c:tx>
            <c:strRef>
              <c:f>'Cum. impacts (Scopes1-3)'!$F$60</c:f>
              <c:strCache>
                <c:ptCount val="1"/>
                <c:pt idx="0">
                  <c:v>BAU</c:v>
                </c:pt>
              </c:strCache>
            </c:strRef>
          </c:tx>
          <c:spPr>
            <a:ln w="28575" cap="rnd">
              <a:solidFill>
                <a:schemeClr val="accent1"/>
              </a:solidFill>
              <a:round/>
            </a:ln>
            <a:effectLst/>
          </c:spPr>
          <c:marker>
            <c:symbol val="none"/>
          </c:marker>
          <c:cat>
            <c:numRef>
              <c:extLst>
                <c:ext xmlns:c15="http://schemas.microsoft.com/office/drawing/2012/chart" uri="{02D57815-91ED-43cb-92C2-25804820EDAC}">
                  <c15:fullRef>
                    <c15:sqref>'Cum. impacts (Scopes1-3)'!$A$61:$A$91</c15:sqref>
                  </c15:fullRef>
                </c:ext>
              </c:extLst>
              <c:f>'Cum. impacts (Scopes1-3)'!$A$63:$A$91</c:f>
              <c:numCache>
                <c:formatCode>General</c:formatCode>
                <c:ptCount val="2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pt idx="19">
                  <c:v>2041</c:v>
                </c:pt>
                <c:pt idx="20">
                  <c:v>2042</c:v>
                </c:pt>
                <c:pt idx="21">
                  <c:v>2043</c:v>
                </c:pt>
                <c:pt idx="22">
                  <c:v>2044</c:v>
                </c:pt>
                <c:pt idx="23">
                  <c:v>2045</c:v>
                </c:pt>
                <c:pt idx="24">
                  <c:v>2046</c:v>
                </c:pt>
                <c:pt idx="25">
                  <c:v>2047</c:v>
                </c:pt>
                <c:pt idx="26">
                  <c:v>2048</c:v>
                </c:pt>
                <c:pt idx="27">
                  <c:v>2049</c:v>
                </c:pt>
                <c:pt idx="28">
                  <c:v>2050</c:v>
                </c:pt>
              </c:numCache>
            </c:numRef>
          </c:cat>
          <c:val>
            <c:numRef>
              <c:extLst>
                <c:ext xmlns:c15="http://schemas.microsoft.com/office/drawing/2012/chart" uri="{02D57815-91ED-43cb-92C2-25804820EDAC}">
                  <c15:fullRef>
                    <c15:sqref>'Cum. impacts (Scopes1-3)'!$F$61:$F$91</c15:sqref>
                  </c15:fullRef>
                </c:ext>
              </c:extLst>
              <c:f>'Cum. impacts (Scopes1-3)'!$F$63:$F$91</c:f>
              <c:numCache>
                <c:formatCode>General</c:formatCode>
                <c:ptCount val="29"/>
                <c:pt idx="0">
                  <c:v>0</c:v>
                </c:pt>
                <c:pt idx="1">
                  <c:v>1996674.9190135032</c:v>
                </c:pt>
                <c:pt idx="2">
                  <c:v>3993349.8380270065</c:v>
                </c:pt>
                <c:pt idx="3">
                  <c:v>5990024.75704051</c:v>
                </c:pt>
                <c:pt idx="4">
                  <c:v>7986699.676054013</c:v>
                </c:pt>
                <c:pt idx="5">
                  <c:v>9983374.595067516</c:v>
                </c:pt>
                <c:pt idx="6">
                  <c:v>11980049.51408102</c:v>
                </c:pt>
                <c:pt idx="7">
                  <c:v>13976724.433094524</c:v>
                </c:pt>
                <c:pt idx="8">
                  <c:v>15099834.172838693</c:v>
                </c:pt>
                <c:pt idx="9">
                  <c:v>16222943.912582863</c:v>
                </c:pt>
                <c:pt idx="10">
                  <c:v>17346053.652327035</c:v>
                </c:pt>
                <c:pt idx="11">
                  <c:v>18469163.392071206</c:v>
                </c:pt>
                <c:pt idx="12">
                  <c:v>19592273.131815378</c:v>
                </c:pt>
                <c:pt idx="13">
                  <c:v>20715382.871559549</c:v>
                </c:pt>
                <c:pt idx="14">
                  <c:v>21838492.611303721</c:v>
                </c:pt>
                <c:pt idx="15">
                  <c:v>22961602.351047892</c:v>
                </c:pt>
                <c:pt idx="16">
                  <c:v>24084712.090792064</c:v>
                </c:pt>
                <c:pt idx="17">
                  <c:v>25207821.830536235</c:v>
                </c:pt>
                <c:pt idx="18">
                  <c:v>25962016.421897873</c:v>
                </c:pt>
                <c:pt idx="19">
                  <c:v>26716211.013259511</c:v>
                </c:pt>
                <c:pt idx="20">
                  <c:v>27470405.60462115</c:v>
                </c:pt>
                <c:pt idx="21">
                  <c:v>28224600.195982788</c:v>
                </c:pt>
                <c:pt idx="22">
                  <c:v>28978794.787344426</c:v>
                </c:pt>
                <c:pt idx="23">
                  <c:v>29732989.378706064</c:v>
                </c:pt>
                <c:pt idx="24">
                  <c:v>30487183.970067702</c:v>
                </c:pt>
                <c:pt idx="25">
                  <c:v>31241378.56142934</c:v>
                </c:pt>
                <c:pt idx="26">
                  <c:v>31995573.152790979</c:v>
                </c:pt>
                <c:pt idx="27">
                  <c:v>32749767.744152617</c:v>
                </c:pt>
                <c:pt idx="28">
                  <c:v>33222598.844601829</c:v>
                </c:pt>
              </c:numCache>
            </c:numRef>
          </c:val>
          <c:smooth val="0"/>
          <c:extLst xmlns:c15="http://schemas.microsoft.com/office/drawing/2012/chart">
            <c:ext xmlns:c16="http://schemas.microsoft.com/office/drawing/2014/chart" uri="{C3380CC4-5D6E-409C-BE32-E72D297353CC}">
              <c16:uniqueId val="{00000000-51BA-482C-A867-BA9D85DF3FDD}"/>
            </c:ext>
          </c:extLst>
        </c:ser>
        <c:ser>
          <c:idx val="1"/>
          <c:order val="1"/>
          <c:tx>
            <c:strRef>
              <c:f>'Cum. impacts (Scopes1-3)'!$G$60</c:f>
              <c:strCache>
                <c:ptCount val="1"/>
                <c:pt idx="0">
                  <c:v>cascading</c:v>
                </c:pt>
              </c:strCache>
            </c:strRef>
          </c:tx>
          <c:spPr>
            <a:ln w="28575" cap="rnd">
              <a:solidFill>
                <a:schemeClr val="accent2"/>
              </a:solidFill>
              <a:round/>
            </a:ln>
            <a:effectLst/>
          </c:spPr>
          <c:marker>
            <c:symbol val="none"/>
          </c:marker>
          <c:cat>
            <c:numRef>
              <c:extLst>
                <c:ext xmlns:c15="http://schemas.microsoft.com/office/drawing/2012/chart" uri="{02D57815-91ED-43cb-92C2-25804820EDAC}">
                  <c15:fullRef>
                    <c15:sqref>'Cum. impacts (Scopes1-3)'!$A$61:$A$91</c15:sqref>
                  </c15:fullRef>
                </c:ext>
              </c:extLst>
              <c:f>'Cum. impacts (Scopes1-3)'!$A$63:$A$91</c:f>
              <c:numCache>
                <c:formatCode>General</c:formatCode>
                <c:ptCount val="2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pt idx="19">
                  <c:v>2041</c:v>
                </c:pt>
                <c:pt idx="20">
                  <c:v>2042</c:v>
                </c:pt>
                <c:pt idx="21">
                  <c:v>2043</c:v>
                </c:pt>
                <c:pt idx="22">
                  <c:v>2044</c:v>
                </c:pt>
                <c:pt idx="23">
                  <c:v>2045</c:v>
                </c:pt>
                <c:pt idx="24">
                  <c:v>2046</c:v>
                </c:pt>
                <c:pt idx="25">
                  <c:v>2047</c:v>
                </c:pt>
                <c:pt idx="26">
                  <c:v>2048</c:v>
                </c:pt>
                <c:pt idx="27">
                  <c:v>2049</c:v>
                </c:pt>
                <c:pt idx="28">
                  <c:v>2050</c:v>
                </c:pt>
              </c:numCache>
            </c:numRef>
          </c:cat>
          <c:val>
            <c:numRef>
              <c:extLst>
                <c:ext xmlns:c15="http://schemas.microsoft.com/office/drawing/2012/chart" uri="{02D57815-91ED-43cb-92C2-25804820EDAC}">
                  <c15:fullRef>
                    <c15:sqref>'Cum. impacts (Scopes1-3)'!$G$61:$G$91</c15:sqref>
                  </c15:fullRef>
                </c:ext>
              </c:extLst>
              <c:f>'Cum. impacts (Scopes1-3)'!$G$63:$G$91</c:f>
              <c:numCache>
                <c:formatCode>General</c:formatCode>
                <c:ptCount val="29"/>
                <c:pt idx="0">
                  <c:v>0</c:v>
                </c:pt>
                <c:pt idx="1">
                  <c:v>1996674.9190135032</c:v>
                </c:pt>
                <c:pt idx="2">
                  <c:v>3993349.8380270065</c:v>
                </c:pt>
                <c:pt idx="3">
                  <c:v>5990024.75704051</c:v>
                </c:pt>
                <c:pt idx="4">
                  <c:v>7986699.676054013</c:v>
                </c:pt>
                <c:pt idx="5">
                  <c:v>9983374.595067516</c:v>
                </c:pt>
                <c:pt idx="6">
                  <c:v>11877683.132926349</c:v>
                </c:pt>
                <c:pt idx="7">
                  <c:v>13771991.670785181</c:v>
                </c:pt>
                <c:pt idx="8">
                  <c:v>14752120.083331766</c:v>
                </c:pt>
                <c:pt idx="9">
                  <c:v>15732248.49587835</c:v>
                </c:pt>
                <c:pt idx="10">
                  <c:v>16712376.908424934</c:v>
                </c:pt>
                <c:pt idx="11">
                  <c:v>17692505.320971519</c:v>
                </c:pt>
                <c:pt idx="12">
                  <c:v>18672633.733518105</c:v>
                </c:pt>
                <c:pt idx="13">
                  <c:v>19652762.146064691</c:v>
                </c:pt>
                <c:pt idx="14">
                  <c:v>20632890.558611277</c:v>
                </c:pt>
                <c:pt idx="15">
                  <c:v>21613018.971157864</c:v>
                </c:pt>
                <c:pt idx="16">
                  <c:v>22593147.38370445</c:v>
                </c:pt>
                <c:pt idx="17">
                  <c:v>23573275.796251036</c:v>
                </c:pt>
                <c:pt idx="18">
                  <c:v>24167336.970105693</c:v>
                </c:pt>
                <c:pt idx="19">
                  <c:v>24761398.143960349</c:v>
                </c:pt>
                <c:pt idx="20">
                  <c:v>25355459.317815006</c:v>
                </c:pt>
                <c:pt idx="21">
                  <c:v>25949520.491669662</c:v>
                </c:pt>
                <c:pt idx="22">
                  <c:v>26543581.665524319</c:v>
                </c:pt>
                <c:pt idx="23">
                  <c:v>27137642.839378975</c:v>
                </c:pt>
                <c:pt idx="24">
                  <c:v>27731704.013233632</c:v>
                </c:pt>
                <c:pt idx="25">
                  <c:v>28325765.187088288</c:v>
                </c:pt>
                <c:pt idx="26">
                  <c:v>28919826.360942945</c:v>
                </c:pt>
                <c:pt idx="27">
                  <c:v>29513887.534797601</c:v>
                </c:pt>
                <c:pt idx="28">
                  <c:v>29813503.694720097</c:v>
                </c:pt>
              </c:numCache>
            </c:numRef>
          </c:val>
          <c:smooth val="0"/>
          <c:extLst xmlns:c15="http://schemas.microsoft.com/office/drawing/2012/chart">
            <c:ext xmlns:c16="http://schemas.microsoft.com/office/drawing/2014/chart" uri="{C3380CC4-5D6E-409C-BE32-E72D297353CC}">
              <c16:uniqueId val="{00000001-51BA-482C-A867-BA9D85DF3FDD}"/>
            </c:ext>
          </c:extLst>
        </c:ser>
        <c:ser>
          <c:idx val="2"/>
          <c:order val="2"/>
          <c:tx>
            <c:strRef>
              <c:f>'Cum. impacts (Scopes1-3)'!$H$60</c:f>
              <c:strCache>
                <c:ptCount val="1"/>
                <c:pt idx="0">
                  <c:v>circular</c:v>
                </c:pt>
              </c:strCache>
            </c:strRef>
          </c:tx>
          <c:spPr>
            <a:ln w="28575" cap="rnd">
              <a:solidFill>
                <a:schemeClr val="accent3"/>
              </a:solidFill>
              <a:round/>
            </a:ln>
            <a:effectLst/>
          </c:spPr>
          <c:marker>
            <c:symbol val="none"/>
          </c:marker>
          <c:cat>
            <c:numRef>
              <c:extLst>
                <c:ext xmlns:c15="http://schemas.microsoft.com/office/drawing/2012/chart" uri="{02D57815-91ED-43cb-92C2-25804820EDAC}">
                  <c15:fullRef>
                    <c15:sqref>'Cum. impacts (Scopes1-3)'!$A$61:$A$91</c15:sqref>
                  </c15:fullRef>
                </c:ext>
              </c:extLst>
              <c:f>'Cum. impacts (Scopes1-3)'!$A$63:$A$91</c:f>
              <c:numCache>
                <c:formatCode>General</c:formatCode>
                <c:ptCount val="2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pt idx="19">
                  <c:v>2041</c:v>
                </c:pt>
                <c:pt idx="20">
                  <c:v>2042</c:v>
                </c:pt>
                <c:pt idx="21">
                  <c:v>2043</c:v>
                </c:pt>
                <c:pt idx="22">
                  <c:v>2044</c:v>
                </c:pt>
                <c:pt idx="23">
                  <c:v>2045</c:v>
                </c:pt>
                <c:pt idx="24">
                  <c:v>2046</c:v>
                </c:pt>
                <c:pt idx="25">
                  <c:v>2047</c:v>
                </c:pt>
                <c:pt idx="26">
                  <c:v>2048</c:v>
                </c:pt>
                <c:pt idx="27">
                  <c:v>2049</c:v>
                </c:pt>
                <c:pt idx="28">
                  <c:v>2050</c:v>
                </c:pt>
              </c:numCache>
            </c:numRef>
          </c:cat>
          <c:val>
            <c:numRef>
              <c:extLst>
                <c:ext xmlns:c15="http://schemas.microsoft.com/office/drawing/2012/chart" uri="{02D57815-91ED-43cb-92C2-25804820EDAC}">
                  <c15:fullRef>
                    <c15:sqref>'Cum. impacts (Scopes1-3)'!$H$61:$H$91</c15:sqref>
                  </c15:fullRef>
                </c:ext>
              </c:extLst>
              <c:f>'Cum. impacts (Scopes1-3)'!$H$63:$H$91</c:f>
              <c:numCache>
                <c:formatCode>General</c:formatCode>
                <c:ptCount val="29"/>
                <c:pt idx="0">
                  <c:v>0</c:v>
                </c:pt>
                <c:pt idx="1">
                  <c:v>1996674.9190135032</c:v>
                </c:pt>
                <c:pt idx="2">
                  <c:v>3993349.8380270065</c:v>
                </c:pt>
                <c:pt idx="3">
                  <c:v>5990024.75704051</c:v>
                </c:pt>
                <c:pt idx="4">
                  <c:v>7986699.676054013</c:v>
                </c:pt>
                <c:pt idx="5">
                  <c:v>9983374.595067516</c:v>
                </c:pt>
                <c:pt idx="6">
                  <c:v>11347351.228521721</c:v>
                </c:pt>
                <c:pt idx="7">
                  <c:v>12711327.861975927</c:v>
                </c:pt>
                <c:pt idx="8">
                  <c:v>13294092.029504141</c:v>
                </c:pt>
                <c:pt idx="9">
                  <c:v>13876856.197032355</c:v>
                </c:pt>
                <c:pt idx="10">
                  <c:v>14459620.364560569</c:v>
                </c:pt>
                <c:pt idx="11">
                  <c:v>15042384.532088783</c:v>
                </c:pt>
                <c:pt idx="12">
                  <c:v>15625148.699616997</c:v>
                </c:pt>
                <c:pt idx="13">
                  <c:v>16207912.867145211</c:v>
                </c:pt>
                <c:pt idx="14">
                  <c:v>16790677.034673426</c:v>
                </c:pt>
                <c:pt idx="15">
                  <c:v>17373441.202201642</c:v>
                </c:pt>
                <c:pt idx="16">
                  <c:v>17956205.369729858</c:v>
                </c:pt>
                <c:pt idx="17">
                  <c:v>18538969.537258074</c:v>
                </c:pt>
                <c:pt idx="18">
                  <c:v>18791820.013599068</c:v>
                </c:pt>
                <c:pt idx="19">
                  <c:v>19044670.489940062</c:v>
                </c:pt>
                <c:pt idx="20">
                  <c:v>19297520.966281056</c:v>
                </c:pt>
                <c:pt idx="21">
                  <c:v>19550371.442622051</c:v>
                </c:pt>
                <c:pt idx="22">
                  <c:v>19803221.918963045</c:v>
                </c:pt>
                <c:pt idx="23">
                  <c:v>20056072.395304039</c:v>
                </c:pt>
                <c:pt idx="24">
                  <c:v>20308922.871645033</c:v>
                </c:pt>
                <c:pt idx="25">
                  <c:v>20561773.347986028</c:v>
                </c:pt>
                <c:pt idx="26">
                  <c:v>20814623.824327022</c:v>
                </c:pt>
                <c:pt idx="27">
                  <c:v>21067474.300668016</c:v>
                </c:pt>
                <c:pt idx="28">
                  <c:v>21068706.841938511</c:v>
                </c:pt>
              </c:numCache>
            </c:numRef>
          </c:val>
          <c:smooth val="0"/>
          <c:extLst xmlns:c15="http://schemas.microsoft.com/office/drawing/2012/chart">
            <c:ext xmlns:c16="http://schemas.microsoft.com/office/drawing/2014/chart" uri="{C3380CC4-5D6E-409C-BE32-E72D297353CC}">
              <c16:uniqueId val="{00000002-51BA-482C-A867-BA9D85DF3FDD}"/>
            </c:ext>
          </c:extLst>
        </c:ser>
        <c:ser>
          <c:idx val="3"/>
          <c:order val="3"/>
          <c:tx>
            <c:strRef>
              <c:f>'Cum. impacts (Scopes1-3)'!$I$60</c:f>
              <c:strCache>
                <c:ptCount val="1"/>
                <c:pt idx="0">
                  <c:v>cascading&amp;circular</c:v>
                </c:pt>
              </c:strCache>
            </c:strRef>
          </c:tx>
          <c:spPr>
            <a:ln w="28575" cap="rnd">
              <a:solidFill>
                <a:schemeClr val="accent4"/>
              </a:solidFill>
              <a:round/>
            </a:ln>
            <a:effectLst/>
          </c:spPr>
          <c:marker>
            <c:symbol val="none"/>
          </c:marker>
          <c:cat>
            <c:numRef>
              <c:extLst>
                <c:ext xmlns:c15="http://schemas.microsoft.com/office/drawing/2012/chart" uri="{02D57815-91ED-43cb-92C2-25804820EDAC}">
                  <c15:fullRef>
                    <c15:sqref>'Cum. impacts (Scopes1-3)'!$A$61:$A$91</c15:sqref>
                  </c15:fullRef>
                </c:ext>
              </c:extLst>
              <c:f>'Cum. impacts (Scopes1-3)'!$A$63:$A$91</c:f>
              <c:numCache>
                <c:formatCode>General</c:formatCode>
                <c:ptCount val="2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pt idx="19">
                  <c:v>2041</c:v>
                </c:pt>
                <c:pt idx="20">
                  <c:v>2042</c:v>
                </c:pt>
                <c:pt idx="21">
                  <c:v>2043</c:v>
                </c:pt>
                <c:pt idx="22">
                  <c:v>2044</c:v>
                </c:pt>
                <c:pt idx="23">
                  <c:v>2045</c:v>
                </c:pt>
                <c:pt idx="24">
                  <c:v>2046</c:v>
                </c:pt>
                <c:pt idx="25">
                  <c:v>2047</c:v>
                </c:pt>
                <c:pt idx="26">
                  <c:v>2048</c:v>
                </c:pt>
                <c:pt idx="27">
                  <c:v>2049</c:v>
                </c:pt>
                <c:pt idx="28">
                  <c:v>2050</c:v>
                </c:pt>
              </c:numCache>
            </c:numRef>
          </c:cat>
          <c:val>
            <c:numRef>
              <c:extLst>
                <c:ext xmlns:c15="http://schemas.microsoft.com/office/drawing/2012/chart" uri="{02D57815-91ED-43cb-92C2-25804820EDAC}">
                  <c15:fullRef>
                    <c15:sqref>'Cum. impacts (Scopes1-3)'!$I$61:$I$91</c15:sqref>
                  </c15:fullRef>
                </c:ext>
              </c:extLst>
              <c:f>'Cum. impacts (Scopes1-3)'!$I$63:$I$91</c:f>
              <c:numCache>
                <c:formatCode>General</c:formatCode>
                <c:ptCount val="29"/>
                <c:pt idx="0">
                  <c:v>0</c:v>
                </c:pt>
                <c:pt idx="1">
                  <c:v>1996674.9190135032</c:v>
                </c:pt>
                <c:pt idx="2">
                  <c:v>3993349.8380270065</c:v>
                </c:pt>
                <c:pt idx="3">
                  <c:v>5990024.75704051</c:v>
                </c:pt>
                <c:pt idx="4">
                  <c:v>7986699.676054013</c:v>
                </c:pt>
                <c:pt idx="5">
                  <c:v>9983374.595067516</c:v>
                </c:pt>
                <c:pt idx="6">
                  <c:v>11313666.033461416</c:v>
                </c:pt>
                <c:pt idx="7">
                  <c:v>12643957.471855316</c:v>
                </c:pt>
                <c:pt idx="8">
                  <c:v>13169553.063673865</c:v>
                </c:pt>
                <c:pt idx="9">
                  <c:v>13695148.655492414</c:v>
                </c:pt>
                <c:pt idx="10">
                  <c:v>14220744.247310963</c:v>
                </c:pt>
                <c:pt idx="11">
                  <c:v>14746339.839129511</c:v>
                </c:pt>
                <c:pt idx="12">
                  <c:v>15271935.43094806</c:v>
                </c:pt>
                <c:pt idx="13">
                  <c:v>15797531.022766609</c:v>
                </c:pt>
                <c:pt idx="14">
                  <c:v>16323126.614585157</c:v>
                </c:pt>
                <c:pt idx="15">
                  <c:v>16848722.206403706</c:v>
                </c:pt>
                <c:pt idx="16">
                  <c:v>17374317.798222255</c:v>
                </c:pt>
                <c:pt idx="17">
                  <c:v>17899913.390040804</c:v>
                </c:pt>
                <c:pt idx="18">
                  <c:v>18085678.028557785</c:v>
                </c:pt>
                <c:pt idx="19">
                  <c:v>18271442.667074766</c:v>
                </c:pt>
                <c:pt idx="20">
                  <c:v>18457207.305591747</c:v>
                </c:pt>
                <c:pt idx="21">
                  <c:v>18642971.944108728</c:v>
                </c:pt>
                <c:pt idx="22">
                  <c:v>18828736.582625709</c:v>
                </c:pt>
                <c:pt idx="23">
                  <c:v>19014501.221142691</c:v>
                </c:pt>
                <c:pt idx="24">
                  <c:v>19200265.859659672</c:v>
                </c:pt>
                <c:pt idx="25">
                  <c:v>19386030.498176653</c:v>
                </c:pt>
                <c:pt idx="26">
                  <c:v>19571795.136693634</c:v>
                </c:pt>
                <c:pt idx="27">
                  <c:v>19757559.775210615</c:v>
                </c:pt>
                <c:pt idx="28">
                  <c:v>19684142.800393894</c:v>
                </c:pt>
              </c:numCache>
            </c:numRef>
          </c:val>
          <c:smooth val="0"/>
          <c:extLst xmlns:c15="http://schemas.microsoft.com/office/drawing/2012/chart">
            <c:ext xmlns:c16="http://schemas.microsoft.com/office/drawing/2014/chart" uri="{C3380CC4-5D6E-409C-BE32-E72D297353CC}">
              <c16:uniqueId val="{00000003-51BA-482C-A867-BA9D85DF3FDD}"/>
            </c:ext>
          </c:extLst>
        </c:ser>
        <c:dLbls>
          <c:showLegendKey val="0"/>
          <c:showVal val="0"/>
          <c:showCatName val="0"/>
          <c:showSerName val="0"/>
          <c:showPercent val="0"/>
          <c:showBubbleSize val="0"/>
        </c:dLbls>
        <c:smooth val="0"/>
        <c:axId val="1030601136"/>
        <c:axId val="1030598184"/>
        <c:extLst/>
      </c:lineChart>
      <c:catAx>
        <c:axId val="1030601136"/>
        <c:scaling>
          <c:orientation val="minMax"/>
        </c:scaling>
        <c:delete val="0"/>
        <c:axPos val="b"/>
        <c:title>
          <c:tx>
            <c:rich>
              <a:bodyPr rot="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r>
                  <a:rPr lang="en-GB" sz="1600"/>
                  <a:t>Year</a:t>
                </a:r>
              </a:p>
            </c:rich>
          </c:tx>
          <c:layout>
            <c:manualLayout>
              <c:xMode val="edge"/>
              <c:yMode val="edge"/>
              <c:x val="0.92557019927239714"/>
              <c:y val="0.19277072535323872"/>
            </c:manualLayout>
          </c:layout>
          <c:overlay val="0"/>
          <c:spPr>
            <a:noFill/>
            <a:ln>
              <a:noFill/>
            </a:ln>
            <a:effectLst/>
          </c:spPr>
          <c:txPr>
            <a:bodyPr rot="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high"/>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crossAx val="1030598184"/>
        <c:crosses val="autoZero"/>
        <c:auto val="1"/>
        <c:lblAlgn val="ctr"/>
        <c:lblOffset val="100"/>
        <c:noMultiLvlLbl val="0"/>
      </c:catAx>
      <c:valAx>
        <c:axId val="103059818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r>
                  <a:rPr lang="en-GB" sz="1600"/>
                  <a:t>Tonnes CO2e</a:t>
                </a:r>
              </a:p>
            </c:rich>
          </c:tx>
          <c:layout/>
          <c:overlay val="0"/>
          <c:spPr>
            <a:noFill/>
            <a:ln>
              <a:noFill/>
            </a:ln>
            <a:effectLst/>
          </c:spPr>
          <c:txPr>
            <a:bodyPr rot="-54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en-US"/>
            </a:p>
          </c:txPr>
        </c:title>
        <c:numFmt formatCode="0.0E+0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crossAx val="1030601136"/>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1"/>
          <c:order val="0"/>
          <c:tx>
            <c:strRef>
              <c:f>'Cum. impacts (Scopes1-3)'!$G$60</c:f>
              <c:strCache>
                <c:ptCount val="1"/>
                <c:pt idx="0">
                  <c:v>cascading</c:v>
                </c:pt>
              </c:strCache>
            </c:strRef>
          </c:tx>
          <c:spPr>
            <a:ln w="28575" cap="rnd">
              <a:solidFill>
                <a:schemeClr val="accent2"/>
              </a:solidFill>
              <a:round/>
            </a:ln>
            <a:effectLst/>
          </c:spPr>
          <c:marker>
            <c:symbol val="none"/>
          </c:marker>
          <c:cat>
            <c:numRef>
              <c:extLst>
                <c:ext xmlns:c15="http://schemas.microsoft.com/office/drawing/2012/chart" uri="{02D57815-91ED-43cb-92C2-25804820EDAC}">
                  <c15:fullRef>
                    <c15:sqref>'Cum. impacts (Scopes1-3)'!$A$61:$A$91</c15:sqref>
                  </c15:fullRef>
                </c:ext>
              </c:extLst>
              <c:f>'Cum. impacts (Scopes1-3)'!$A$63:$A$91</c:f>
              <c:numCache>
                <c:formatCode>General</c:formatCode>
                <c:ptCount val="2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pt idx="19">
                  <c:v>2041</c:v>
                </c:pt>
                <c:pt idx="20">
                  <c:v>2042</c:v>
                </c:pt>
                <c:pt idx="21">
                  <c:v>2043</c:v>
                </c:pt>
                <c:pt idx="22">
                  <c:v>2044</c:v>
                </c:pt>
                <c:pt idx="23">
                  <c:v>2045</c:v>
                </c:pt>
                <c:pt idx="24">
                  <c:v>2046</c:v>
                </c:pt>
                <c:pt idx="25">
                  <c:v>2047</c:v>
                </c:pt>
                <c:pt idx="26">
                  <c:v>2048</c:v>
                </c:pt>
                <c:pt idx="27">
                  <c:v>2049</c:v>
                </c:pt>
                <c:pt idx="28">
                  <c:v>2050</c:v>
                </c:pt>
              </c:numCache>
            </c:numRef>
          </c:cat>
          <c:val>
            <c:numRef>
              <c:extLst>
                <c:ext xmlns:c15="http://schemas.microsoft.com/office/drawing/2012/chart" uri="{02D57815-91ED-43cb-92C2-25804820EDAC}">
                  <c15:fullRef>
                    <c15:sqref>'Cum. impacts (Scopes1-3)'!$G$61:$G$91</c15:sqref>
                  </c15:fullRef>
                </c:ext>
              </c:extLst>
              <c:f>'Cum. impacts (Scopes1-3)'!$G$63:$G$91</c:f>
              <c:numCache>
                <c:formatCode>General</c:formatCode>
                <c:ptCount val="29"/>
                <c:pt idx="0">
                  <c:v>0</c:v>
                </c:pt>
                <c:pt idx="1">
                  <c:v>1996674.9190135032</c:v>
                </c:pt>
                <c:pt idx="2">
                  <c:v>3993349.8380270065</c:v>
                </c:pt>
                <c:pt idx="3">
                  <c:v>5990024.75704051</c:v>
                </c:pt>
                <c:pt idx="4">
                  <c:v>7986699.676054013</c:v>
                </c:pt>
                <c:pt idx="5">
                  <c:v>9983374.595067516</c:v>
                </c:pt>
                <c:pt idx="6">
                  <c:v>11877683.132926349</c:v>
                </c:pt>
                <c:pt idx="7">
                  <c:v>13771991.670785181</c:v>
                </c:pt>
                <c:pt idx="8">
                  <c:v>14752120.083331766</c:v>
                </c:pt>
                <c:pt idx="9">
                  <c:v>15732248.49587835</c:v>
                </c:pt>
                <c:pt idx="10">
                  <c:v>16712376.908424934</c:v>
                </c:pt>
                <c:pt idx="11">
                  <c:v>17692505.320971519</c:v>
                </c:pt>
                <c:pt idx="12">
                  <c:v>18672633.733518105</c:v>
                </c:pt>
                <c:pt idx="13">
                  <c:v>19652762.146064691</c:v>
                </c:pt>
                <c:pt idx="14">
                  <c:v>20632890.558611277</c:v>
                </c:pt>
                <c:pt idx="15">
                  <c:v>21613018.971157864</c:v>
                </c:pt>
                <c:pt idx="16">
                  <c:v>22593147.38370445</c:v>
                </c:pt>
                <c:pt idx="17">
                  <c:v>23573275.796251036</c:v>
                </c:pt>
                <c:pt idx="18">
                  <c:v>24167336.970105693</c:v>
                </c:pt>
                <c:pt idx="19">
                  <c:v>24761398.143960349</c:v>
                </c:pt>
                <c:pt idx="20">
                  <c:v>25355459.317815006</c:v>
                </c:pt>
                <c:pt idx="21">
                  <c:v>25949520.491669662</c:v>
                </c:pt>
                <c:pt idx="22">
                  <c:v>26543581.665524319</c:v>
                </c:pt>
                <c:pt idx="23">
                  <c:v>27137642.839378975</c:v>
                </c:pt>
                <c:pt idx="24">
                  <c:v>27731704.013233632</c:v>
                </c:pt>
                <c:pt idx="25">
                  <c:v>28325765.187088288</c:v>
                </c:pt>
                <c:pt idx="26">
                  <c:v>28919826.360942945</c:v>
                </c:pt>
                <c:pt idx="27">
                  <c:v>29513887.534797601</c:v>
                </c:pt>
                <c:pt idx="28">
                  <c:v>29813503.694720097</c:v>
                </c:pt>
              </c:numCache>
            </c:numRef>
          </c:val>
          <c:smooth val="0"/>
          <c:extLst xmlns:c15="http://schemas.microsoft.com/office/drawing/2012/chart">
            <c:ext xmlns:c16="http://schemas.microsoft.com/office/drawing/2014/chart" uri="{C3380CC4-5D6E-409C-BE32-E72D297353CC}">
              <c16:uniqueId val="{00000001-0DB5-4F6D-BA30-B178987874E8}"/>
            </c:ext>
          </c:extLst>
        </c:ser>
        <c:ser>
          <c:idx val="2"/>
          <c:order val="1"/>
          <c:tx>
            <c:strRef>
              <c:f>'Cum. impacts (Scopes1-3)'!$H$60</c:f>
              <c:strCache>
                <c:ptCount val="1"/>
                <c:pt idx="0">
                  <c:v>circular</c:v>
                </c:pt>
              </c:strCache>
            </c:strRef>
          </c:tx>
          <c:spPr>
            <a:ln w="28575" cap="rnd">
              <a:solidFill>
                <a:schemeClr val="accent3"/>
              </a:solidFill>
              <a:round/>
            </a:ln>
            <a:effectLst/>
          </c:spPr>
          <c:marker>
            <c:symbol val="none"/>
          </c:marker>
          <c:cat>
            <c:numRef>
              <c:extLst>
                <c:ext xmlns:c15="http://schemas.microsoft.com/office/drawing/2012/chart" uri="{02D57815-91ED-43cb-92C2-25804820EDAC}">
                  <c15:fullRef>
                    <c15:sqref>'Cum. impacts (Scopes1-3)'!$A$61:$A$91</c15:sqref>
                  </c15:fullRef>
                </c:ext>
              </c:extLst>
              <c:f>'Cum. impacts (Scopes1-3)'!$A$63:$A$91</c:f>
              <c:numCache>
                <c:formatCode>General</c:formatCode>
                <c:ptCount val="2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pt idx="19">
                  <c:v>2041</c:v>
                </c:pt>
                <c:pt idx="20">
                  <c:v>2042</c:v>
                </c:pt>
                <c:pt idx="21">
                  <c:v>2043</c:v>
                </c:pt>
                <c:pt idx="22">
                  <c:v>2044</c:v>
                </c:pt>
                <c:pt idx="23">
                  <c:v>2045</c:v>
                </c:pt>
                <c:pt idx="24">
                  <c:v>2046</c:v>
                </c:pt>
                <c:pt idx="25">
                  <c:v>2047</c:v>
                </c:pt>
                <c:pt idx="26">
                  <c:v>2048</c:v>
                </c:pt>
                <c:pt idx="27">
                  <c:v>2049</c:v>
                </c:pt>
                <c:pt idx="28">
                  <c:v>2050</c:v>
                </c:pt>
              </c:numCache>
            </c:numRef>
          </c:cat>
          <c:val>
            <c:numRef>
              <c:extLst>
                <c:ext xmlns:c15="http://schemas.microsoft.com/office/drawing/2012/chart" uri="{02D57815-91ED-43cb-92C2-25804820EDAC}">
                  <c15:fullRef>
                    <c15:sqref>'Cum. impacts (Scopes1-3)'!$H$61:$H$91</c15:sqref>
                  </c15:fullRef>
                </c:ext>
              </c:extLst>
              <c:f>'Cum. impacts (Scopes1-3)'!$H$63:$H$91</c:f>
              <c:numCache>
                <c:formatCode>General</c:formatCode>
                <c:ptCount val="29"/>
                <c:pt idx="0">
                  <c:v>0</c:v>
                </c:pt>
                <c:pt idx="1">
                  <c:v>1996674.9190135032</c:v>
                </c:pt>
                <c:pt idx="2">
                  <c:v>3993349.8380270065</c:v>
                </c:pt>
                <c:pt idx="3">
                  <c:v>5990024.75704051</c:v>
                </c:pt>
                <c:pt idx="4">
                  <c:v>7986699.676054013</c:v>
                </c:pt>
                <c:pt idx="5">
                  <c:v>9983374.595067516</c:v>
                </c:pt>
                <c:pt idx="6">
                  <c:v>11347351.228521721</c:v>
                </c:pt>
                <c:pt idx="7">
                  <c:v>12711327.861975927</c:v>
                </c:pt>
                <c:pt idx="8">
                  <c:v>13294092.029504141</c:v>
                </c:pt>
                <c:pt idx="9">
                  <c:v>13876856.197032355</c:v>
                </c:pt>
                <c:pt idx="10">
                  <c:v>14459620.364560569</c:v>
                </c:pt>
                <c:pt idx="11">
                  <c:v>15042384.532088783</c:v>
                </c:pt>
                <c:pt idx="12">
                  <c:v>15625148.699616997</c:v>
                </c:pt>
                <c:pt idx="13">
                  <c:v>16207912.867145211</c:v>
                </c:pt>
                <c:pt idx="14">
                  <c:v>16790677.034673426</c:v>
                </c:pt>
                <c:pt idx="15">
                  <c:v>17373441.202201642</c:v>
                </c:pt>
                <c:pt idx="16">
                  <c:v>17956205.369729858</c:v>
                </c:pt>
                <c:pt idx="17">
                  <c:v>18538969.537258074</c:v>
                </c:pt>
                <c:pt idx="18">
                  <c:v>18791820.013599068</c:v>
                </c:pt>
                <c:pt idx="19">
                  <c:v>19044670.489940062</c:v>
                </c:pt>
                <c:pt idx="20">
                  <c:v>19297520.966281056</c:v>
                </c:pt>
                <c:pt idx="21">
                  <c:v>19550371.442622051</c:v>
                </c:pt>
                <c:pt idx="22">
                  <c:v>19803221.918963045</c:v>
                </c:pt>
                <c:pt idx="23">
                  <c:v>20056072.395304039</c:v>
                </c:pt>
                <c:pt idx="24">
                  <c:v>20308922.871645033</c:v>
                </c:pt>
                <c:pt idx="25">
                  <c:v>20561773.347986028</c:v>
                </c:pt>
                <c:pt idx="26">
                  <c:v>20814623.824327022</c:v>
                </c:pt>
                <c:pt idx="27">
                  <c:v>21067474.300668016</c:v>
                </c:pt>
                <c:pt idx="28">
                  <c:v>21068706.841938511</c:v>
                </c:pt>
              </c:numCache>
            </c:numRef>
          </c:val>
          <c:smooth val="0"/>
          <c:extLst xmlns:c15="http://schemas.microsoft.com/office/drawing/2012/chart">
            <c:ext xmlns:c16="http://schemas.microsoft.com/office/drawing/2014/chart" uri="{C3380CC4-5D6E-409C-BE32-E72D297353CC}">
              <c16:uniqueId val="{00000002-0DB5-4F6D-BA30-B178987874E8}"/>
            </c:ext>
          </c:extLst>
        </c:ser>
        <c:ser>
          <c:idx val="3"/>
          <c:order val="2"/>
          <c:tx>
            <c:strRef>
              <c:f>'Cum. impacts (Scopes1-3)'!$I$60</c:f>
              <c:strCache>
                <c:ptCount val="1"/>
                <c:pt idx="0">
                  <c:v>cascading&amp;circular</c:v>
                </c:pt>
              </c:strCache>
            </c:strRef>
          </c:tx>
          <c:spPr>
            <a:ln w="28575" cap="rnd">
              <a:solidFill>
                <a:schemeClr val="accent4"/>
              </a:solidFill>
              <a:round/>
            </a:ln>
            <a:effectLst/>
          </c:spPr>
          <c:marker>
            <c:symbol val="none"/>
          </c:marker>
          <c:cat>
            <c:numRef>
              <c:extLst>
                <c:ext xmlns:c15="http://schemas.microsoft.com/office/drawing/2012/chart" uri="{02D57815-91ED-43cb-92C2-25804820EDAC}">
                  <c15:fullRef>
                    <c15:sqref>'Cum. impacts (Scopes1-3)'!$A$61:$A$91</c15:sqref>
                  </c15:fullRef>
                </c:ext>
              </c:extLst>
              <c:f>'Cum. impacts (Scopes1-3)'!$A$63:$A$91</c:f>
              <c:numCache>
                <c:formatCode>General</c:formatCode>
                <c:ptCount val="2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pt idx="19">
                  <c:v>2041</c:v>
                </c:pt>
                <c:pt idx="20">
                  <c:v>2042</c:v>
                </c:pt>
                <c:pt idx="21">
                  <c:v>2043</c:v>
                </c:pt>
                <c:pt idx="22">
                  <c:v>2044</c:v>
                </c:pt>
                <c:pt idx="23">
                  <c:v>2045</c:v>
                </c:pt>
                <c:pt idx="24">
                  <c:v>2046</c:v>
                </c:pt>
                <c:pt idx="25">
                  <c:v>2047</c:v>
                </c:pt>
                <c:pt idx="26">
                  <c:v>2048</c:v>
                </c:pt>
                <c:pt idx="27">
                  <c:v>2049</c:v>
                </c:pt>
                <c:pt idx="28">
                  <c:v>2050</c:v>
                </c:pt>
              </c:numCache>
            </c:numRef>
          </c:cat>
          <c:val>
            <c:numRef>
              <c:extLst>
                <c:ext xmlns:c15="http://schemas.microsoft.com/office/drawing/2012/chart" uri="{02D57815-91ED-43cb-92C2-25804820EDAC}">
                  <c15:fullRef>
                    <c15:sqref>'Cum. impacts (Scopes1-3)'!$I$61:$I$91</c15:sqref>
                  </c15:fullRef>
                </c:ext>
              </c:extLst>
              <c:f>'Cum. impacts (Scopes1-3)'!$I$63:$I$91</c:f>
              <c:numCache>
                <c:formatCode>General</c:formatCode>
                <c:ptCount val="29"/>
                <c:pt idx="0">
                  <c:v>0</c:v>
                </c:pt>
                <c:pt idx="1">
                  <c:v>1996674.9190135032</c:v>
                </c:pt>
                <c:pt idx="2">
                  <c:v>3993349.8380270065</c:v>
                </c:pt>
                <c:pt idx="3">
                  <c:v>5990024.75704051</c:v>
                </c:pt>
                <c:pt idx="4">
                  <c:v>7986699.676054013</c:v>
                </c:pt>
                <c:pt idx="5">
                  <c:v>9983374.595067516</c:v>
                </c:pt>
                <c:pt idx="6">
                  <c:v>11313666.033461416</c:v>
                </c:pt>
                <c:pt idx="7">
                  <c:v>12643957.471855316</c:v>
                </c:pt>
                <c:pt idx="8">
                  <c:v>13169553.063673865</c:v>
                </c:pt>
                <c:pt idx="9">
                  <c:v>13695148.655492414</c:v>
                </c:pt>
                <c:pt idx="10">
                  <c:v>14220744.247310963</c:v>
                </c:pt>
                <c:pt idx="11">
                  <c:v>14746339.839129511</c:v>
                </c:pt>
                <c:pt idx="12">
                  <c:v>15271935.43094806</c:v>
                </c:pt>
                <c:pt idx="13">
                  <c:v>15797531.022766609</c:v>
                </c:pt>
                <c:pt idx="14">
                  <c:v>16323126.614585157</c:v>
                </c:pt>
                <c:pt idx="15">
                  <c:v>16848722.206403706</c:v>
                </c:pt>
                <c:pt idx="16">
                  <c:v>17374317.798222255</c:v>
                </c:pt>
                <c:pt idx="17">
                  <c:v>17899913.390040804</c:v>
                </c:pt>
                <c:pt idx="18">
                  <c:v>18085678.028557785</c:v>
                </c:pt>
                <c:pt idx="19">
                  <c:v>18271442.667074766</c:v>
                </c:pt>
                <c:pt idx="20">
                  <c:v>18457207.305591747</c:v>
                </c:pt>
                <c:pt idx="21">
                  <c:v>18642971.944108728</c:v>
                </c:pt>
                <c:pt idx="22">
                  <c:v>18828736.582625709</c:v>
                </c:pt>
                <c:pt idx="23">
                  <c:v>19014501.221142691</c:v>
                </c:pt>
                <c:pt idx="24">
                  <c:v>19200265.859659672</c:v>
                </c:pt>
                <c:pt idx="25">
                  <c:v>19386030.498176653</c:v>
                </c:pt>
                <c:pt idx="26">
                  <c:v>19571795.136693634</c:v>
                </c:pt>
                <c:pt idx="27">
                  <c:v>19757559.775210615</c:v>
                </c:pt>
                <c:pt idx="28">
                  <c:v>19684142.800393894</c:v>
                </c:pt>
              </c:numCache>
            </c:numRef>
          </c:val>
          <c:smooth val="0"/>
          <c:extLst xmlns:c15="http://schemas.microsoft.com/office/drawing/2012/chart">
            <c:ext xmlns:c16="http://schemas.microsoft.com/office/drawing/2014/chart" uri="{C3380CC4-5D6E-409C-BE32-E72D297353CC}">
              <c16:uniqueId val="{00000003-0DB5-4F6D-BA30-B178987874E8}"/>
            </c:ext>
          </c:extLst>
        </c:ser>
        <c:ser>
          <c:idx val="0"/>
          <c:order val="3"/>
          <c:tx>
            <c:strRef>
              <c:f>'Cum. impacts (Scopes1-3)'!$F$60</c:f>
              <c:strCache>
                <c:ptCount val="1"/>
                <c:pt idx="0">
                  <c:v>BAU</c:v>
                </c:pt>
              </c:strCache>
            </c:strRef>
          </c:tx>
          <c:spPr>
            <a:ln w="28575" cap="rnd">
              <a:solidFill>
                <a:schemeClr val="accent1"/>
              </a:solidFill>
              <a:round/>
            </a:ln>
            <a:effectLst/>
          </c:spPr>
          <c:marker>
            <c:symbol val="none"/>
          </c:marker>
          <c:cat>
            <c:numRef>
              <c:extLst>
                <c:ext xmlns:c15="http://schemas.microsoft.com/office/drawing/2012/chart" uri="{02D57815-91ED-43cb-92C2-25804820EDAC}">
                  <c15:fullRef>
                    <c15:sqref>'Cum. impacts (Scopes1-3)'!$A$61:$A$91</c15:sqref>
                  </c15:fullRef>
                </c:ext>
              </c:extLst>
              <c:f>'Cum. impacts (Scopes1-3)'!$A$63:$A$91</c:f>
              <c:numCache>
                <c:formatCode>General</c:formatCode>
                <c:ptCount val="29"/>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pt idx="19">
                  <c:v>2041</c:v>
                </c:pt>
                <c:pt idx="20">
                  <c:v>2042</c:v>
                </c:pt>
                <c:pt idx="21">
                  <c:v>2043</c:v>
                </c:pt>
                <c:pt idx="22">
                  <c:v>2044</c:v>
                </c:pt>
                <c:pt idx="23">
                  <c:v>2045</c:v>
                </c:pt>
                <c:pt idx="24">
                  <c:v>2046</c:v>
                </c:pt>
                <c:pt idx="25">
                  <c:v>2047</c:v>
                </c:pt>
                <c:pt idx="26">
                  <c:v>2048</c:v>
                </c:pt>
                <c:pt idx="27">
                  <c:v>2049</c:v>
                </c:pt>
                <c:pt idx="28">
                  <c:v>2050</c:v>
                </c:pt>
              </c:numCache>
            </c:numRef>
          </c:cat>
          <c:val>
            <c:numRef>
              <c:extLst>
                <c:ext xmlns:c15="http://schemas.microsoft.com/office/drawing/2012/chart" uri="{02D57815-91ED-43cb-92C2-25804820EDAC}">
                  <c15:fullRef>
                    <c15:sqref>'Cum. impacts (Scopes1-3)'!$F$61:$F$91</c15:sqref>
                  </c15:fullRef>
                </c:ext>
              </c:extLst>
              <c:f>'Cum. impacts (Scopes1-3)'!$F$63:$F$91</c:f>
              <c:numCache>
                <c:formatCode>General</c:formatCode>
                <c:ptCount val="29"/>
                <c:pt idx="0">
                  <c:v>0</c:v>
                </c:pt>
                <c:pt idx="1">
                  <c:v>1996674.9190135032</c:v>
                </c:pt>
                <c:pt idx="2">
                  <c:v>3993349.8380270065</c:v>
                </c:pt>
                <c:pt idx="3">
                  <c:v>5990024.75704051</c:v>
                </c:pt>
                <c:pt idx="4">
                  <c:v>7986699.676054013</c:v>
                </c:pt>
                <c:pt idx="5">
                  <c:v>9983374.595067516</c:v>
                </c:pt>
                <c:pt idx="6">
                  <c:v>11980049.51408102</c:v>
                </c:pt>
                <c:pt idx="7">
                  <c:v>13976724.433094524</c:v>
                </c:pt>
                <c:pt idx="8">
                  <c:v>15099834.172838693</c:v>
                </c:pt>
                <c:pt idx="9">
                  <c:v>16222943.912582863</c:v>
                </c:pt>
                <c:pt idx="10">
                  <c:v>17346053.652327035</c:v>
                </c:pt>
                <c:pt idx="11">
                  <c:v>18469163.392071206</c:v>
                </c:pt>
                <c:pt idx="12">
                  <c:v>19592273.131815378</c:v>
                </c:pt>
                <c:pt idx="13">
                  <c:v>20715382.871559549</c:v>
                </c:pt>
                <c:pt idx="14">
                  <c:v>21838492.611303721</c:v>
                </c:pt>
                <c:pt idx="15">
                  <c:v>22961602.351047892</c:v>
                </c:pt>
                <c:pt idx="16">
                  <c:v>24084712.090792064</c:v>
                </c:pt>
                <c:pt idx="17">
                  <c:v>25207821.830536235</c:v>
                </c:pt>
                <c:pt idx="18">
                  <c:v>25962016.421897873</c:v>
                </c:pt>
                <c:pt idx="19">
                  <c:v>26716211.013259511</c:v>
                </c:pt>
                <c:pt idx="20">
                  <c:v>27470405.60462115</c:v>
                </c:pt>
                <c:pt idx="21">
                  <c:v>28224600.195982788</c:v>
                </c:pt>
                <c:pt idx="22">
                  <c:v>28978794.787344426</c:v>
                </c:pt>
                <c:pt idx="23">
                  <c:v>29732989.378706064</c:v>
                </c:pt>
                <c:pt idx="24">
                  <c:v>30487183.970067702</c:v>
                </c:pt>
                <c:pt idx="25">
                  <c:v>31241378.56142934</c:v>
                </c:pt>
                <c:pt idx="26">
                  <c:v>31995573.152790979</c:v>
                </c:pt>
                <c:pt idx="27">
                  <c:v>32749767.744152617</c:v>
                </c:pt>
                <c:pt idx="28">
                  <c:v>33222598.844601829</c:v>
                </c:pt>
              </c:numCache>
            </c:numRef>
          </c:val>
          <c:smooth val="0"/>
          <c:extLst xmlns:c15="http://schemas.microsoft.com/office/drawing/2012/chart">
            <c:ext xmlns:c16="http://schemas.microsoft.com/office/drawing/2014/chart" uri="{C3380CC4-5D6E-409C-BE32-E72D297353CC}">
              <c16:uniqueId val="{00000000-0DB5-4F6D-BA30-B178987874E8}"/>
            </c:ext>
          </c:extLst>
        </c:ser>
        <c:dLbls>
          <c:showLegendKey val="0"/>
          <c:showVal val="0"/>
          <c:showCatName val="0"/>
          <c:showSerName val="0"/>
          <c:showPercent val="0"/>
          <c:showBubbleSize val="0"/>
        </c:dLbls>
        <c:smooth val="0"/>
        <c:axId val="1030601136"/>
        <c:axId val="1030598184"/>
        <c:extLst/>
      </c:lineChart>
      <c:catAx>
        <c:axId val="1030601136"/>
        <c:scaling>
          <c:orientation val="minMax"/>
        </c:scaling>
        <c:delete val="0"/>
        <c:axPos val="b"/>
        <c:title>
          <c:tx>
            <c:rich>
              <a:bodyPr rot="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r>
                  <a:rPr lang="en-GB" sz="1600"/>
                  <a:t>Year</a:t>
                </a:r>
              </a:p>
            </c:rich>
          </c:tx>
          <c:layout>
            <c:manualLayout>
              <c:xMode val="edge"/>
              <c:yMode val="edge"/>
              <c:x val="0.50460956028910442"/>
              <c:y val="0.10450639482254014"/>
            </c:manualLayout>
          </c:layout>
          <c:overlay val="0"/>
          <c:spPr>
            <a:noFill/>
            <a:ln>
              <a:noFill/>
            </a:ln>
            <a:effectLst/>
          </c:spPr>
          <c:txPr>
            <a:bodyPr rot="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high"/>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crossAx val="1030598184"/>
        <c:crosses val="autoZero"/>
        <c:auto val="1"/>
        <c:lblAlgn val="ctr"/>
        <c:lblOffset val="100"/>
        <c:noMultiLvlLbl val="0"/>
      </c:catAx>
      <c:valAx>
        <c:axId val="103059818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r>
                  <a:rPr lang="en-GB" sz="1600"/>
                  <a:t>Tonnes CO2e</a:t>
                </a:r>
              </a:p>
            </c:rich>
          </c:tx>
          <c:layout/>
          <c:overlay val="0"/>
          <c:spPr>
            <a:noFill/>
            <a:ln>
              <a:noFill/>
            </a:ln>
            <a:effectLst/>
          </c:spPr>
          <c:txPr>
            <a:bodyPr rot="-54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en-US"/>
            </a:p>
          </c:txPr>
        </c:title>
        <c:numFmt formatCode="0.0E+0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crossAx val="1030601136"/>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1"/>
          <c:order val="0"/>
          <c:tx>
            <c:strRef>
              <c:f>'Cum. impacts (Scopes1-3)'!$G$4</c:f>
              <c:strCache>
                <c:ptCount val="1"/>
                <c:pt idx="0">
                  <c:v>cascading</c:v>
                </c:pt>
              </c:strCache>
            </c:strRef>
          </c:tx>
          <c:spPr>
            <a:ln w="28575" cap="rnd">
              <a:solidFill>
                <a:schemeClr val="accent2"/>
              </a:solidFill>
              <a:round/>
            </a:ln>
            <a:effectLst/>
          </c:spPr>
          <c:marker>
            <c:symbol val="none"/>
          </c:marker>
          <c:cat>
            <c:numRef>
              <c:extLst>
                <c:ext xmlns:c15="http://schemas.microsoft.com/office/drawing/2012/chart" uri="{02D57815-91ED-43cb-92C2-25804820EDAC}">
                  <c15:fullRef>
                    <c15:sqref>'Cum. impacts (Scopes1-3)'!$A$5:$A$35</c15:sqref>
                  </c15:fullRef>
                </c:ext>
              </c:extLst>
              <c:f>'Cum. impacts (Scopes1-3)'!$A$8:$A$35</c:f>
              <c:numCache>
                <c:formatCode>General</c:formatCode>
                <c:ptCount val="28"/>
                <c:pt idx="0">
                  <c:v>2023</c:v>
                </c:pt>
                <c:pt idx="1">
                  <c:v>2024</c:v>
                </c:pt>
                <c:pt idx="2">
                  <c:v>2025</c:v>
                </c:pt>
                <c:pt idx="3">
                  <c:v>2026</c:v>
                </c:pt>
                <c:pt idx="4">
                  <c:v>2027</c:v>
                </c:pt>
                <c:pt idx="5">
                  <c:v>2028</c:v>
                </c:pt>
                <c:pt idx="6">
                  <c:v>2029</c:v>
                </c:pt>
                <c:pt idx="7">
                  <c:v>2030</c:v>
                </c:pt>
                <c:pt idx="8">
                  <c:v>2031</c:v>
                </c:pt>
                <c:pt idx="9">
                  <c:v>2032</c:v>
                </c:pt>
                <c:pt idx="10">
                  <c:v>2033</c:v>
                </c:pt>
                <c:pt idx="11">
                  <c:v>2034</c:v>
                </c:pt>
                <c:pt idx="12">
                  <c:v>2035</c:v>
                </c:pt>
                <c:pt idx="13">
                  <c:v>2036</c:v>
                </c:pt>
                <c:pt idx="14">
                  <c:v>2037</c:v>
                </c:pt>
                <c:pt idx="15">
                  <c:v>2038</c:v>
                </c:pt>
                <c:pt idx="16">
                  <c:v>2039</c:v>
                </c:pt>
                <c:pt idx="17">
                  <c:v>2040</c:v>
                </c:pt>
                <c:pt idx="18">
                  <c:v>2041</c:v>
                </c:pt>
                <c:pt idx="19">
                  <c:v>2042</c:v>
                </c:pt>
                <c:pt idx="20">
                  <c:v>2043</c:v>
                </c:pt>
                <c:pt idx="21">
                  <c:v>2044</c:v>
                </c:pt>
                <c:pt idx="22">
                  <c:v>2045</c:v>
                </c:pt>
                <c:pt idx="23">
                  <c:v>2046</c:v>
                </c:pt>
                <c:pt idx="24">
                  <c:v>2047</c:v>
                </c:pt>
                <c:pt idx="25">
                  <c:v>2048</c:v>
                </c:pt>
                <c:pt idx="26">
                  <c:v>2049</c:v>
                </c:pt>
                <c:pt idx="27">
                  <c:v>2050</c:v>
                </c:pt>
              </c:numCache>
            </c:numRef>
          </c:cat>
          <c:val>
            <c:numRef>
              <c:extLst>
                <c:ext xmlns:c15="http://schemas.microsoft.com/office/drawing/2012/chart" uri="{02D57815-91ED-43cb-92C2-25804820EDAC}">
                  <c15:fullRef>
                    <c15:sqref>'Cum. impacts (Scopes1-3)'!$G$5:$G$35</c15:sqref>
                  </c15:fullRef>
                </c:ext>
              </c:extLst>
              <c:f>'Cum. impacts (Scopes1-3)'!$G$8:$G$35</c:f>
              <c:numCache>
                <c:formatCode>General</c:formatCode>
                <c:ptCount val="28"/>
                <c:pt idx="0">
                  <c:v>1996674.9190135032</c:v>
                </c:pt>
                <c:pt idx="1">
                  <c:v>1996674.9190135032</c:v>
                </c:pt>
                <c:pt idx="2">
                  <c:v>1996674.9190135032</c:v>
                </c:pt>
                <c:pt idx="3">
                  <c:v>1996674.9190135032</c:v>
                </c:pt>
                <c:pt idx="4">
                  <c:v>1996674.9190135032</c:v>
                </c:pt>
                <c:pt idx="5" formatCode="_(* #,##0.00_);_(* \(#,##0.00\);_(* &quot;-&quot;??_);_(@_)">
                  <c:v>1894308.5378588336</c:v>
                </c:pt>
                <c:pt idx="6" formatCode="_(* #,##0.00_);_(* \(#,##0.00\);_(* &quot;-&quot;??_);_(@_)">
                  <c:v>1894308.5378588336</c:v>
                </c:pt>
                <c:pt idx="7" formatCode="_(* #,##0.00_);_(* \(#,##0.00\);_(* &quot;-&quot;??_);_(@_)">
                  <c:v>980128.41254658473</c:v>
                </c:pt>
                <c:pt idx="8" formatCode="_(* #,##0.00_);_(* \(#,##0.00\);_(* &quot;-&quot;??_);_(@_)">
                  <c:v>980128.41254658473</c:v>
                </c:pt>
                <c:pt idx="9" formatCode="_(* #,##0.00_);_(* \(#,##0.00\);_(* &quot;-&quot;??_);_(@_)">
                  <c:v>980128.41254658473</c:v>
                </c:pt>
                <c:pt idx="10" formatCode="_(* #,##0.00_);_(* \(#,##0.00\);_(* &quot;-&quot;??_);_(@_)">
                  <c:v>980128.41254658473</c:v>
                </c:pt>
                <c:pt idx="11" formatCode="_(* #,##0.00_);_(* \(#,##0.00\);_(* &quot;-&quot;??_);_(@_)">
                  <c:v>980128.41254658473</c:v>
                </c:pt>
                <c:pt idx="12" formatCode="_(* #,##0.00_);_(* \(#,##0.00\);_(* &quot;-&quot;??_);_(@_)">
                  <c:v>980128.41254658473</c:v>
                </c:pt>
                <c:pt idx="13" formatCode="_(* #,##0.00_);_(* \(#,##0.00\);_(* &quot;-&quot;??_);_(@_)">
                  <c:v>980128.41254658473</c:v>
                </c:pt>
                <c:pt idx="14" formatCode="_(* #,##0.00_);_(* \(#,##0.00\);_(* &quot;-&quot;??_);_(@_)">
                  <c:v>980128.41254658473</c:v>
                </c:pt>
                <c:pt idx="15" formatCode="_(* #,##0.00_);_(* \(#,##0.00\);_(* &quot;-&quot;??_);_(@_)">
                  <c:v>980128.41254658473</c:v>
                </c:pt>
                <c:pt idx="16" formatCode="_(* #,##0.00_);_(* \(#,##0.00\);_(* &quot;-&quot;??_);_(@_)">
                  <c:v>980128.41254658473</c:v>
                </c:pt>
                <c:pt idx="17" formatCode="_(* #,##0.00_);_(* \(#,##0.00\);_(* &quot;-&quot;??_);_(@_)">
                  <c:v>594061.17385465815</c:v>
                </c:pt>
                <c:pt idx="18" formatCode="_(* #,##0.00_);_(* \(#,##0.00\);_(* &quot;-&quot;??_);_(@_)">
                  <c:v>594061.17385465815</c:v>
                </c:pt>
                <c:pt idx="19" formatCode="_(* #,##0.00_);_(* \(#,##0.00\);_(* &quot;-&quot;??_);_(@_)">
                  <c:v>594061.17385465815</c:v>
                </c:pt>
                <c:pt idx="20" formatCode="_(* #,##0.00_);_(* \(#,##0.00\);_(* &quot;-&quot;??_);_(@_)">
                  <c:v>594061.17385465815</c:v>
                </c:pt>
                <c:pt idx="21" formatCode="_(* #,##0.00_);_(* \(#,##0.00\);_(* &quot;-&quot;??_);_(@_)">
                  <c:v>594061.17385465815</c:v>
                </c:pt>
                <c:pt idx="22" formatCode="_(* #,##0.00_);_(* \(#,##0.00\);_(* &quot;-&quot;??_);_(@_)">
                  <c:v>594061.17385465815</c:v>
                </c:pt>
                <c:pt idx="23" formatCode="_(* #,##0.00_);_(* \(#,##0.00\);_(* &quot;-&quot;??_);_(@_)">
                  <c:v>594061.17385465815</c:v>
                </c:pt>
                <c:pt idx="24" formatCode="_(* #,##0.00_);_(* \(#,##0.00\);_(* &quot;-&quot;??_);_(@_)">
                  <c:v>594061.17385465815</c:v>
                </c:pt>
                <c:pt idx="25" formatCode="_(* #,##0.00_);_(* \(#,##0.00\);_(* &quot;-&quot;??_);_(@_)">
                  <c:v>594061.17385465815</c:v>
                </c:pt>
                <c:pt idx="26" formatCode="_(* #,##0.00_);_(* \(#,##0.00\);_(* &quot;-&quot;??_);_(@_)">
                  <c:v>594061.17385465815</c:v>
                </c:pt>
                <c:pt idx="27" formatCode="_(* #,##0.00_);_(* \(#,##0.00\);_(* &quot;-&quot;??_);_(@_)">
                  <c:v>299616.15992249426</c:v>
                </c:pt>
              </c:numCache>
            </c:numRef>
          </c:val>
          <c:smooth val="0"/>
          <c:extLst>
            <c:ext xmlns:c16="http://schemas.microsoft.com/office/drawing/2014/chart" uri="{C3380CC4-5D6E-409C-BE32-E72D297353CC}">
              <c16:uniqueId val="{00000001-7F30-428B-B99F-38D252BDD906}"/>
            </c:ext>
          </c:extLst>
        </c:ser>
        <c:ser>
          <c:idx val="2"/>
          <c:order val="1"/>
          <c:tx>
            <c:strRef>
              <c:f>'Cum. impacts (Scopes1-3)'!$H$4</c:f>
              <c:strCache>
                <c:ptCount val="1"/>
                <c:pt idx="0">
                  <c:v>circular</c:v>
                </c:pt>
              </c:strCache>
            </c:strRef>
          </c:tx>
          <c:spPr>
            <a:ln w="28575" cap="rnd">
              <a:solidFill>
                <a:schemeClr val="accent3"/>
              </a:solidFill>
              <a:round/>
            </a:ln>
            <a:effectLst/>
          </c:spPr>
          <c:marker>
            <c:symbol val="none"/>
          </c:marker>
          <c:cat>
            <c:numRef>
              <c:extLst>
                <c:ext xmlns:c15="http://schemas.microsoft.com/office/drawing/2012/chart" uri="{02D57815-91ED-43cb-92C2-25804820EDAC}">
                  <c15:fullRef>
                    <c15:sqref>'Cum. impacts (Scopes1-3)'!$A$5:$A$35</c15:sqref>
                  </c15:fullRef>
                </c:ext>
              </c:extLst>
              <c:f>'Cum. impacts (Scopes1-3)'!$A$8:$A$35</c:f>
              <c:numCache>
                <c:formatCode>General</c:formatCode>
                <c:ptCount val="28"/>
                <c:pt idx="0">
                  <c:v>2023</c:v>
                </c:pt>
                <c:pt idx="1">
                  <c:v>2024</c:v>
                </c:pt>
                <c:pt idx="2">
                  <c:v>2025</c:v>
                </c:pt>
                <c:pt idx="3">
                  <c:v>2026</c:v>
                </c:pt>
                <c:pt idx="4">
                  <c:v>2027</c:v>
                </c:pt>
                <c:pt idx="5">
                  <c:v>2028</c:v>
                </c:pt>
                <c:pt idx="6">
                  <c:v>2029</c:v>
                </c:pt>
                <c:pt idx="7">
                  <c:v>2030</c:v>
                </c:pt>
                <c:pt idx="8">
                  <c:v>2031</c:v>
                </c:pt>
                <c:pt idx="9">
                  <c:v>2032</c:v>
                </c:pt>
                <c:pt idx="10">
                  <c:v>2033</c:v>
                </c:pt>
                <c:pt idx="11">
                  <c:v>2034</c:v>
                </c:pt>
                <c:pt idx="12">
                  <c:v>2035</c:v>
                </c:pt>
                <c:pt idx="13">
                  <c:v>2036</c:v>
                </c:pt>
                <c:pt idx="14">
                  <c:v>2037</c:v>
                </c:pt>
                <c:pt idx="15">
                  <c:v>2038</c:v>
                </c:pt>
                <c:pt idx="16">
                  <c:v>2039</c:v>
                </c:pt>
                <c:pt idx="17">
                  <c:v>2040</c:v>
                </c:pt>
                <c:pt idx="18">
                  <c:v>2041</c:v>
                </c:pt>
                <c:pt idx="19">
                  <c:v>2042</c:v>
                </c:pt>
                <c:pt idx="20">
                  <c:v>2043</c:v>
                </c:pt>
                <c:pt idx="21">
                  <c:v>2044</c:v>
                </c:pt>
                <c:pt idx="22">
                  <c:v>2045</c:v>
                </c:pt>
                <c:pt idx="23">
                  <c:v>2046</c:v>
                </c:pt>
                <c:pt idx="24">
                  <c:v>2047</c:v>
                </c:pt>
                <c:pt idx="25">
                  <c:v>2048</c:v>
                </c:pt>
                <c:pt idx="26">
                  <c:v>2049</c:v>
                </c:pt>
                <c:pt idx="27">
                  <c:v>2050</c:v>
                </c:pt>
              </c:numCache>
            </c:numRef>
          </c:cat>
          <c:val>
            <c:numRef>
              <c:extLst>
                <c:ext xmlns:c15="http://schemas.microsoft.com/office/drawing/2012/chart" uri="{02D57815-91ED-43cb-92C2-25804820EDAC}">
                  <c15:fullRef>
                    <c15:sqref>'Cum. impacts (Scopes1-3)'!$H$5:$H$35</c15:sqref>
                  </c15:fullRef>
                </c:ext>
              </c:extLst>
              <c:f>'Cum. impacts (Scopes1-3)'!$H$8:$H$35</c:f>
              <c:numCache>
                <c:formatCode>General</c:formatCode>
                <c:ptCount val="28"/>
                <c:pt idx="0">
                  <c:v>1996674.9190135032</c:v>
                </c:pt>
                <c:pt idx="1">
                  <c:v>1996674.9190135032</c:v>
                </c:pt>
                <c:pt idx="2">
                  <c:v>1996674.9190135032</c:v>
                </c:pt>
                <c:pt idx="3">
                  <c:v>1996674.9190135032</c:v>
                </c:pt>
                <c:pt idx="4">
                  <c:v>1996674.9190135032</c:v>
                </c:pt>
                <c:pt idx="5">
                  <c:v>1363976.6334542052</c:v>
                </c:pt>
                <c:pt idx="6">
                  <c:v>1363976.6334542052</c:v>
                </c:pt>
                <c:pt idx="7">
                  <c:v>582764.16752821405</c:v>
                </c:pt>
                <c:pt idx="8">
                  <c:v>582764.16752821405</c:v>
                </c:pt>
                <c:pt idx="9">
                  <c:v>582764.16752821405</c:v>
                </c:pt>
                <c:pt idx="10">
                  <c:v>582764.16752821405</c:v>
                </c:pt>
                <c:pt idx="11">
                  <c:v>582764.16752821405</c:v>
                </c:pt>
                <c:pt idx="12">
                  <c:v>582764.16752821405</c:v>
                </c:pt>
                <c:pt idx="13">
                  <c:v>582764.16752821405</c:v>
                </c:pt>
                <c:pt idx="14">
                  <c:v>582764.16752821405</c:v>
                </c:pt>
                <c:pt idx="15">
                  <c:v>582764.16752821405</c:v>
                </c:pt>
                <c:pt idx="16">
                  <c:v>582764.16752821405</c:v>
                </c:pt>
                <c:pt idx="17">
                  <c:v>252850.47634099517</c:v>
                </c:pt>
                <c:pt idx="18">
                  <c:v>252850.47634099517</c:v>
                </c:pt>
                <c:pt idx="19">
                  <c:v>252850.47634099517</c:v>
                </c:pt>
                <c:pt idx="20">
                  <c:v>252850.47634099517</c:v>
                </c:pt>
                <c:pt idx="21">
                  <c:v>252850.47634099517</c:v>
                </c:pt>
                <c:pt idx="22">
                  <c:v>252850.47634099517</c:v>
                </c:pt>
                <c:pt idx="23">
                  <c:v>252850.47634099517</c:v>
                </c:pt>
                <c:pt idx="24">
                  <c:v>252850.47634099517</c:v>
                </c:pt>
                <c:pt idx="25">
                  <c:v>252850.47634099517</c:v>
                </c:pt>
                <c:pt idx="26">
                  <c:v>252850.47634099517</c:v>
                </c:pt>
                <c:pt idx="27">
                  <c:v>1232.5412704955088</c:v>
                </c:pt>
              </c:numCache>
            </c:numRef>
          </c:val>
          <c:smooth val="0"/>
          <c:extLst>
            <c:ext xmlns:c16="http://schemas.microsoft.com/office/drawing/2014/chart" uri="{C3380CC4-5D6E-409C-BE32-E72D297353CC}">
              <c16:uniqueId val="{00000002-7F30-428B-B99F-38D252BDD906}"/>
            </c:ext>
          </c:extLst>
        </c:ser>
        <c:ser>
          <c:idx val="3"/>
          <c:order val="2"/>
          <c:tx>
            <c:strRef>
              <c:f>'Cum. impacts (Scopes1-3)'!$I$4</c:f>
              <c:strCache>
                <c:ptCount val="1"/>
                <c:pt idx="0">
                  <c:v>cascading&amp;circular</c:v>
                </c:pt>
              </c:strCache>
            </c:strRef>
          </c:tx>
          <c:spPr>
            <a:ln w="28575" cap="rnd">
              <a:solidFill>
                <a:schemeClr val="accent4"/>
              </a:solidFill>
              <a:round/>
            </a:ln>
            <a:effectLst/>
          </c:spPr>
          <c:marker>
            <c:symbol val="none"/>
          </c:marker>
          <c:cat>
            <c:numRef>
              <c:extLst>
                <c:ext xmlns:c15="http://schemas.microsoft.com/office/drawing/2012/chart" uri="{02D57815-91ED-43cb-92C2-25804820EDAC}">
                  <c15:fullRef>
                    <c15:sqref>'Cum. impacts (Scopes1-3)'!$A$5:$A$35</c15:sqref>
                  </c15:fullRef>
                </c:ext>
              </c:extLst>
              <c:f>'Cum. impacts (Scopes1-3)'!$A$8:$A$35</c:f>
              <c:numCache>
                <c:formatCode>General</c:formatCode>
                <c:ptCount val="28"/>
                <c:pt idx="0">
                  <c:v>2023</c:v>
                </c:pt>
                <c:pt idx="1">
                  <c:v>2024</c:v>
                </c:pt>
                <c:pt idx="2">
                  <c:v>2025</c:v>
                </c:pt>
                <c:pt idx="3">
                  <c:v>2026</c:v>
                </c:pt>
                <c:pt idx="4">
                  <c:v>2027</c:v>
                </c:pt>
                <c:pt idx="5">
                  <c:v>2028</c:v>
                </c:pt>
                <c:pt idx="6">
                  <c:v>2029</c:v>
                </c:pt>
                <c:pt idx="7">
                  <c:v>2030</c:v>
                </c:pt>
                <c:pt idx="8">
                  <c:v>2031</c:v>
                </c:pt>
                <c:pt idx="9">
                  <c:v>2032</c:v>
                </c:pt>
                <c:pt idx="10">
                  <c:v>2033</c:v>
                </c:pt>
                <c:pt idx="11">
                  <c:v>2034</c:v>
                </c:pt>
                <c:pt idx="12">
                  <c:v>2035</c:v>
                </c:pt>
                <c:pt idx="13">
                  <c:v>2036</c:v>
                </c:pt>
                <c:pt idx="14">
                  <c:v>2037</c:v>
                </c:pt>
                <c:pt idx="15">
                  <c:v>2038</c:v>
                </c:pt>
                <c:pt idx="16">
                  <c:v>2039</c:v>
                </c:pt>
                <c:pt idx="17">
                  <c:v>2040</c:v>
                </c:pt>
                <c:pt idx="18">
                  <c:v>2041</c:v>
                </c:pt>
                <c:pt idx="19">
                  <c:v>2042</c:v>
                </c:pt>
                <c:pt idx="20">
                  <c:v>2043</c:v>
                </c:pt>
                <c:pt idx="21">
                  <c:v>2044</c:v>
                </c:pt>
                <c:pt idx="22">
                  <c:v>2045</c:v>
                </c:pt>
                <c:pt idx="23">
                  <c:v>2046</c:v>
                </c:pt>
                <c:pt idx="24">
                  <c:v>2047</c:v>
                </c:pt>
                <c:pt idx="25">
                  <c:v>2048</c:v>
                </c:pt>
                <c:pt idx="26">
                  <c:v>2049</c:v>
                </c:pt>
                <c:pt idx="27">
                  <c:v>2050</c:v>
                </c:pt>
              </c:numCache>
            </c:numRef>
          </c:cat>
          <c:val>
            <c:numRef>
              <c:extLst>
                <c:ext xmlns:c15="http://schemas.microsoft.com/office/drawing/2012/chart" uri="{02D57815-91ED-43cb-92C2-25804820EDAC}">
                  <c15:fullRef>
                    <c15:sqref>'Cum. impacts (Scopes1-3)'!$I$5:$I$35</c15:sqref>
                  </c15:fullRef>
                </c:ext>
              </c:extLst>
              <c:f>'Cum. impacts (Scopes1-3)'!$I$8:$I$35</c:f>
              <c:numCache>
                <c:formatCode>General</c:formatCode>
                <c:ptCount val="28"/>
                <c:pt idx="0">
                  <c:v>1996674.9190135032</c:v>
                </c:pt>
                <c:pt idx="1">
                  <c:v>1996674.9190135032</c:v>
                </c:pt>
                <c:pt idx="2">
                  <c:v>1996674.9190135032</c:v>
                </c:pt>
                <c:pt idx="3">
                  <c:v>1996674.9190135032</c:v>
                </c:pt>
                <c:pt idx="4">
                  <c:v>1996674.9190135032</c:v>
                </c:pt>
                <c:pt idx="5">
                  <c:v>1330291.4383939004</c:v>
                </c:pt>
                <c:pt idx="6">
                  <c:v>1330291.4383939004</c:v>
                </c:pt>
                <c:pt idx="7">
                  <c:v>525595.59181854874</c:v>
                </c:pt>
                <c:pt idx="8">
                  <c:v>525595.59181854874</c:v>
                </c:pt>
                <c:pt idx="9">
                  <c:v>525595.59181854874</c:v>
                </c:pt>
                <c:pt idx="10">
                  <c:v>525595.59181854874</c:v>
                </c:pt>
                <c:pt idx="11">
                  <c:v>525595.59181854874</c:v>
                </c:pt>
                <c:pt idx="12">
                  <c:v>525595.59181854874</c:v>
                </c:pt>
                <c:pt idx="13">
                  <c:v>525595.59181854874</c:v>
                </c:pt>
                <c:pt idx="14">
                  <c:v>525595.59181854874</c:v>
                </c:pt>
                <c:pt idx="15">
                  <c:v>525595.59181854874</c:v>
                </c:pt>
                <c:pt idx="16">
                  <c:v>525595.59181854874</c:v>
                </c:pt>
                <c:pt idx="17">
                  <c:v>185764.63851698063</c:v>
                </c:pt>
                <c:pt idx="18">
                  <c:v>185764.63851698063</c:v>
                </c:pt>
                <c:pt idx="19">
                  <c:v>185764.63851698063</c:v>
                </c:pt>
                <c:pt idx="20">
                  <c:v>185764.63851698063</c:v>
                </c:pt>
                <c:pt idx="21">
                  <c:v>185764.63851698063</c:v>
                </c:pt>
                <c:pt idx="22">
                  <c:v>185764.63851698063</c:v>
                </c:pt>
                <c:pt idx="23">
                  <c:v>185764.63851698063</c:v>
                </c:pt>
                <c:pt idx="24">
                  <c:v>185764.63851698063</c:v>
                </c:pt>
                <c:pt idx="25">
                  <c:v>185764.63851698063</c:v>
                </c:pt>
                <c:pt idx="26">
                  <c:v>185764.63851698063</c:v>
                </c:pt>
                <c:pt idx="27">
                  <c:v>-73416.974816720642</c:v>
                </c:pt>
              </c:numCache>
            </c:numRef>
          </c:val>
          <c:smooth val="0"/>
          <c:extLst>
            <c:ext xmlns:c16="http://schemas.microsoft.com/office/drawing/2014/chart" uri="{C3380CC4-5D6E-409C-BE32-E72D297353CC}">
              <c16:uniqueId val="{00000003-7F30-428B-B99F-38D252BDD906}"/>
            </c:ext>
          </c:extLst>
        </c:ser>
        <c:ser>
          <c:idx val="0"/>
          <c:order val="3"/>
          <c:tx>
            <c:strRef>
              <c:f>'Cum. impacts (Scopes1-3)'!$F$4</c:f>
              <c:strCache>
                <c:ptCount val="1"/>
                <c:pt idx="0">
                  <c:v>BAU</c:v>
                </c:pt>
              </c:strCache>
            </c:strRef>
          </c:tx>
          <c:spPr>
            <a:ln w="28575" cap="rnd">
              <a:solidFill>
                <a:schemeClr val="accent1"/>
              </a:solidFill>
              <a:round/>
            </a:ln>
            <a:effectLst/>
          </c:spPr>
          <c:marker>
            <c:symbol val="none"/>
          </c:marker>
          <c:cat>
            <c:numRef>
              <c:extLst>
                <c:ext xmlns:c15="http://schemas.microsoft.com/office/drawing/2012/chart" uri="{02D57815-91ED-43cb-92C2-25804820EDAC}">
                  <c15:fullRef>
                    <c15:sqref>'Cum. impacts (Scopes1-3)'!$A$5:$A$35</c15:sqref>
                  </c15:fullRef>
                </c:ext>
              </c:extLst>
              <c:f>'Cum. impacts (Scopes1-3)'!$A$8:$A$35</c:f>
              <c:numCache>
                <c:formatCode>General</c:formatCode>
                <c:ptCount val="28"/>
                <c:pt idx="0">
                  <c:v>2023</c:v>
                </c:pt>
                <c:pt idx="1">
                  <c:v>2024</c:v>
                </c:pt>
                <c:pt idx="2">
                  <c:v>2025</c:v>
                </c:pt>
                <c:pt idx="3">
                  <c:v>2026</c:v>
                </c:pt>
                <c:pt idx="4">
                  <c:v>2027</c:v>
                </c:pt>
                <c:pt idx="5">
                  <c:v>2028</c:v>
                </c:pt>
                <c:pt idx="6">
                  <c:v>2029</c:v>
                </c:pt>
                <c:pt idx="7">
                  <c:v>2030</c:v>
                </c:pt>
                <c:pt idx="8">
                  <c:v>2031</c:v>
                </c:pt>
                <c:pt idx="9">
                  <c:v>2032</c:v>
                </c:pt>
                <c:pt idx="10">
                  <c:v>2033</c:v>
                </c:pt>
                <c:pt idx="11">
                  <c:v>2034</c:v>
                </c:pt>
                <c:pt idx="12">
                  <c:v>2035</c:v>
                </c:pt>
                <c:pt idx="13">
                  <c:v>2036</c:v>
                </c:pt>
                <c:pt idx="14">
                  <c:v>2037</c:v>
                </c:pt>
                <c:pt idx="15">
                  <c:v>2038</c:v>
                </c:pt>
                <c:pt idx="16">
                  <c:v>2039</c:v>
                </c:pt>
                <c:pt idx="17">
                  <c:v>2040</c:v>
                </c:pt>
                <c:pt idx="18">
                  <c:v>2041</c:v>
                </c:pt>
                <c:pt idx="19">
                  <c:v>2042</c:v>
                </c:pt>
                <c:pt idx="20">
                  <c:v>2043</c:v>
                </c:pt>
                <c:pt idx="21">
                  <c:v>2044</c:v>
                </c:pt>
                <c:pt idx="22">
                  <c:v>2045</c:v>
                </c:pt>
                <c:pt idx="23">
                  <c:v>2046</c:v>
                </c:pt>
                <c:pt idx="24">
                  <c:v>2047</c:v>
                </c:pt>
                <c:pt idx="25">
                  <c:v>2048</c:v>
                </c:pt>
                <c:pt idx="26">
                  <c:v>2049</c:v>
                </c:pt>
                <c:pt idx="27">
                  <c:v>2050</c:v>
                </c:pt>
              </c:numCache>
            </c:numRef>
          </c:cat>
          <c:val>
            <c:numRef>
              <c:extLst>
                <c:ext xmlns:c15="http://schemas.microsoft.com/office/drawing/2012/chart" uri="{02D57815-91ED-43cb-92C2-25804820EDAC}">
                  <c15:fullRef>
                    <c15:sqref>'Cum. impacts (Scopes1-3)'!$F$5:$F$35</c15:sqref>
                  </c15:fullRef>
                </c:ext>
              </c:extLst>
              <c:f>'Cum. impacts (Scopes1-3)'!$F$8:$F$35</c:f>
              <c:numCache>
                <c:formatCode>General</c:formatCode>
                <c:ptCount val="28"/>
                <c:pt idx="0">
                  <c:v>1996674.9190135032</c:v>
                </c:pt>
                <c:pt idx="1">
                  <c:v>1996674.9190135032</c:v>
                </c:pt>
                <c:pt idx="2">
                  <c:v>1996674.9190135032</c:v>
                </c:pt>
                <c:pt idx="3">
                  <c:v>1996674.9190135032</c:v>
                </c:pt>
                <c:pt idx="4">
                  <c:v>1996674.9190135032</c:v>
                </c:pt>
                <c:pt idx="5">
                  <c:v>1996674.9190135032</c:v>
                </c:pt>
                <c:pt idx="6">
                  <c:v>1996674.9190135032</c:v>
                </c:pt>
                <c:pt idx="7">
                  <c:v>1123109.7397441699</c:v>
                </c:pt>
                <c:pt idx="8">
                  <c:v>1123109.7397441699</c:v>
                </c:pt>
                <c:pt idx="9">
                  <c:v>1123109.7397441699</c:v>
                </c:pt>
                <c:pt idx="10">
                  <c:v>1123109.7397441699</c:v>
                </c:pt>
                <c:pt idx="11">
                  <c:v>1123109.7397441699</c:v>
                </c:pt>
                <c:pt idx="12">
                  <c:v>1123109.7397441699</c:v>
                </c:pt>
                <c:pt idx="13">
                  <c:v>1123109.7397441699</c:v>
                </c:pt>
                <c:pt idx="14">
                  <c:v>1123109.7397441699</c:v>
                </c:pt>
                <c:pt idx="15">
                  <c:v>1123109.7397441699</c:v>
                </c:pt>
                <c:pt idx="16">
                  <c:v>1123109.7397441699</c:v>
                </c:pt>
                <c:pt idx="17">
                  <c:v>754194.59136163827</c:v>
                </c:pt>
                <c:pt idx="18">
                  <c:v>754194.59136163827</c:v>
                </c:pt>
                <c:pt idx="19">
                  <c:v>754194.59136163827</c:v>
                </c:pt>
                <c:pt idx="20">
                  <c:v>754194.59136163827</c:v>
                </c:pt>
                <c:pt idx="21">
                  <c:v>754194.59136163827</c:v>
                </c:pt>
                <c:pt idx="22">
                  <c:v>754194.59136163827</c:v>
                </c:pt>
                <c:pt idx="23">
                  <c:v>754194.59136163827</c:v>
                </c:pt>
                <c:pt idx="24">
                  <c:v>754194.59136163827</c:v>
                </c:pt>
                <c:pt idx="25">
                  <c:v>754194.59136163827</c:v>
                </c:pt>
                <c:pt idx="26">
                  <c:v>754194.59136163827</c:v>
                </c:pt>
                <c:pt idx="27">
                  <c:v>472831.10044921364</c:v>
                </c:pt>
              </c:numCache>
            </c:numRef>
          </c:val>
          <c:smooth val="0"/>
          <c:extLst>
            <c:ext xmlns:c16="http://schemas.microsoft.com/office/drawing/2014/chart" uri="{C3380CC4-5D6E-409C-BE32-E72D297353CC}">
              <c16:uniqueId val="{00000000-7F30-428B-B99F-38D252BDD906}"/>
            </c:ext>
          </c:extLst>
        </c:ser>
        <c:dLbls>
          <c:showLegendKey val="0"/>
          <c:showVal val="0"/>
          <c:showCatName val="0"/>
          <c:showSerName val="0"/>
          <c:showPercent val="0"/>
          <c:showBubbleSize val="0"/>
        </c:dLbls>
        <c:smooth val="0"/>
        <c:axId val="576411024"/>
        <c:axId val="576422504"/>
      </c:lineChart>
      <c:catAx>
        <c:axId val="576411024"/>
        <c:scaling>
          <c:orientation val="minMax"/>
        </c:scaling>
        <c:delete val="0"/>
        <c:axPos val="b"/>
        <c:title>
          <c:tx>
            <c:rich>
              <a:bodyPr rot="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r>
                  <a:rPr lang="en-GB" sz="1600"/>
                  <a:t>Year</a:t>
                </a:r>
              </a:p>
            </c:rich>
          </c:tx>
          <c:layout>
            <c:manualLayout>
              <c:xMode val="edge"/>
              <c:yMode val="edge"/>
              <c:x val="0.49248318562108268"/>
              <c:y val="0.66688701038188258"/>
            </c:manualLayout>
          </c:layout>
          <c:overlay val="0"/>
          <c:spPr>
            <a:noFill/>
            <a:ln>
              <a:noFill/>
            </a:ln>
            <a:effectLst/>
          </c:spPr>
          <c:txPr>
            <a:bodyPr rot="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crossAx val="576422504"/>
        <c:crosses val="autoZero"/>
        <c:auto val="1"/>
        <c:lblAlgn val="ctr"/>
        <c:lblOffset val="100"/>
        <c:noMultiLvlLbl val="0"/>
      </c:catAx>
      <c:valAx>
        <c:axId val="57642250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800" b="0" i="0" u="none" strike="noStrike" kern="1200" baseline="0">
                    <a:solidFill>
                      <a:schemeClr val="tx1">
                        <a:lumMod val="65000"/>
                        <a:lumOff val="35000"/>
                      </a:schemeClr>
                    </a:solidFill>
                    <a:latin typeface="+mn-lt"/>
                    <a:ea typeface="+mn-ea"/>
                    <a:cs typeface="+mn-cs"/>
                  </a:defRPr>
                </a:pPr>
                <a:r>
                  <a:rPr lang="en-GB" sz="1800"/>
                  <a:t>Tonnes CO2e per year</a:t>
                </a:r>
              </a:p>
            </c:rich>
          </c:tx>
          <c:layout/>
          <c:overlay val="0"/>
          <c:spPr>
            <a:noFill/>
            <a:ln>
              <a:noFill/>
            </a:ln>
            <a:effectLst/>
          </c:spPr>
          <c:txPr>
            <a:bodyPr rot="-5400000" spcFirstLastPara="1" vertOverflow="ellipsis" vert="horz" wrap="square" anchor="ctr" anchorCtr="1"/>
            <a:lstStyle/>
            <a:p>
              <a:pPr>
                <a:defRPr sz="1800" b="0" i="0" u="none" strike="noStrike" kern="1200" baseline="0">
                  <a:solidFill>
                    <a:schemeClr val="tx1">
                      <a:lumMod val="65000"/>
                      <a:lumOff val="35000"/>
                    </a:schemeClr>
                  </a:solidFill>
                  <a:latin typeface="+mn-lt"/>
                  <a:ea typeface="+mn-ea"/>
                  <a:cs typeface="+mn-cs"/>
                </a:defRPr>
              </a:pPr>
              <a:endParaRPr lang="en-US"/>
            </a:p>
          </c:txPr>
        </c:title>
        <c:numFmt formatCode="0.0E+0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crossAx val="576411024"/>
        <c:crosses val="autoZero"/>
        <c:crossBetween val="between"/>
      </c:valAx>
      <c:spPr>
        <a:noFill/>
        <a:ln>
          <a:noFill/>
        </a:ln>
        <a:effectLst/>
      </c:spPr>
    </c:plotArea>
    <c:legend>
      <c:legendPos val="b"/>
      <c:layout>
        <c:manualLayout>
          <c:xMode val="edge"/>
          <c:yMode val="edge"/>
          <c:x val="0.24135151729013493"/>
          <c:y val="0.87147071843323121"/>
          <c:w val="0.59198223264036276"/>
          <c:h val="0.12816771380418995"/>
        </c:manualLayout>
      </c:layout>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chart" Target="../charts/chart3.xml"/><Relationship Id="rId1" Type="http://schemas.openxmlformats.org/officeDocument/2006/relationships/chart" Target="../charts/chart2.xml"/><Relationship Id="rId4" Type="http://schemas.openxmlformats.org/officeDocument/2006/relationships/chart" Target="../charts/chart5.xml"/></Relationships>
</file>

<file path=xl/drawings/_rels/drawing3.xml.rels><?xml version="1.0" encoding="UTF-8" standalone="yes"?>
<Relationships xmlns="http://schemas.openxmlformats.org/package/2006/relationships"><Relationship Id="rId3" Type="http://schemas.openxmlformats.org/officeDocument/2006/relationships/chart" Target="../charts/chart8.xml"/><Relationship Id="rId2" Type="http://schemas.openxmlformats.org/officeDocument/2006/relationships/chart" Target="../charts/chart7.xml"/><Relationship Id="rId1" Type="http://schemas.openxmlformats.org/officeDocument/2006/relationships/chart" Target="../charts/chart6.xml"/><Relationship Id="rId4" Type="http://schemas.openxmlformats.org/officeDocument/2006/relationships/chart" Target="../charts/chart9.xml"/></Relationships>
</file>

<file path=xl/drawings/drawing1.xml><?xml version="1.0" encoding="utf-8"?>
<xdr:wsDr xmlns:xdr="http://schemas.openxmlformats.org/drawingml/2006/spreadsheetDrawing" xmlns:a="http://schemas.openxmlformats.org/drawingml/2006/main">
  <xdr:twoCellAnchor>
    <xdr:from>
      <xdr:col>7</xdr:col>
      <xdr:colOff>777407</xdr:colOff>
      <xdr:row>19</xdr:row>
      <xdr:rowOff>473448</xdr:rowOff>
    </xdr:from>
    <xdr:to>
      <xdr:col>16</xdr:col>
      <xdr:colOff>930309</xdr:colOff>
      <xdr:row>53</xdr:row>
      <xdr:rowOff>100853</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11</xdr:col>
      <xdr:colOff>289216</xdr:colOff>
      <xdr:row>58</xdr:row>
      <xdr:rowOff>150668</xdr:rowOff>
    </xdr:from>
    <xdr:to>
      <xdr:col>21</xdr:col>
      <xdr:colOff>242455</xdr:colOff>
      <xdr:row>93</xdr:row>
      <xdr:rowOff>83993</xdr:rowOff>
    </xdr:to>
    <xdr:graphicFrame macro="">
      <xdr:nvGraphicFramePr>
        <xdr:cNvPr id="4"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12</xdr:col>
      <xdr:colOff>69275</xdr:colOff>
      <xdr:row>22</xdr:row>
      <xdr:rowOff>29446</xdr:rowOff>
    </xdr:from>
    <xdr:to>
      <xdr:col>21</xdr:col>
      <xdr:colOff>173185</xdr:colOff>
      <xdr:row>52</xdr:row>
      <xdr:rowOff>121228</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22</xdr:col>
      <xdr:colOff>173181</xdr:colOff>
      <xdr:row>22</xdr:row>
      <xdr:rowOff>34636</xdr:rowOff>
    </xdr:from>
    <xdr:to>
      <xdr:col>37</xdr:col>
      <xdr:colOff>132774</xdr:colOff>
      <xdr:row>53</xdr:row>
      <xdr:rowOff>120646</xdr:rowOff>
    </xdr:to>
    <xdr:graphicFrame macro="">
      <xdr:nvGraphicFramePr>
        <xdr:cNvPr id="5"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24</xdr:col>
      <xdr:colOff>0</xdr:colOff>
      <xdr:row>62</xdr:row>
      <xdr:rowOff>0</xdr:rowOff>
    </xdr:from>
    <xdr:to>
      <xdr:col>39</xdr:col>
      <xdr:colOff>415057</xdr:colOff>
      <xdr:row>96</xdr:row>
      <xdr:rowOff>129598</xdr:rowOff>
    </xdr:to>
    <xdr:graphicFrame macro="">
      <xdr:nvGraphicFramePr>
        <xdr:cNvPr id="6"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11</xdr:col>
      <xdr:colOff>17318</xdr:colOff>
      <xdr:row>13</xdr:row>
      <xdr:rowOff>155864</xdr:rowOff>
    </xdr:from>
    <xdr:to>
      <xdr:col>19</xdr:col>
      <xdr:colOff>744683</xdr:colOff>
      <xdr:row>44</xdr:row>
      <xdr:rowOff>86592</xdr:rowOff>
    </xdr:to>
    <xdr:graphicFrame macro="">
      <xdr:nvGraphicFramePr>
        <xdr:cNvPr id="7" name="Chart 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11</xdr:col>
      <xdr:colOff>69273</xdr:colOff>
      <xdr:row>57</xdr:row>
      <xdr:rowOff>155864</xdr:rowOff>
    </xdr:from>
    <xdr:to>
      <xdr:col>20</xdr:col>
      <xdr:colOff>351557</xdr:colOff>
      <xdr:row>92</xdr:row>
      <xdr:rowOff>89189</xdr:rowOff>
    </xdr:to>
    <xdr:graphicFrame macro="">
      <xdr:nvGraphicFramePr>
        <xdr:cNvPr id="9" name="Chart 8"/>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22</xdr:col>
      <xdr:colOff>0</xdr:colOff>
      <xdr:row>59</xdr:row>
      <xdr:rowOff>0</xdr:rowOff>
    </xdr:from>
    <xdr:to>
      <xdr:col>37</xdr:col>
      <xdr:colOff>443921</xdr:colOff>
      <xdr:row>93</xdr:row>
      <xdr:rowOff>129598</xdr:rowOff>
    </xdr:to>
    <xdr:graphicFrame macro="">
      <xdr:nvGraphicFramePr>
        <xdr:cNvPr id="4"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22</xdr:col>
      <xdr:colOff>0</xdr:colOff>
      <xdr:row>11</xdr:row>
      <xdr:rowOff>101330</xdr:rowOff>
    </xdr:from>
    <xdr:to>
      <xdr:col>37</xdr:col>
      <xdr:colOff>486383</xdr:colOff>
      <xdr:row>44</xdr:row>
      <xdr:rowOff>119877</xdr:rowOff>
    </xdr:to>
    <xdr:graphicFrame macro="">
      <xdr:nvGraphicFramePr>
        <xdr:cNvPr id="5"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A9"/>
  <sheetViews>
    <sheetView workbookViewId="0">
      <selection activeCell="A6" sqref="A6"/>
    </sheetView>
  </sheetViews>
  <sheetFormatPr defaultRowHeight="14.5" x14ac:dyDescent="0.35"/>
  <cols>
    <col min="1" max="1" width="10.7265625" bestFit="1" customWidth="1"/>
  </cols>
  <sheetData>
    <row r="2" spans="1:1" x14ac:dyDescent="0.35">
      <c r="A2" t="s">
        <v>68</v>
      </c>
    </row>
    <row r="3" spans="1:1" x14ac:dyDescent="0.35">
      <c r="A3" t="s">
        <v>73</v>
      </c>
    </row>
    <row r="5" spans="1:1" x14ac:dyDescent="0.35">
      <c r="A5" s="1" t="s">
        <v>42</v>
      </c>
    </row>
    <row r="6" spans="1:1" x14ac:dyDescent="0.35">
      <c r="A6" t="s">
        <v>64</v>
      </c>
    </row>
    <row r="9" spans="1:1" x14ac:dyDescent="0.35">
      <c r="A9" s="44"/>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7" tint="0.79998168889431442"/>
  </sheetPr>
  <dimension ref="A1:U38"/>
  <sheetViews>
    <sheetView tabSelected="1" topLeftCell="J32" zoomScale="85" zoomScaleNormal="85" workbookViewId="0">
      <selection activeCell="Q17" sqref="Q17"/>
    </sheetView>
  </sheetViews>
  <sheetFormatPr defaultRowHeight="14.5" x14ac:dyDescent="0.35"/>
  <cols>
    <col min="1" max="1" width="29.1796875" customWidth="1"/>
    <col min="2" max="2" width="20.54296875" customWidth="1"/>
    <col min="3" max="3" width="14.453125" customWidth="1"/>
    <col min="4" max="5" width="13.26953125" customWidth="1"/>
    <col min="6" max="6" width="13.54296875" hidden="1" customWidth="1"/>
    <col min="7" max="7" width="12.453125" customWidth="1"/>
    <col min="8" max="8" width="16.26953125" customWidth="1"/>
    <col min="9" max="9" width="27.1796875" customWidth="1"/>
    <col min="10" max="10" width="18.1796875" customWidth="1"/>
    <col min="11" max="11" width="16.26953125" customWidth="1"/>
    <col min="12" max="12" width="18" customWidth="1"/>
    <col min="13" max="16" width="13.7265625" customWidth="1"/>
    <col min="17" max="17" width="15.1796875" bestFit="1" customWidth="1"/>
    <col min="20" max="20" width="14" bestFit="1" customWidth="1"/>
  </cols>
  <sheetData>
    <row r="1" spans="1:21" x14ac:dyDescent="0.35">
      <c r="A1" s="10" t="s">
        <v>74</v>
      </c>
      <c r="B1" s="38"/>
      <c r="P1" s="6"/>
      <c r="Q1" s="6"/>
    </row>
    <row r="2" spans="1:21" x14ac:dyDescent="0.35">
      <c r="P2" s="6"/>
      <c r="Q2" s="6"/>
    </row>
    <row r="3" spans="1:21" x14ac:dyDescent="0.35">
      <c r="G3" s="45"/>
      <c r="P3" s="6"/>
      <c r="Q3" s="6"/>
    </row>
    <row r="4" spans="1:21" x14ac:dyDescent="0.35">
      <c r="B4" s="56" t="s">
        <v>7</v>
      </c>
      <c r="C4" s="56"/>
      <c r="D4" s="56"/>
      <c r="E4" s="56"/>
      <c r="G4" s="46"/>
      <c r="J4" s="56" t="s">
        <v>69</v>
      </c>
      <c r="K4" s="56"/>
      <c r="L4" s="56"/>
      <c r="M4" s="56"/>
      <c r="N4" s="56"/>
      <c r="O4" s="56"/>
      <c r="P4" s="56"/>
      <c r="Q4" s="56"/>
    </row>
    <row r="5" spans="1:21" ht="15" customHeight="1" x14ac:dyDescent="0.35">
      <c r="B5" s="7" t="s">
        <v>65</v>
      </c>
      <c r="C5" s="1" t="s">
        <v>51</v>
      </c>
      <c r="D5" s="1" t="s">
        <v>52</v>
      </c>
      <c r="E5" s="1" t="s">
        <v>53</v>
      </c>
      <c r="F5" s="1" t="s">
        <v>33</v>
      </c>
      <c r="J5" s="56" t="s">
        <v>65</v>
      </c>
      <c r="K5" s="56"/>
      <c r="L5" s="56" t="s">
        <v>51</v>
      </c>
      <c r="M5" s="56"/>
      <c r="N5" s="56" t="s">
        <v>52</v>
      </c>
      <c r="O5" s="56"/>
      <c r="P5" s="56" t="s">
        <v>53</v>
      </c>
      <c r="Q5" s="56"/>
    </row>
    <row r="6" spans="1:21" x14ac:dyDescent="0.35">
      <c r="A6" t="s">
        <v>0</v>
      </c>
      <c r="B6" s="6">
        <v>87903.24874590087</v>
      </c>
      <c r="C6" s="6">
        <v>87903.24874590087</v>
      </c>
      <c r="D6" s="6">
        <v>87903.24874590087</v>
      </c>
      <c r="E6" s="6">
        <v>87903.24874590087</v>
      </c>
      <c r="F6" s="2">
        <f>(1-$G$4)*B6</f>
        <v>87903.24874590087</v>
      </c>
      <c r="I6" t="s">
        <v>55</v>
      </c>
      <c r="J6" s="37">
        <f>B6*'Cum. impacts (Scopes1-4)'!$O$6+B7*(1-'Cum. impacts (Scopes1-4)'!$O$7)</f>
        <v>139591.53059535293</v>
      </c>
      <c r="L6" s="37">
        <f>C6*'Cum. impacts (Scopes1-4)'!$O$6+C7*(1-'Cum. impacts (Scopes1-4)'!$O$7)</f>
        <v>139591.53059535293</v>
      </c>
      <c r="N6" s="37">
        <f>D6*'Cum. impacts (Scopes1-4)'!$O$6+D7*(1-'Cum. impacts (Scopes1-4)'!$O$7)</f>
        <v>139591.53059535293</v>
      </c>
      <c r="P6" s="37">
        <f>E6*'Cum. impacts (Scopes1-4)'!$O$6+E7*(1-'Cum. impacts (Scopes1-4)'!$O$7)</f>
        <v>139591.53059535293</v>
      </c>
      <c r="Q6" s="6"/>
    </row>
    <row r="7" spans="1:21" x14ac:dyDescent="0.35">
      <c r="A7" t="s">
        <v>1</v>
      </c>
      <c r="B7" s="6">
        <v>165049.9380734413</v>
      </c>
      <c r="C7" s="6">
        <v>165049.9380734413</v>
      </c>
      <c r="D7" s="6">
        <v>165049.9380734413</v>
      </c>
      <c r="E7" s="6">
        <v>165049.9380734413</v>
      </c>
      <c r="F7" s="2">
        <f t="shared" ref="F7:F13" si="0">(1-$G$4)*B7</f>
        <v>165049.9380734413</v>
      </c>
      <c r="I7" t="s">
        <v>56</v>
      </c>
      <c r="J7" s="36">
        <f>B8*(1-'Cum. impacts (Scopes1-4)'!$O$8)</f>
        <v>180545.94512311116</v>
      </c>
      <c r="L7" s="36">
        <f>C8*(1-'Cum. impacts (Scopes1-4)'!$O$8)</f>
        <v>240714.08128781785</v>
      </c>
      <c r="N7" s="36">
        <f>D8*(1-'Cum. impacts (Scopes1-4)'!$O$8)</f>
        <v>208209.52349007406</v>
      </c>
      <c r="P7" s="36">
        <f>E8*(1-'Cum. impacts (Scopes1-4)'!$O$8)</f>
        <v>240714.08128781785</v>
      </c>
      <c r="Q7" s="6"/>
    </row>
    <row r="8" spans="1:21" x14ac:dyDescent="0.35">
      <c r="A8" t="s">
        <v>2</v>
      </c>
      <c r="B8" s="6">
        <v>475120.90821871359</v>
      </c>
      <c r="C8" s="6">
        <v>633458.10865215224</v>
      </c>
      <c r="D8" s="6">
        <v>547919.7986580896</v>
      </c>
      <c r="E8" s="6">
        <v>633458.10865215224</v>
      </c>
      <c r="F8" s="2">
        <f t="shared" si="0"/>
        <v>475120.90821871359</v>
      </c>
      <c r="H8" s="54">
        <f>J8/(J6+J7+J8+J9)</f>
        <v>0.63051204542247019</v>
      </c>
      <c r="I8" s="8" t="s">
        <v>57</v>
      </c>
      <c r="J8" s="36">
        <f>B9*(1-'Cum. impacts (Scopes1-4)'!$O$9)*0.6+K8</f>
        <v>713433.74685274228</v>
      </c>
      <c r="K8" s="36">
        <f>B9*(1-'Cum. impacts (Scopes1-4)'!$O$9)*0.4</f>
        <v>285373.49874109693</v>
      </c>
      <c r="L8" s="36">
        <f>C9*(1-'Cum. impacts (Scopes1-4)'!$O$9)*0.6+M8</f>
        <v>394623.51409297338</v>
      </c>
      <c r="M8" s="36">
        <f>C9*(1-'Cum. impacts (Scopes1-4)'!$O$9)*0.4</f>
        <v>157849.40563718937</v>
      </c>
      <c r="N8" s="36">
        <f>D9*(1-'Cum. impacts (Scopes1-4)'!$O$9)-O8+O8</f>
        <v>624586.92472645908</v>
      </c>
      <c r="O8" s="36">
        <f>K8</f>
        <v>285373.49874109693</v>
      </c>
      <c r="P8" s="36">
        <f>E9*(1-'Cum. impacts (Scopes1-4)'!$O$9)-Q8+Q8</f>
        <v>475621.84465304122</v>
      </c>
      <c r="Q8" s="36">
        <f>K8*0.8</f>
        <v>228298.79899287756</v>
      </c>
      <c r="T8" s="2">
        <f>J6+J7+J9</f>
        <v>418081.11005171394</v>
      </c>
      <c r="U8">
        <f>K8/T8</f>
        <v>0.68257926962018944</v>
      </c>
    </row>
    <row r="9" spans="1:21" x14ac:dyDescent="0.35">
      <c r="A9" s="8" t="s">
        <v>3</v>
      </c>
      <c r="B9" s="6">
        <v>1783584.3671318556</v>
      </c>
      <c r="C9" s="6">
        <v>986558.78523243335</v>
      </c>
      <c r="D9" s="6">
        <v>1561467.3118161478</v>
      </c>
      <c r="E9" s="6">
        <v>1189054.611632603</v>
      </c>
      <c r="F9" s="2">
        <f t="shared" si="0"/>
        <v>1783584.3671318556</v>
      </c>
      <c r="G9" s="4">
        <f>D9/B9</f>
        <v>0.87546591043916266</v>
      </c>
      <c r="H9" s="41"/>
      <c r="I9" s="5" t="s">
        <v>58</v>
      </c>
      <c r="J9" s="36">
        <f>B10*(1-'Cum. impacts (Scopes1-4)'!$O$10)</f>
        <v>97943.634333249807</v>
      </c>
      <c r="L9" s="36">
        <f>C10*(1-'Cum. impacts (Scopes1-4)'!$O$10)</f>
        <v>91614.169682123247</v>
      </c>
      <c r="N9" s="36">
        <f>D10*(1-'Cum. impacts (Scopes1-4)'!$O$10)</f>
        <v>85813.973640188269</v>
      </c>
      <c r="P9" s="36">
        <f>E10*(1-'Cum. impacts (Scopes1-4)'!$O$10)</f>
        <v>80755.503493702199</v>
      </c>
      <c r="Q9" s="6"/>
      <c r="T9" s="2">
        <f>J6+J7+J8+J9</f>
        <v>1131514.8569044562</v>
      </c>
      <c r="U9">
        <f>J8/T9</f>
        <v>0.63051204542247019</v>
      </c>
    </row>
    <row r="10" spans="1:21" x14ac:dyDescent="0.35">
      <c r="A10" s="5" t="s">
        <v>4</v>
      </c>
      <c r="B10" s="6">
        <v>257746.40614013106</v>
      </c>
      <c r="C10" s="6">
        <v>241089.92021611379</v>
      </c>
      <c r="D10" s="6">
        <v>225826.24642154807</v>
      </c>
      <c r="E10" s="6">
        <v>212514.48287816369</v>
      </c>
      <c r="F10" s="2">
        <f t="shared" si="0"/>
        <v>257746.40614013106</v>
      </c>
      <c r="I10" t="s">
        <v>54</v>
      </c>
      <c r="J10" s="39">
        <f>B12</f>
        <v>0</v>
      </c>
      <c r="L10" s="39">
        <f>C12</f>
        <v>-195198.42852268054</v>
      </c>
      <c r="N10" s="39">
        <f>D12</f>
        <v>-421611.17859639297</v>
      </c>
      <c r="P10" s="39">
        <f>E12</f>
        <v>-508971.44939110818</v>
      </c>
    </row>
    <row r="11" spans="1:21" ht="16.5" customHeight="1" x14ac:dyDescent="0.35">
      <c r="A11" t="s">
        <v>5</v>
      </c>
      <c r="B11" s="9">
        <v>-7010055.0047313403</v>
      </c>
      <c r="C11" s="9">
        <f>B11</f>
        <v>-7010055.0047313403</v>
      </c>
      <c r="D11" s="9">
        <f>B11+G11</f>
        <v>-6597596.8609939292</v>
      </c>
      <c r="E11" s="9">
        <f>B11+G11</f>
        <v>-6597596.8609939292</v>
      </c>
      <c r="F11" s="27">
        <f t="shared" si="0"/>
        <v>-7010055.0047313403</v>
      </c>
      <c r="G11" s="6">
        <v>412458.14373741101</v>
      </c>
      <c r="I11" t="s">
        <v>21</v>
      </c>
      <c r="J11" s="40">
        <f>B13*'Cum. impacts (Scopes1-4)'!$O$12</f>
        <v>0</v>
      </c>
      <c r="L11" s="6">
        <f>C13*'Cum. impacts (Scopes1-4)'!$O$12</f>
        <v>317986.91052825522</v>
      </c>
      <c r="M11" s="6"/>
      <c r="N11" s="6">
        <f>D13*'Cum. impacts (Scopes1-4)'!$O$12</f>
        <v>-45234.657305574408</v>
      </c>
      <c r="O11" s="6"/>
      <c r="P11" s="6">
        <f>E13*'Cum. impacts (Scopes1-4)'!$O$12</f>
        <v>106695.10390754415</v>
      </c>
    </row>
    <row r="12" spans="1:21" x14ac:dyDescent="0.35">
      <c r="A12" t="s">
        <v>20</v>
      </c>
      <c r="B12" s="6"/>
      <c r="C12" s="6">
        <v>-195198.42852268054</v>
      </c>
      <c r="D12" s="6">
        <v>-421611.17859639297</v>
      </c>
      <c r="E12" s="6">
        <v>-508971.44939110818</v>
      </c>
      <c r="F12" s="2">
        <f t="shared" si="0"/>
        <v>0</v>
      </c>
      <c r="G12" s="31"/>
      <c r="I12" t="s">
        <v>47</v>
      </c>
      <c r="J12" s="40">
        <f>B14</f>
        <v>0</v>
      </c>
      <c r="L12" s="40">
        <f>C14</f>
        <v>0</v>
      </c>
      <c r="N12" s="39">
        <f>D14</f>
        <v>-1415163.08759224</v>
      </c>
      <c r="P12" s="40">
        <f>E14</f>
        <v>-1415163.08759224</v>
      </c>
      <c r="Q12" s="6">
        <f>(2050-2027)*P12</f>
        <v>-32548751.014621519</v>
      </c>
    </row>
    <row r="13" spans="1:21" x14ac:dyDescent="0.35">
      <c r="A13" t="s">
        <v>21</v>
      </c>
      <c r="C13" s="6">
        <v>784103.69611469773</v>
      </c>
      <c r="D13" s="6">
        <v>-111541.26415725841</v>
      </c>
      <c r="E13" s="6">
        <v>263092.67004816968</v>
      </c>
      <c r="F13" s="2">
        <f t="shared" si="0"/>
        <v>0</v>
      </c>
      <c r="G13" s="14"/>
      <c r="I13" t="s">
        <v>48</v>
      </c>
      <c r="J13" s="34">
        <f>B11*'Cum. impacts (Scopes1-4)'!$O$17</f>
        <v>-3221203.6191289905</v>
      </c>
      <c r="L13" s="34">
        <f>C11*'Cum. impacts (Scopes1-4)'!$O$17</f>
        <v>-3221203.6191289905</v>
      </c>
      <c r="N13" s="34">
        <f>D11*'Cum. impacts (Scopes1-4)'!$O$17</f>
        <v>-3031674.1982543403</v>
      </c>
      <c r="P13" s="34">
        <f>E11*'Cum. impacts (Scopes1-4)'!$O$17</f>
        <v>-3031674.1982543403</v>
      </c>
    </row>
    <row r="14" spans="1:21" x14ac:dyDescent="0.35">
      <c r="A14" t="s">
        <v>41</v>
      </c>
      <c r="C14" s="6"/>
      <c r="D14" s="6">
        <v>-1415163.08759224</v>
      </c>
      <c r="E14" s="6">
        <v>-1415163.08759224</v>
      </c>
      <c r="F14" s="2"/>
      <c r="G14" s="14"/>
      <c r="I14" t="s">
        <v>49</v>
      </c>
      <c r="J14" s="2">
        <f>SUM(J6:J10)</f>
        <v>1131514.8569044562</v>
      </c>
      <c r="L14" s="2">
        <f>SUM(L6:L10)</f>
        <v>671344.8671355868</v>
      </c>
      <c r="N14" s="2">
        <f>SUM(N6:N10)</f>
        <v>636590.7738556813</v>
      </c>
      <c r="P14" s="2">
        <f>SUM(P6:P10)</f>
        <v>427711.51063880598</v>
      </c>
    </row>
    <row r="15" spans="1:21" x14ac:dyDescent="0.35">
      <c r="A15" t="s">
        <v>50</v>
      </c>
      <c r="B15" s="3">
        <f>SUM(B6:B14)</f>
        <v>-4240650.1364212986</v>
      </c>
      <c r="C15" s="3">
        <f>SUM(C6:C14)</f>
        <v>-4307089.7362192823</v>
      </c>
      <c r="D15" s="3">
        <f>SUM(D6:D14)</f>
        <v>-5957745.8476246931</v>
      </c>
      <c r="E15" s="3">
        <f>SUM(E6:E14)</f>
        <v>-5970658.3379468471</v>
      </c>
      <c r="F15" s="3">
        <f>SUM(F6:F13)</f>
        <v>-4240650.1364212986</v>
      </c>
      <c r="I15" t="s">
        <v>50</v>
      </c>
      <c r="J15" s="3">
        <f>SUM(J6:J13)</f>
        <v>-2089688.7622245343</v>
      </c>
      <c r="L15" s="3">
        <f>SUM(L6:L13)</f>
        <v>-2231871.8414651481</v>
      </c>
      <c r="N15" s="3">
        <f>SUM(N6:N13)</f>
        <v>-3855481.1692964733</v>
      </c>
      <c r="P15" s="3">
        <f>SUM(P6:P13)</f>
        <v>-3912430.6713002301</v>
      </c>
    </row>
    <row r="16" spans="1:21" x14ac:dyDescent="0.35">
      <c r="B16" s="3"/>
      <c r="C16" s="3">
        <f>C15-$B$15</f>
        <v>-66439.599797983654</v>
      </c>
      <c r="D16" s="3">
        <f>D15-$B$15</f>
        <v>-1717095.7112033945</v>
      </c>
      <c r="E16" s="3">
        <f>E15-$B$15</f>
        <v>-1730008.2015255485</v>
      </c>
      <c r="F16" s="3">
        <f>F15-$B$15</f>
        <v>0</v>
      </c>
      <c r="L16" s="4">
        <f>(L14-$J$14)/$J$14</f>
        <v>-0.40668488527652236</v>
      </c>
    </row>
    <row r="17" spans="1:17" x14ac:dyDescent="0.35">
      <c r="A17" t="s">
        <v>30</v>
      </c>
      <c r="B17" s="3"/>
      <c r="C17" s="4">
        <f>($B$15-C15)/$B$15</f>
        <v>-1.5667314600504228E-2</v>
      </c>
      <c r="D17" s="4">
        <f>($B$15-D15)/$B$15</f>
        <v>-0.40491331658226781</v>
      </c>
      <c r="E17" s="4">
        <f>($B$15-E15)/$B$15</f>
        <v>-0.40795824835139766</v>
      </c>
      <c r="F17" s="4">
        <f>($B$15-F15)/$B$15</f>
        <v>0</v>
      </c>
      <c r="J17">
        <f>J13/J15</f>
        <v>1.5414753035757947</v>
      </c>
      <c r="L17" s="4">
        <f>(L15-$J$15)/$J$15</f>
        <v>6.804031385480383E-2</v>
      </c>
      <c r="N17" s="55">
        <f>(N15-$J$15)/$J$15</f>
        <v>0.84500258554876939</v>
      </c>
      <c r="O17" s="11"/>
      <c r="P17" s="55">
        <f>(P15-$J$15)/$J$15</f>
        <v>0.87225520949604674</v>
      </c>
      <c r="Q17" s="55">
        <f>(P15-$N$15)/$N$15</f>
        <v>1.4771049190248969E-2</v>
      </c>
    </row>
    <row r="18" spans="1:17" x14ac:dyDescent="0.35">
      <c r="A18" s="20" t="s">
        <v>8</v>
      </c>
      <c r="B18" s="21">
        <f>SUM(B6:B10)+B12+B13+B14</f>
        <v>2769404.8683100422</v>
      </c>
      <c r="C18" s="21">
        <f>SUM(C6:C10)+C12+C13+C14</f>
        <v>2702965.268512059</v>
      </c>
      <c r="D18" s="21">
        <f>SUM(D6:D10)+D12+D13+D14</f>
        <v>639851.01336923614</v>
      </c>
      <c r="E18" s="21">
        <f>SUM(E6:E10)+E12+E13+E14</f>
        <v>626938.52304708213</v>
      </c>
      <c r="F18" s="21">
        <f>SUM(F6:F10)+F12+F13</f>
        <v>2769404.8683100422</v>
      </c>
      <c r="G18" s="3"/>
      <c r="I18" s="3"/>
      <c r="J18" s="4"/>
      <c r="K18" s="4"/>
      <c r="N18" s="12">
        <f>(N15-$L$15)/$L$15</f>
        <v>0.72746530408550725</v>
      </c>
      <c r="O18" s="11"/>
      <c r="P18" s="55">
        <f>(P15-$L$15)/$L$15</f>
        <v>0.75298177906660269</v>
      </c>
      <c r="Q18" s="11"/>
    </row>
    <row r="19" spans="1:17" ht="43.5" x14ac:dyDescent="0.35">
      <c r="A19" s="51" t="s">
        <v>70</v>
      </c>
      <c r="B19" s="52">
        <f>SUM(B6:B10)+B13</f>
        <v>2769404.8683100422</v>
      </c>
      <c r="C19" s="52">
        <f>SUM(C6:C10)+C13</f>
        <v>2898163.697034739</v>
      </c>
      <c r="D19" s="52">
        <f>SUM(D6:D10)+D13</f>
        <v>2476625.2795578693</v>
      </c>
      <c r="E19" s="52">
        <f>SUM(E6:E10)+E13</f>
        <v>2551073.0600304306</v>
      </c>
      <c r="F19" s="16">
        <f>SUM(F6:F10)+F13</f>
        <v>2769404.8683100422</v>
      </c>
      <c r="N19" s="4">
        <f>N12/J14</f>
        <v>-1.2506800763215562</v>
      </c>
    </row>
    <row r="20" spans="1:17" ht="43.5" x14ac:dyDescent="0.35">
      <c r="A20" s="17" t="s">
        <v>43</v>
      </c>
      <c r="B20" s="15">
        <f>B15-B12-B14</f>
        <v>-4240650.1364212986</v>
      </c>
      <c r="C20" s="15">
        <f>C15-C12-C14</f>
        <v>-4111891.3076966018</v>
      </c>
      <c r="D20" s="15">
        <f>D15-D12-D14</f>
        <v>-4120971.5814360599</v>
      </c>
      <c r="E20" s="15">
        <f>E15-E12-E14</f>
        <v>-4046523.8009634991</v>
      </c>
      <c r="F20" s="15">
        <f>F15-F12</f>
        <v>-4240650.1364212986</v>
      </c>
    </row>
    <row r="21" spans="1:17" x14ac:dyDescent="0.35">
      <c r="A21" s="20" t="s">
        <v>22</v>
      </c>
      <c r="B21" s="21">
        <f>SUM(B6:B10)+B13</f>
        <v>2769404.8683100422</v>
      </c>
      <c r="C21" s="21">
        <f>SUM(C6:C10)+C13</f>
        <v>2898163.697034739</v>
      </c>
      <c r="D21" s="21">
        <f>SUM(D6:D10)+D13</f>
        <v>2476625.2795578693</v>
      </c>
      <c r="E21" s="21">
        <f>SUM(E6:E10)+E13</f>
        <v>2551073.0600304306</v>
      </c>
      <c r="F21" s="26">
        <f>(1-$G$4)*B21</f>
        <v>2769404.8683100422</v>
      </c>
    </row>
    <row r="22" spans="1:17" ht="18.75" customHeight="1" x14ac:dyDescent="0.35">
      <c r="A22" s="20" t="s">
        <v>29</v>
      </c>
      <c r="B22" s="22"/>
      <c r="C22" s="23">
        <f>($B$21-C21)/$B$21</f>
        <v>-4.6493320712355256E-2</v>
      </c>
      <c r="D22" s="23">
        <f>($B$21-D21)/$B$21</f>
        <v>0.10571931612542954</v>
      </c>
      <c r="E22" s="23">
        <f>($B$21-E21)/$B$21</f>
        <v>7.8837085461196207E-2</v>
      </c>
      <c r="F22" s="23">
        <f>($B$21-F21)/$B$21</f>
        <v>0</v>
      </c>
    </row>
    <row r="23" spans="1:17" x14ac:dyDescent="0.35">
      <c r="A23" s="20" t="s">
        <v>23</v>
      </c>
      <c r="B23" s="24">
        <f>SUM(B6:B10)</f>
        <v>2769404.8683100422</v>
      </c>
      <c r="C23" s="24">
        <f>SUM(C6:C10)</f>
        <v>2114060.0009200415</v>
      </c>
      <c r="D23" s="24">
        <f>SUM(D6:D10)</f>
        <v>2588166.5437151277</v>
      </c>
      <c r="E23" s="24">
        <f>SUM(E6:E10)</f>
        <v>2287980.3899822608</v>
      </c>
      <c r="F23" s="26">
        <f>(1-G4)*B23</f>
        <v>2769404.8683100422</v>
      </c>
    </row>
    <row r="24" spans="1:17" ht="18.75" customHeight="1" x14ac:dyDescent="0.35">
      <c r="A24" s="20" t="s">
        <v>28</v>
      </c>
      <c r="B24" s="22"/>
      <c r="C24" s="23">
        <f>($B$23-C23)/$B$21</f>
        <v>0.23663743603870677</v>
      </c>
      <c r="D24" s="23">
        <f>($B$23-D23)/$B$21</f>
        <v>6.5443058423418771E-2</v>
      </c>
      <c r="E24" s="23">
        <f>($B$23-E23)/$B$21</f>
        <v>0.17383679931983304</v>
      </c>
      <c r="F24" s="23">
        <f>($B$23-F23)/$B$21</f>
        <v>0</v>
      </c>
    </row>
    <row r="25" spans="1:17" ht="18.75" customHeight="1" x14ac:dyDescent="0.35">
      <c r="A25" s="13"/>
      <c r="B25" s="13"/>
      <c r="C25" s="13"/>
      <c r="D25" s="13"/>
      <c r="E25" s="13"/>
    </row>
    <row r="26" spans="1:17" x14ac:dyDescent="0.35">
      <c r="A26" s="42"/>
      <c r="B26" s="42"/>
      <c r="C26" s="42"/>
      <c r="D26" s="42"/>
      <c r="E26" s="42"/>
    </row>
    <row r="27" spans="1:17" x14ac:dyDescent="0.35">
      <c r="A27" s="42"/>
      <c r="B27" s="42"/>
      <c r="C27" s="42"/>
      <c r="D27" s="42"/>
      <c r="E27" s="42"/>
    </row>
    <row r="28" spans="1:17" x14ac:dyDescent="0.35">
      <c r="A28" s="42"/>
      <c r="B28" s="42"/>
      <c r="C28" s="42"/>
      <c r="D28" s="42"/>
      <c r="E28" s="42"/>
    </row>
    <row r="29" spans="1:17" x14ac:dyDescent="0.35">
      <c r="A29" s="42"/>
      <c r="B29" s="42"/>
      <c r="C29" s="42"/>
      <c r="D29" s="42"/>
      <c r="E29" s="42"/>
    </row>
    <row r="30" spans="1:17" x14ac:dyDescent="0.35">
      <c r="A30" s="42"/>
      <c r="B30" s="42"/>
      <c r="C30" s="42"/>
      <c r="D30" s="42"/>
      <c r="E30" s="42"/>
    </row>
    <row r="31" spans="1:17" x14ac:dyDescent="0.35">
      <c r="A31" s="42"/>
      <c r="B31" s="42"/>
      <c r="C31" s="42"/>
      <c r="D31" s="42"/>
      <c r="E31" s="42"/>
    </row>
    <row r="32" spans="1:17" x14ac:dyDescent="0.35">
      <c r="A32" s="42"/>
      <c r="B32" s="42"/>
      <c r="C32" s="42"/>
      <c r="D32" s="42"/>
      <c r="E32" s="42"/>
    </row>
    <row r="33" spans="1:5" x14ac:dyDescent="0.35">
      <c r="A33" s="42"/>
      <c r="B33" s="42"/>
      <c r="C33" s="42"/>
      <c r="D33" s="42"/>
      <c r="E33" s="42"/>
    </row>
    <row r="34" spans="1:5" x14ac:dyDescent="0.35">
      <c r="A34" s="42"/>
      <c r="B34" s="42"/>
      <c r="C34" s="42"/>
      <c r="D34" s="42"/>
      <c r="E34" s="42"/>
    </row>
    <row r="35" spans="1:5" x14ac:dyDescent="0.35">
      <c r="A35" s="42"/>
      <c r="B35" s="42"/>
      <c r="C35" s="42"/>
      <c r="D35" s="42"/>
      <c r="E35" s="42"/>
    </row>
    <row r="36" spans="1:5" x14ac:dyDescent="0.35">
      <c r="A36" s="42"/>
      <c r="B36" s="42"/>
      <c r="C36" s="42"/>
      <c r="D36" s="42"/>
      <c r="E36" s="42"/>
    </row>
    <row r="37" spans="1:5" x14ac:dyDescent="0.35">
      <c r="A37" s="42"/>
      <c r="B37" s="42"/>
      <c r="C37" s="42"/>
      <c r="D37" s="42"/>
      <c r="E37" s="42"/>
    </row>
    <row r="38" spans="1:5" x14ac:dyDescent="0.35">
      <c r="A38" s="42"/>
      <c r="B38" s="42"/>
      <c r="C38" s="42"/>
      <c r="D38" s="42"/>
      <c r="E38" s="42"/>
    </row>
  </sheetData>
  <mergeCells count="6">
    <mergeCell ref="P5:Q5"/>
    <mergeCell ref="N5:O5"/>
    <mergeCell ref="L5:M5"/>
    <mergeCell ref="J5:K5"/>
    <mergeCell ref="B4:E4"/>
    <mergeCell ref="J4:Q4"/>
  </mergeCells>
  <pageMargins left="0.7" right="0.7" top="0.75" bottom="0.75" header="0.3" footer="0.3"/>
  <pageSetup paperSize="9" orientation="portrait" r:id="rId1"/>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7" tint="0.79998168889431442"/>
  </sheetPr>
  <dimension ref="A1:S114"/>
  <sheetViews>
    <sheetView zoomScale="55" zoomScaleNormal="55" workbookViewId="0">
      <pane xSplit="1" ySplit="4" topLeftCell="P43" activePane="bottomRight" state="frozen"/>
      <selection pane="topRight" activeCell="B1" sqref="B1"/>
      <selection pane="bottomLeft" activeCell="A5" sqref="A5"/>
      <selection pane="bottomRight" activeCell="K92" sqref="K92"/>
    </sheetView>
  </sheetViews>
  <sheetFormatPr defaultRowHeight="14.5" x14ac:dyDescent="0.35"/>
  <cols>
    <col min="1" max="6" width="26.7265625" customWidth="1"/>
    <col min="7" max="9" width="20.1796875" customWidth="1"/>
    <col min="10" max="10" width="21.54296875" customWidth="1"/>
    <col min="13" max="13" width="28.453125" customWidth="1"/>
    <col min="14" max="19" width="13.81640625" customWidth="1"/>
  </cols>
  <sheetData>
    <row r="1" spans="1:19" x14ac:dyDescent="0.35">
      <c r="A1" s="1" t="s">
        <v>67</v>
      </c>
      <c r="E1" s="50"/>
      <c r="G1" s="1"/>
      <c r="H1" s="1"/>
      <c r="I1" s="1"/>
    </row>
    <row r="2" spans="1:19" ht="9" customHeight="1" x14ac:dyDescent="0.35">
      <c r="G2" s="1"/>
      <c r="H2" s="1"/>
      <c r="I2" s="1"/>
      <c r="J2" s="1"/>
    </row>
    <row r="3" spans="1:19" ht="31.5" customHeight="1" x14ac:dyDescent="0.35">
      <c r="A3" t="s">
        <v>34</v>
      </c>
      <c r="B3" s="57" t="s">
        <v>46</v>
      </c>
      <c r="C3" s="57"/>
      <c r="D3" s="57"/>
      <c r="E3" s="57"/>
      <c r="F3" s="58" t="s">
        <v>45</v>
      </c>
      <c r="G3" s="58"/>
      <c r="H3" s="58"/>
      <c r="I3" s="58"/>
      <c r="J3" s="12"/>
    </row>
    <row r="4" spans="1:19" x14ac:dyDescent="0.35">
      <c r="B4" s="7" t="s">
        <v>65</v>
      </c>
      <c r="C4" s="1" t="s">
        <v>51</v>
      </c>
      <c r="D4" s="1" t="s">
        <v>52</v>
      </c>
      <c r="E4" s="1" t="s">
        <v>53</v>
      </c>
      <c r="F4" s="1" t="s">
        <v>65</v>
      </c>
      <c r="G4" s="1" t="s">
        <v>51</v>
      </c>
      <c r="H4" s="1" t="s">
        <v>52</v>
      </c>
      <c r="I4" s="1" t="s">
        <v>53</v>
      </c>
      <c r="N4" s="1" t="s">
        <v>75</v>
      </c>
    </row>
    <row r="5" spans="1:19" x14ac:dyDescent="0.35">
      <c r="A5">
        <v>2020</v>
      </c>
      <c r="B5">
        <v>0</v>
      </c>
      <c r="C5">
        <f>B5</f>
        <v>0</v>
      </c>
      <c r="D5">
        <f>B5</f>
        <v>0</v>
      </c>
      <c r="E5">
        <f>B5</f>
        <v>0</v>
      </c>
      <c r="F5" s="2">
        <v>0</v>
      </c>
      <c r="G5" s="2">
        <v>0</v>
      </c>
      <c r="H5" s="2">
        <v>0</v>
      </c>
      <c r="I5" s="2">
        <v>0</v>
      </c>
      <c r="N5" t="s">
        <v>9</v>
      </c>
      <c r="O5" t="s">
        <v>10</v>
      </c>
      <c r="P5" t="s">
        <v>11</v>
      </c>
      <c r="Q5" t="s">
        <v>12</v>
      </c>
      <c r="R5" s="59" t="s">
        <v>13</v>
      </c>
      <c r="S5" t="s">
        <v>14</v>
      </c>
    </row>
    <row r="6" spans="1:19" x14ac:dyDescent="0.35">
      <c r="A6">
        <v>2021</v>
      </c>
      <c r="B6">
        <f>B5</f>
        <v>0</v>
      </c>
      <c r="C6">
        <f>C5</f>
        <v>0</v>
      </c>
      <c r="D6">
        <f>D5</f>
        <v>0</v>
      </c>
      <c r="E6">
        <f>E5</f>
        <v>0</v>
      </c>
      <c r="F6" s="2">
        <v>0</v>
      </c>
      <c r="G6" s="2">
        <v>0</v>
      </c>
      <c r="H6" s="2">
        <v>0</v>
      </c>
      <c r="I6" s="2">
        <v>0</v>
      </c>
      <c r="M6" t="s">
        <v>15</v>
      </c>
      <c r="N6" s="4">
        <v>0.13</v>
      </c>
      <c r="O6" s="4">
        <v>0.33</v>
      </c>
      <c r="P6" s="4">
        <v>0.67</v>
      </c>
      <c r="Q6" s="4">
        <v>1</v>
      </c>
      <c r="R6" s="60">
        <v>1</v>
      </c>
      <c r="S6" s="4">
        <v>3.5560363448052447E-2</v>
      </c>
    </row>
    <row r="7" spans="1:19" x14ac:dyDescent="0.35">
      <c r="A7">
        <v>2022</v>
      </c>
      <c r="B7">
        <f>B6</f>
        <v>0</v>
      </c>
      <c r="C7">
        <f t="shared" ref="C7:C14" si="0">C6</f>
        <v>0</v>
      </c>
      <c r="D7">
        <f>D6</f>
        <v>0</v>
      </c>
      <c r="E7">
        <f t="shared" ref="E7" si="1">E6</f>
        <v>0</v>
      </c>
      <c r="F7" s="2">
        <v>0</v>
      </c>
      <c r="G7" s="2">
        <v>0</v>
      </c>
      <c r="H7" s="2">
        <v>0</v>
      </c>
      <c r="I7" s="2">
        <v>0</v>
      </c>
      <c r="M7" t="s">
        <v>1</v>
      </c>
      <c r="N7" s="4">
        <v>0.13</v>
      </c>
      <c r="O7" s="4">
        <v>0.33</v>
      </c>
      <c r="P7" s="4">
        <v>0.67</v>
      </c>
      <c r="Q7" s="4">
        <v>1</v>
      </c>
      <c r="R7" s="60">
        <v>1</v>
      </c>
      <c r="S7" s="4">
        <v>2.7544378581003132E-3</v>
      </c>
    </row>
    <row r="8" spans="1:19" x14ac:dyDescent="0.35">
      <c r="A8">
        <v>2023</v>
      </c>
      <c r="B8">
        <f>'Year 2035 impact'!B15</f>
        <v>-4240650.1364212986</v>
      </c>
      <c r="C8">
        <f>'Year 2035 impact'!B15</f>
        <v>-4240650.1364212986</v>
      </c>
      <c r="D8">
        <f>'Year 2035 impact'!B15</f>
        <v>-4240650.1364212986</v>
      </c>
      <c r="E8">
        <f>'Year 2035 impact'!B15</f>
        <v>-4240650.1364212986</v>
      </c>
      <c r="F8" s="2">
        <f>'Year 2035 impact'!$B$19*$N$12+'Year 2035 impact'!$B$11*$N$17+'Year 2035 impact'!$B$12+'Year 2035 impact'!$B$14</f>
        <v>-2588950.9947228422</v>
      </c>
      <c r="G8" s="2">
        <f>'Year 2035 impact'!$B$19*$N$12+'Year 2035 impact'!$B$11*$N$17+'Year 2035 impact'!$B$12+'Year 2035 impact'!$B$14</f>
        <v>-2588950.9947228422</v>
      </c>
      <c r="H8" s="2">
        <f>'Year 2035 impact'!$B$19*$N$12+'Year 2035 impact'!$B$11*$N$17+'Year 2035 impact'!$B$12+'Year 2035 impact'!$B$14</f>
        <v>-2588950.9947228422</v>
      </c>
      <c r="I8" s="2">
        <f>'Year 2035 impact'!$B$19*$N$12+'Year 2035 impact'!$B$11*$N$17+'Year 2035 impact'!$B$12+'Year 2035 impact'!$B$14</f>
        <v>-2588950.9947228422</v>
      </c>
      <c r="M8" t="s">
        <v>2</v>
      </c>
      <c r="N8" s="4">
        <v>0.39</v>
      </c>
      <c r="O8" s="4">
        <v>0.62</v>
      </c>
      <c r="P8" s="4">
        <v>0.82</v>
      </c>
      <c r="Q8" s="4">
        <v>0.92</v>
      </c>
      <c r="R8" s="60">
        <v>1</v>
      </c>
      <c r="S8" s="4">
        <v>0.19768631792200478</v>
      </c>
    </row>
    <row r="9" spans="1:19" x14ac:dyDescent="0.35">
      <c r="A9">
        <v>2024</v>
      </c>
      <c r="B9">
        <f t="shared" ref="B9:E54" si="2">B8</f>
        <v>-4240650.1364212986</v>
      </c>
      <c r="C9">
        <f>C8</f>
        <v>-4240650.1364212986</v>
      </c>
      <c r="D9">
        <f>D8</f>
        <v>-4240650.1364212986</v>
      </c>
      <c r="E9">
        <f>E8</f>
        <v>-4240650.1364212986</v>
      </c>
      <c r="F9" s="2">
        <f>'Year 2035 impact'!$B$19*$N$12+'Year 2035 impact'!$B$11*$N$17+'Year 2035 impact'!$B$12+'Year 2035 impact'!$B$14</f>
        <v>-2588950.9947228422</v>
      </c>
      <c r="G9" s="2">
        <f>'Year 2035 impact'!$B$19*$N$12+'Year 2035 impact'!$B$11*$N$17+'Year 2035 impact'!$B$12+'Year 2035 impact'!$B$14</f>
        <v>-2588950.9947228422</v>
      </c>
      <c r="H9" s="2">
        <f>'Year 2035 impact'!$B$19*$N$12+'Year 2035 impact'!$B$11*$N$17+'Year 2035 impact'!$B$12+'Year 2035 impact'!$B$14</f>
        <v>-2588950.9947228422</v>
      </c>
      <c r="I9" s="2">
        <f>'Year 2035 impact'!$B$19*$N$12+'Year 2035 impact'!$B$11*$N$17+'Year 2035 impact'!$B$12+'Year 2035 impact'!$B$14</f>
        <v>-2588950.9947228422</v>
      </c>
      <c r="M9" t="s">
        <v>16</v>
      </c>
      <c r="N9" s="4">
        <v>0.25</v>
      </c>
      <c r="O9" s="4">
        <v>0.6</v>
      </c>
      <c r="P9" s="4">
        <v>0.7</v>
      </c>
      <c r="Q9" s="4">
        <v>0.79</v>
      </c>
      <c r="R9" s="60">
        <v>1</v>
      </c>
      <c r="S9" s="4">
        <v>0.72153087901010071</v>
      </c>
    </row>
    <row r="10" spans="1:19" x14ac:dyDescent="0.35">
      <c r="A10">
        <v>2025</v>
      </c>
      <c r="B10">
        <f t="shared" si="2"/>
        <v>-4240650.1364212986</v>
      </c>
      <c r="C10">
        <f>C9</f>
        <v>-4240650.1364212986</v>
      </c>
      <c r="D10">
        <f t="shared" si="2"/>
        <v>-4240650.1364212986</v>
      </c>
      <c r="E10">
        <f t="shared" si="2"/>
        <v>-4240650.1364212986</v>
      </c>
      <c r="F10" s="2">
        <f>'Year 2035 impact'!$B$19*$N$12+'Year 2035 impact'!$B$11*$N$17+'Year 2035 impact'!$B$12+'Year 2035 impact'!$B$14</f>
        <v>-2588950.9947228422</v>
      </c>
      <c r="G10" s="2">
        <f>'Year 2035 impact'!$B$19*$N$12+'Year 2035 impact'!$B$11*$N$17+'Year 2035 impact'!$B$12+'Year 2035 impact'!$B$14</f>
        <v>-2588950.9947228422</v>
      </c>
      <c r="H10" s="2">
        <f>'Year 2035 impact'!$B$19*$N$12+'Year 2035 impact'!$B$11*$N$17+'Year 2035 impact'!$B$12+'Year 2035 impact'!$B$14</f>
        <v>-2588950.9947228422</v>
      </c>
      <c r="I10" s="2">
        <f>'Year 2035 impact'!$B$19*$N$12+'Year 2035 impact'!$B$11*$N$17+'Year 2035 impact'!$B$12+'Year 2035 impact'!$B$14</f>
        <v>-2588950.9947228422</v>
      </c>
      <c r="M10" t="s">
        <v>17</v>
      </c>
      <c r="N10" s="4">
        <v>0.39</v>
      </c>
      <c r="O10" s="4">
        <v>0.62</v>
      </c>
      <c r="P10" s="4">
        <v>0.82</v>
      </c>
      <c r="Q10" s="4">
        <v>0.92</v>
      </c>
      <c r="R10" s="60">
        <v>1</v>
      </c>
      <c r="S10" s="4">
        <v>4.2468001761741633E-2</v>
      </c>
    </row>
    <row r="11" spans="1:19" ht="29" x14ac:dyDescent="0.35">
      <c r="A11">
        <v>2026</v>
      </c>
      <c r="B11">
        <f t="shared" si="2"/>
        <v>-4240650.1364212986</v>
      </c>
      <c r="C11">
        <f>C10</f>
        <v>-4240650.1364212986</v>
      </c>
      <c r="D11">
        <f t="shared" si="2"/>
        <v>-4240650.1364212986</v>
      </c>
      <c r="E11">
        <f t="shared" si="2"/>
        <v>-4240650.1364212986</v>
      </c>
      <c r="F11" s="2">
        <f>'Year 2035 impact'!$B$19*$N$12+'Year 2035 impact'!$B$11*$N$17+'Year 2035 impact'!$B$12+'Year 2035 impact'!$B$14</f>
        <v>-2588950.9947228422</v>
      </c>
      <c r="G11" s="2">
        <f>'Year 2035 impact'!$B$19*$N$12+'Year 2035 impact'!$B$11*$N$17+'Year 2035 impact'!$B$12+'Year 2035 impact'!$B$14</f>
        <v>-2588950.9947228422</v>
      </c>
      <c r="H11" s="2">
        <f>'Year 2035 impact'!$B$19*$N$12+'Year 2035 impact'!$B$11*$N$17+'Year 2035 impact'!$B$12+'Year 2035 impact'!$B$14</f>
        <v>-2588950.9947228422</v>
      </c>
      <c r="I11" s="2">
        <f>'Year 2035 impact'!$B$19*$N$12+'Year 2035 impact'!$B$11*$N$17+'Year 2035 impact'!$B$12+'Year 2035 impact'!$B$14</f>
        <v>-2588950.9947228422</v>
      </c>
      <c r="M11" s="13" t="s">
        <v>18</v>
      </c>
      <c r="N11" s="11">
        <f>$S6*N6+$S7*N7+$S8*N8+$S9*N9+$S10*N10</f>
        <v>0.27902382859898617</v>
      </c>
      <c r="O11" s="43">
        <f>$S6*O6+$S7*O7+$S8*O8+$S9*O9+$S10*O10</f>
        <v>0.59445809004101358</v>
      </c>
      <c r="P11" s="43">
        <f>$S6*P6+$S7*P7+$S8*P8+$S9*P9+$S10*P10</f>
        <v>0.72766907432286487</v>
      </c>
      <c r="Q11" s="43">
        <f>$S6*Q6+$S7*Q7+$S8*Q8+$S9*Q9+$S10*Q10</f>
        <v>0.82926616983317913</v>
      </c>
      <c r="R11" s="61">
        <f>$S6*R6+$S7*R7+$S8*R8+$S9*R9+$S10*R10</f>
        <v>0.99999999999999978</v>
      </c>
    </row>
    <row r="12" spans="1:19" x14ac:dyDescent="0.35">
      <c r="A12">
        <v>2027</v>
      </c>
      <c r="B12">
        <f t="shared" si="2"/>
        <v>-4240650.1364212986</v>
      </c>
      <c r="C12">
        <f>C11</f>
        <v>-4240650.1364212986</v>
      </c>
      <c r="D12">
        <f t="shared" ref="D12:E54" si="3">D11</f>
        <v>-4240650.1364212986</v>
      </c>
      <c r="E12">
        <f t="shared" si="3"/>
        <v>-4240650.1364212986</v>
      </c>
      <c r="F12" s="2">
        <f>'Year 2035 impact'!$B$19*$N$12+'Year 2035 impact'!$B$11*$N$17+'Year 2035 impact'!$B$12+'Year 2035 impact'!$B$14</f>
        <v>-2588950.9947228422</v>
      </c>
      <c r="G12" s="2">
        <f>'Year 2035 impact'!$B$19*$N$12+'Year 2035 impact'!$B$11*$N$17+'Year 2035 impact'!$B$12+'Year 2035 impact'!$B$14</f>
        <v>-2588950.9947228422</v>
      </c>
      <c r="H12" s="2">
        <f>'Year 2035 impact'!$B$19*$N$12+'Year 2035 impact'!$B$11*$N$17+'Year 2035 impact'!$B$12+'Year 2035 impact'!$B$14</f>
        <v>-2588950.9947228422</v>
      </c>
      <c r="I12" s="2">
        <f>'Year 2035 impact'!$B$19*$N$12+'Year 2035 impact'!$B$11*$N$17+'Year 2035 impact'!$B$12+'Year 2035 impact'!$B$14</f>
        <v>-2588950.9947228422</v>
      </c>
      <c r="M12" t="s">
        <v>19</v>
      </c>
      <c r="N12" s="11">
        <f>1-N11</f>
        <v>0.72097617140101389</v>
      </c>
      <c r="O12" s="11">
        <f>1-O11</f>
        <v>0.40554190995898642</v>
      </c>
      <c r="P12" s="11">
        <f>1-P11</f>
        <v>0.27233092567713513</v>
      </c>
      <c r="Q12" s="11">
        <f>1-Q11</f>
        <v>0.17073383016682087</v>
      </c>
      <c r="R12" s="62">
        <f>1-R11</f>
        <v>0</v>
      </c>
    </row>
    <row r="13" spans="1:19" x14ac:dyDescent="0.35">
      <c r="A13">
        <v>2028</v>
      </c>
      <c r="B13">
        <f t="shared" si="2"/>
        <v>-4240650.1364212986</v>
      </c>
      <c r="C13">
        <f>'Year 2035 impact'!C15</f>
        <v>-4307089.7362192823</v>
      </c>
      <c r="D13">
        <f>'Year 2035 impact'!D15</f>
        <v>-5957745.8476246931</v>
      </c>
      <c r="E13">
        <f>'Year 2035 impact'!E15</f>
        <v>-5970658.3379468471</v>
      </c>
      <c r="F13" s="2">
        <f>'Year 2035 impact'!$B$19*$N$12+'Year 2035 impact'!$B$11*$N$17+'Year 2035 impact'!$B$12+'Year 2035 impact'!$B$14</f>
        <v>-2588950.9947228422</v>
      </c>
      <c r="G13" s="2">
        <f>'Year 2035 impact'!$C$19*$N$12+'Year 2035 impact'!$C$11*$N$17+'Year 2035 impact'!$C$12+'Year 2035 impact'!$C$14</f>
        <v>-2691317.3758775117</v>
      </c>
      <c r="H13" s="2">
        <f>'Year 2035 impact'!$D$19*$N$12+'Year 2035 impact'!$D$11*$N$17+'Year 2035 impact'!$D$12+'Year 2035 impact'!$D$14</f>
        <v>-4367002.9653836284</v>
      </c>
      <c r="I13" s="2">
        <f>'Year 2035 impact'!$E$19*$N$12+'Year 2035 impact'!$E$11*$N$17+'Year 2035 impact'!$E$12+'Year 2035 impact'!$E$14</f>
        <v>-4400688.1604439337</v>
      </c>
      <c r="R13" s="59"/>
      <c r="S13" t="s">
        <v>62</v>
      </c>
    </row>
    <row r="14" spans="1:19" x14ac:dyDescent="0.35">
      <c r="A14">
        <v>2029</v>
      </c>
      <c r="B14">
        <f t="shared" si="2"/>
        <v>-4240650.1364212986</v>
      </c>
      <c r="C14">
        <f t="shared" si="0"/>
        <v>-4307089.7362192823</v>
      </c>
      <c r="D14">
        <f t="shared" si="3"/>
        <v>-5957745.8476246931</v>
      </c>
      <c r="E14">
        <f>E13</f>
        <v>-5970658.3379468471</v>
      </c>
      <c r="F14" s="2">
        <f>'Year 2035 impact'!$B$19*$N$12+'Year 2035 impact'!$B$11*$N$17+'Year 2035 impact'!$B$12+'Year 2035 impact'!$B$14</f>
        <v>-2588950.9947228422</v>
      </c>
      <c r="G14" s="2">
        <f>'Year 2035 impact'!$C$19*$N$12+'Year 2035 impact'!$C$11*$N$17+'Year 2035 impact'!$C$12+'Year 2035 impact'!$C$14</f>
        <v>-2691317.3758775117</v>
      </c>
      <c r="H14" s="2">
        <f>'Year 2035 impact'!$D$19*$N$12+'Year 2035 impact'!$D$11*$N$17+'Year 2035 impact'!$D$12+'Year 2035 impact'!$D$14</f>
        <v>-4367002.9653836284</v>
      </c>
      <c r="I14" s="2">
        <f>'Year 2035 impact'!$E$19*$N$12+'Year 2035 impact'!$E$11*$N$17+'Year 2035 impact'!$E$12+'Year 2035 impact'!$E$14</f>
        <v>-4400688.1604439337</v>
      </c>
      <c r="M14" t="s">
        <v>59</v>
      </c>
      <c r="N14" s="43">
        <v>0.5</v>
      </c>
      <c r="O14" s="4">
        <v>0.77</v>
      </c>
      <c r="P14" s="4">
        <v>0.95</v>
      </c>
      <c r="Q14" s="4">
        <v>1</v>
      </c>
      <c r="R14" s="61">
        <v>1</v>
      </c>
      <c r="S14" s="4">
        <v>0.65744494138416898</v>
      </c>
    </row>
    <row r="15" spans="1:19" x14ac:dyDescent="0.35">
      <c r="A15">
        <v>2030</v>
      </c>
      <c r="B15">
        <f t="shared" si="2"/>
        <v>-4240650.1364212986</v>
      </c>
      <c r="C15">
        <f>C14</f>
        <v>-4307089.7362192823</v>
      </c>
      <c r="D15">
        <f t="shared" si="3"/>
        <v>-5957745.8476246931</v>
      </c>
      <c r="E15">
        <f>E14</f>
        <v>-5970658.3379468471</v>
      </c>
      <c r="F15" s="2">
        <f>'Year 2035 impact'!$B$19*$O$12+'Year 2035 impact'!$B$11*$O$17+'Year 2035 impact'!$B$12+'Year 2035 impact'!$B$14</f>
        <v>-2098093.8793848203</v>
      </c>
      <c r="G15" s="2">
        <f>'Year 2035 impact'!$C$19*$O$12+'Year 2035 impact'!$C$11*$O$17+'Year 2035 impact'!$C$12+'Year 2035 impact'!$C$14</f>
        <v>-2241075.2065824056</v>
      </c>
      <c r="H15" s="2">
        <f>'Year 2035 impact'!$D$19*$O$12+'Year 2035 impact'!$D$11*$O$17+'Year 2035 impact'!$D$12+'Year 2035 impact'!$D$14</f>
        <v>-3864073.1183183664</v>
      </c>
      <c r="I15" s="2">
        <f>'Year 2035 impact'!$E$19*$O$12+'Year 2035 impact'!$E$11*$O$17+'Year 2035 impact'!$E$12+'Year 2035 impact'!$E$14</f>
        <v>-3921241.6940280315</v>
      </c>
      <c r="M15" t="s">
        <v>60</v>
      </c>
      <c r="N15" s="43">
        <v>0.05</v>
      </c>
      <c r="O15" s="4">
        <v>0.1</v>
      </c>
      <c r="P15" s="4">
        <v>0.2</v>
      </c>
      <c r="Q15" s="4">
        <v>0.3</v>
      </c>
      <c r="R15" s="61">
        <v>0.5</v>
      </c>
      <c r="S15" s="4">
        <v>0.34255505861583102</v>
      </c>
    </row>
    <row r="16" spans="1:19" ht="29" x14ac:dyDescent="0.35">
      <c r="A16">
        <v>2031</v>
      </c>
      <c r="B16">
        <f t="shared" si="2"/>
        <v>-4240650.1364212986</v>
      </c>
      <c r="C16">
        <f>C15</f>
        <v>-4307089.7362192823</v>
      </c>
      <c r="D16">
        <f t="shared" si="3"/>
        <v>-5957745.8476246931</v>
      </c>
      <c r="E16">
        <f>E15</f>
        <v>-5970658.3379468471</v>
      </c>
      <c r="F16" s="2">
        <f>'Year 2035 impact'!$B$19*$O$12+'Year 2035 impact'!$B$11*$O$17+'Year 2035 impact'!$B$12+'Year 2035 impact'!$B$14</f>
        <v>-2098093.8793848203</v>
      </c>
      <c r="G16" s="2">
        <f>'Year 2035 impact'!$C$19*$O$12+'Year 2035 impact'!$C$11*$O$17+'Year 2035 impact'!$C$12+'Year 2035 impact'!$C$14</f>
        <v>-2241075.2065824056</v>
      </c>
      <c r="H16" s="2">
        <f>'Year 2035 impact'!$D$19*$O$12+'Year 2035 impact'!$D$11*$O$17+'Year 2035 impact'!$D$12+'Year 2035 impact'!$D$14</f>
        <v>-3864073.1183183664</v>
      </c>
      <c r="I16" s="2">
        <f>'Year 2035 impact'!$E$19*$O$12+'Year 2035 impact'!$E$11*$O$17+'Year 2035 impact'!$E$12+'Year 2035 impact'!$E$14</f>
        <v>-3921241.6940280315</v>
      </c>
      <c r="M16" s="13" t="s">
        <v>63</v>
      </c>
      <c r="N16" s="43">
        <f>$S14*N14+$S15*N15</f>
        <v>0.34585022362287604</v>
      </c>
      <c r="O16" s="43">
        <f>$S14*O14+$S15*O15</f>
        <v>0.54048811072739322</v>
      </c>
      <c r="P16" s="43">
        <f t="shared" ref="P16:R16" si="4">$S14*P14+$S15*P15</f>
        <v>0.69308370603812675</v>
      </c>
      <c r="Q16" s="43">
        <f t="shared" si="4"/>
        <v>0.76021145896891829</v>
      </c>
      <c r="R16" s="61">
        <f t="shared" si="4"/>
        <v>0.82872247069208449</v>
      </c>
    </row>
    <row r="17" spans="1:18" x14ac:dyDescent="0.35">
      <c r="A17">
        <v>2032</v>
      </c>
      <c r="B17">
        <f t="shared" si="2"/>
        <v>-4240650.1364212986</v>
      </c>
      <c r="C17">
        <f t="shared" ref="C17:C54" si="5">C16</f>
        <v>-4307089.7362192823</v>
      </c>
      <c r="D17">
        <f t="shared" si="3"/>
        <v>-5957745.8476246931</v>
      </c>
      <c r="E17">
        <f t="shared" ref="E17:E54" si="6">E16</f>
        <v>-5970658.3379468471</v>
      </c>
      <c r="F17" s="2">
        <f>'Year 2035 impact'!$B$19*$O$12+'Year 2035 impact'!$B$11*$O$17+'Year 2035 impact'!$B$12+'Year 2035 impact'!$B$14</f>
        <v>-2098093.8793848203</v>
      </c>
      <c r="G17" s="2">
        <f>'Year 2035 impact'!$C$19*$O$12+'Year 2035 impact'!$C$11*$O$17+'Year 2035 impact'!$C$12+'Year 2035 impact'!$C$14</f>
        <v>-2241075.2065824056</v>
      </c>
      <c r="H17" s="2">
        <f>'Year 2035 impact'!$D$19*$O$12+'Year 2035 impact'!$D$11*$O$17+'Year 2035 impact'!$D$12+'Year 2035 impact'!$D$14</f>
        <v>-3864073.1183183664</v>
      </c>
      <c r="I17" s="2">
        <f>'Year 2035 impact'!$E$19*$O$12+'Year 2035 impact'!$E$11*$O$17+'Year 2035 impact'!$E$12+'Year 2035 impact'!$E$14</f>
        <v>-3921241.6940280315</v>
      </c>
      <c r="M17" t="s">
        <v>61</v>
      </c>
      <c r="N17" s="43">
        <f>1-N16</f>
        <v>0.65414977637712401</v>
      </c>
      <c r="O17" s="43">
        <f t="shared" ref="O17:R17" si="7">1-O16</f>
        <v>0.45951188927260678</v>
      </c>
      <c r="P17" s="43">
        <f t="shared" si="7"/>
        <v>0.30691629396187325</v>
      </c>
      <c r="Q17" s="43">
        <f t="shared" si="7"/>
        <v>0.23978854103108171</v>
      </c>
      <c r="R17" s="61">
        <f t="shared" si="7"/>
        <v>0.17127752930791551</v>
      </c>
    </row>
    <row r="18" spans="1:18" x14ac:dyDescent="0.35">
      <c r="A18">
        <v>2033</v>
      </c>
      <c r="B18">
        <f t="shared" si="2"/>
        <v>-4240650.1364212986</v>
      </c>
      <c r="C18">
        <f t="shared" si="5"/>
        <v>-4307089.7362192823</v>
      </c>
      <c r="D18">
        <f t="shared" si="3"/>
        <v>-5957745.8476246931</v>
      </c>
      <c r="E18">
        <f t="shared" si="6"/>
        <v>-5970658.3379468471</v>
      </c>
      <c r="F18" s="2">
        <f>'Year 2035 impact'!$B$19*$O$12+'Year 2035 impact'!$B$11*$O$17+'Year 2035 impact'!$B$12+'Year 2035 impact'!$B$14</f>
        <v>-2098093.8793848203</v>
      </c>
      <c r="G18" s="2">
        <f>'Year 2035 impact'!$C$19*$O$12+'Year 2035 impact'!$C$11*$O$17+'Year 2035 impact'!$C$12+'Year 2035 impact'!$C$14</f>
        <v>-2241075.2065824056</v>
      </c>
      <c r="H18" s="2">
        <f>'Year 2035 impact'!$D$19*$O$12+'Year 2035 impact'!$D$11*$O$17+'Year 2035 impact'!$D$12+'Year 2035 impact'!$D$14</f>
        <v>-3864073.1183183664</v>
      </c>
      <c r="I18" s="2">
        <f>'Year 2035 impact'!$E$19*$O$12+'Year 2035 impact'!$E$11*$O$17+'Year 2035 impact'!$E$12+'Year 2035 impact'!$E$14</f>
        <v>-3921241.6940280315</v>
      </c>
    </row>
    <row r="19" spans="1:18" x14ac:dyDescent="0.35">
      <c r="A19">
        <v>2034</v>
      </c>
      <c r="B19">
        <f t="shared" si="2"/>
        <v>-4240650.1364212986</v>
      </c>
      <c r="C19">
        <f t="shared" si="5"/>
        <v>-4307089.7362192823</v>
      </c>
      <c r="D19">
        <f t="shared" si="3"/>
        <v>-5957745.8476246931</v>
      </c>
      <c r="E19">
        <f t="shared" si="6"/>
        <v>-5970658.3379468471</v>
      </c>
      <c r="F19" s="2">
        <f>'Year 2035 impact'!$B$19*$O$12+'Year 2035 impact'!$B$11*$O$17+'Year 2035 impact'!$B$12+'Year 2035 impact'!$B$14</f>
        <v>-2098093.8793848203</v>
      </c>
      <c r="G19" s="2">
        <f>'Year 2035 impact'!$C$19*$O$12+'Year 2035 impact'!$C$11*$O$17+'Year 2035 impact'!$C$12+'Year 2035 impact'!$C$14</f>
        <v>-2241075.2065824056</v>
      </c>
      <c r="H19" s="2">
        <f>'Year 2035 impact'!$D$19*$O$12+'Year 2035 impact'!$D$11*$O$17+'Year 2035 impact'!$D$12+'Year 2035 impact'!$D$14</f>
        <v>-3864073.1183183664</v>
      </c>
      <c r="I19" s="2">
        <f>'Year 2035 impact'!$E$19*$O$12+'Year 2035 impact'!$E$11*$O$17+'Year 2035 impact'!$E$12+'Year 2035 impact'!$E$14</f>
        <v>-3921241.6940280315</v>
      </c>
    </row>
    <row r="20" spans="1:18" x14ac:dyDescent="0.35">
      <c r="A20">
        <v>2035</v>
      </c>
      <c r="B20">
        <f t="shared" si="2"/>
        <v>-4240650.1364212986</v>
      </c>
      <c r="C20">
        <f t="shared" si="5"/>
        <v>-4307089.7362192823</v>
      </c>
      <c r="D20">
        <f t="shared" si="3"/>
        <v>-5957745.8476246931</v>
      </c>
      <c r="E20">
        <f t="shared" si="6"/>
        <v>-5970658.3379468471</v>
      </c>
      <c r="F20" s="2">
        <f>'Year 2035 impact'!$B$19*$O$12+'Year 2035 impact'!$B$11*$O$17+'Year 2035 impact'!$B$12+'Year 2035 impact'!$B$14</f>
        <v>-2098093.8793848203</v>
      </c>
      <c r="G20" s="2">
        <f>'Year 2035 impact'!$C$19*$O$12+'Year 2035 impact'!$C$11*$O$17+'Year 2035 impact'!$C$12+'Year 2035 impact'!$C$14</f>
        <v>-2241075.2065824056</v>
      </c>
      <c r="H20" s="2">
        <f>'Year 2035 impact'!$D$19*$O$12+'Year 2035 impact'!$D$11*$O$17+'Year 2035 impact'!$D$12+'Year 2035 impact'!$D$14</f>
        <v>-3864073.1183183664</v>
      </c>
      <c r="I20" s="2">
        <f>'Year 2035 impact'!$E$19*$O$12+'Year 2035 impact'!$E$11*$O$17+'Year 2035 impact'!$E$12+'Year 2035 impact'!$E$14</f>
        <v>-3921241.6940280315</v>
      </c>
    </row>
    <row r="21" spans="1:18" x14ac:dyDescent="0.35">
      <c r="A21">
        <v>2036</v>
      </c>
      <c r="B21">
        <f t="shared" si="2"/>
        <v>-4240650.1364212986</v>
      </c>
      <c r="C21">
        <f t="shared" si="5"/>
        <v>-4307089.7362192823</v>
      </c>
      <c r="D21">
        <f t="shared" si="3"/>
        <v>-5957745.8476246931</v>
      </c>
      <c r="E21">
        <f t="shared" si="6"/>
        <v>-5970658.3379468471</v>
      </c>
      <c r="F21" s="2">
        <f>'Year 2035 impact'!$B$19*$O$12+'Year 2035 impact'!$B$11*$O$17+'Year 2035 impact'!$B$12+'Year 2035 impact'!$B$14</f>
        <v>-2098093.8793848203</v>
      </c>
      <c r="G21" s="2">
        <f>'Year 2035 impact'!$C$19*$O$12+'Year 2035 impact'!$C$11*$O$17+'Year 2035 impact'!$C$12+'Year 2035 impact'!$C$14</f>
        <v>-2241075.2065824056</v>
      </c>
      <c r="H21" s="2">
        <f>'Year 2035 impact'!$D$19*$O$12+'Year 2035 impact'!$D$11*$O$17+'Year 2035 impact'!$D$12+'Year 2035 impact'!$D$14</f>
        <v>-3864073.1183183664</v>
      </c>
      <c r="I21" s="2">
        <f>'Year 2035 impact'!$E$19*$O$12+'Year 2035 impact'!$E$11*$O$17+'Year 2035 impact'!$E$12+'Year 2035 impact'!$E$14</f>
        <v>-3921241.6940280315</v>
      </c>
    </row>
    <row r="22" spans="1:18" x14ac:dyDescent="0.35">
      <c r="A22">
        <v>2037</v>
      </c>
      <c r="B22">
        <f t="shared" si="2"/>
        <v>-4240650.1364212986</v>
      </c>
      <c r="C22">
        <f t="shared" si="5"/>
        <v>-4307089.7362192823</v>
      </c>
      <c r="D22">
        <f t="shared" si="3"/>
        <v>-5957745.8476246931</v>
      </c>
      <c r="E22">
        <f t="shared" si="6"/>
        <v>-5970658.3379468471</v>
      </c>
      <c r="F22" s="2">
        <f>'Year 2035 impact'!$B$19*$O$12+'Year 2035 impact'!$B$11*$O$17+'Year 2035 impact'!$B$12+'Year 2035 impact'!$B$14</f>
        <v>-2098093.8793848203</v>
      </c>
      <c r="G22" s="2">
        <f>'Year 2035 impact'!$C$19*$O$12+'Year 2035 impact'!$C$11*$O$17+'Year 2035 impact'!$C$12+'Year 2035 impact'!$C$14</f>
        <v>-2241075.2065824056</v>
      </c>
      <c r="H22" s="2">
        <f>'Year 2035 impact'!$D$19*$O$12+'Year 2035 impact'!$D$11*$O$17+'Year 2035 impact'!$D$12+'Year 2035 impact'!$D$14</f>
        <v>-3864073.1183183664</v>
      </c>
      <c r="I22" s="2">
        <f>'Year 2035 impact'!$E$19*$O$12+'Year 2035 impact'!$E$11*$O$17+'Year 2035 impact'!$E$12+'Year 2035 impact'!$E$14</f>
        <v>-3921241.6940280315</v>
      </c>
    </row>
    <row r="23" spans="1:18" x14ac:dyDescent="0.35">
      <c r="A23">
        <v>2038</v>
      </c>
      <c r="B23">
        <f t="shared" si="2"/>
        <v>-4240650.1364212986</v>
      </c>
      <c r="C23">
        <f t="shared" si="5"/>
        <v>-4307089.7362192823</v>
      </c>
      <c r="D23">
        <f t="shared" si="3"/>
        <v>-5957745.8476246931</v>
      </c>
      <c r="E23">
        <f t="shared" si="6"/>
        <v>-5970658.3379468471</v>
      </c>
      <c r="F23" s="2">
        <f>'Year 2035 impact'!$B$19*$O$12+'Year 2035 impact'!$B$11*$O$17+'Year 2035 impact'!$B$12+'Year 2035 impact'!$B$14</f>
        <v>-2098093.8793848203</v>
      </c>
      <c r="G23" s="2">
        <f>'Year 2035 impact'!$C$19*$O$12+'Year 2035 impact'!$C$11*$O$17+'Year 2035 impact'!$C$12+'Year 2035 impact'!$C$14</f>
        <v>-2241075.2065824056</v>
      </c>
      <c r="H23" s="2">
        <f>'Year 2035 impact'!$D$19*$O$12+'Year 2035 impact'!$D$11*$O$17+'Year 2035 impact'!$D$12+'Year 2035 impact'!$D$14</f>
        <v>-3864073.1183183664</v>
      </c>
      <c r="I23" s="2">
        <f>'Year 2035 impact'!$E$19*$O$12+'Year 2035 impact'!$E$11*$O$17+'Year 2035 impact'!$E$12+'Year 2035 impact'!$E$14</f>
        <v>-3921241.6940280315</v>
      </c>
    </row>
    <row r="24" spans="1:18" x14ac:dyDescent="0.35">
      <c r="A24">
        <v>2039</v>
      </c>
      <c r="B24">
        <f t="shared" si="2"/>
        <v>-4240650.1364212986</v>
      </c>
      <c r="C24">
        <f t="shared" si="5"/>
        <v>-4307089.7362192823</v>
      </c>
      <c r="D24">
        <f t="shared" si="3"/>
        <v>-5957745.8476246931</v>
      </c>
      <c r="E24">
        <f t="shared" si="6"/>
        <v>-5970658.3379468471</v>
      </c>
      <c r="F24" s="2">
        <f>'Year 2035 impact'!$B$19*$O$12+'Year 2035 impact'!$B$11*$O$17+'Year 2035 impact'!$B$12+'Year 2035 impact'!$B$14</f>
        <v>-2098093.8793848203</v>
      </c>
      <c r="G24" s="2">
        <f>'Year 2035 impact'!$C$19*$O$12+'Year 2035 impact'!$C$11*$O$17+'Year 2035 impact'!$C$12+'Year 2035 impact'!$C$14</f>
        <v>-2241075.2065824056</v>
      </c>
      <c r="H24" s="2">
        <f>'Year 2035 impact'!$D$19*$O$12+'Year 2035 impact'!$D$11*$O$17+'Year 2035 impact'!$D$12+'Year 2035 impact'!$D$14</f>
        <v>-3864073.1183183664</v>
      </c>
      <c r="I24" s="2">
        <f>'Year 2035 impact'!$E$19*$O$12+'Year 2035 impact'!$E$11*$O$17+'Year 2035 impact'!$E$12+'Year 2035 impact'!$E$14</f>
        <v>-3921241.6940280315</v>
      </c>
    </row>
    <row r="25" spans="1:18" x14ac:dyDescent="0.35">
      <c r="A25">
        <v>2040</v>
      </c>
      <c r="B25">
        <f t="shared" si="2"/>
        <v>-4240650.1364212986</v>
      </c>
      <c r="C25">
        <f t="shared" si="5"/>
        <v>-4307089.7362192823</v>
      </c>
      <c r="D25">
        <f t="shared" si="3"/>
        <v>-5957745.8476246931</v>
      </c>
      <c r="E25">
        <f t="shared" si="6"/>
        <v>-5970658.3379468471</v>
      </c>
      <c r="F25" s="2">
        <f>'Year 2035 impact'!$B$19*$P$12+'Year 2035 impact'!$B$11*$P$17+'Year 2035 impact'!$B$12+'Year 2035 impact'!$B$14</f>
        <v>-1397305.5111593865</v>
      </c>
      <c r="G25" s="2">
        <f>'Year 2035 impact'!$C$19*$P$12+'Year 2035 impact'!$C$11*$P$17+'Year 2035 impact'!$C$12+'Year 2035 impact'!$C$14</f>
        <v>-1557438.9286663663</v>
      </c>
      <c r="H25" s="2">
        <f>'Year 2035 impact'!$D$19*$P$12+'Year 2035 impact'!$D$11*$P$17+'Year 2035 impact'!$D$12+'Year 2035 impact'!$D$14</f>
        <v>-3187222.5888819899</v>
      </c>
      <c r="I25" s="2">
        <f>'Year 2035 impact'!$E$19*$P$12+'Year 2035 impact'!$E$11*$P$17+'Year 2035 impact'!$E$12+'Year 2035 impact'!$E$14</f>
        <v>-3254308.426706004</v>
      </c>
    </row>
    <row r="26" spans="1:18" x14ac:dyDescent="0.35">
      <c r="A26">
        <v>2041</v>
      </c>
      <c r="B26">
        <f t="shared" si="2"/>
        <v>-4240650.1364212986</v>
      </c>
      <c r="C26">
        <f t="shared" si="5"/>
        <v>-4307089.7362192823</v>
      </c>
      <c r="D26">
        <f t="shared" si="3"/>
        <v>-5957745.8476246931</v>
      </c>
      <c r="E26">
        <f t="shared" si="6"/>
        <v>-5970658.3379468471</v>
      </c>
      <c r="F26" s="2">
        <f>'Year 2035 impact'!$B$19*$P$12+'Year 2035 impact'!$B$11*$P$17+'Year 2035 impact'!$B$12+'Year 2035 impact'!$B$14</f>
        <v>-1397305.5111593865</v>
      </c>
      <c r="G26" s="2">
        <f>'Year 2035 impact'!$C$19*$P$12+'Year 2035 impact'!$C$11*$P$17+'Year 2035 impact'!$C$12+'Year 2035 impact'!$C$14</f>
        <v>-1557438.9286663663</v>
      </c>
      <c r="H26" s="2">
        <f>'Year 2035 impact'!$D$19*$P$12+'Year 2035 impact'!$D$11*$P$17+'Year 2035 impact'!$D$12+'Year 2035 impact'!$D$14</f>
        <v>-3187222.5888819899</v>
      </c>
      <c r="I26" s="2">
        <f>'Year 2035 impact'!$E$19*$P$12+'Year 2035 impact'!$E$11*$P$17+'Year 2035 impact'!$E$12+'Year 2035 impact'!$E$14</f>
        <v>-3254308.426706004</v>
      </c>
    </row>
    <row r="27" spans="1:18" x14ac:dyDescent="0.35">
      <c r="A27">
        <v>2042</v>
      </c>
      <c r="B27">
        <f t="shared" si="2"/>
        <v>-4240650.1364212986</v>
      </c>
      <c r="C27">
        <f t="shared" si="5"/>
        <v>-4307089.7362192823</v>
      </c>
      <c r="D27">
        <f t="shared" si="3"/>
        <v>-5957745.8476246931</v>
      </c>
      <c r="E27">
        <f t="shared" si="6"/>
        <v>-5970658.3379468471</v>
      </c>
      <c r="F27" s="2">
        <f>'Year 2035 impact'!$B$19*$P$12+'Year 2035 impact'!$B$11*$P$17+'Year 2035 impact'!$B$12+'Year 2035 impact'!$B$14</f>
        <v>-1397305.5111593865</v>
      </c>
      <c r="G27" s="2">
        <f>'Year 2035 impact'!$C$19*$P$12+'Year 2035 impact'!$C$11*$P$17+'Year 2035 impact'!$C$12+'Year 2035 impact'!$C$14</f>
        <v>-1557438.9286663663</v>
      </c>
      <c r="H27" s="2">
        <f>'Year 2035 impact'!$D$19*$P$12+'Year 2035 impact'!$D$11*$P$17+'Year 2035 impact'!$D$12+'Year 2035 impact'!$D$14</f>
        <v>-3187222.5888819899</v>
      </c>
      <c r="I27" s="2">
        <f>'Year 2035 impact'!$E$19*$P$12+'Year 2035 impact'!$E$11*$P$17+'Year 2035 impact'!$E$12+'Year 2035 impact'!$E$14</f>
        <v>-3254308.426706004</v>
      </c>
    </row>
    <row r="28" spans="1:18" x14ac:dyDescent="0.35">
      <c r="A28">
        <v>2043</v>
      </c>
      <c r="B28">
        <f t="shared" si="2"/>
        <v>-4240650.1364212986</v>
      </c>
      <c r="C28">
        <f t="shared" si="5"/>
        <v>-4307089.7362192823</v>
      </c>
      <c r="D28">
        <f t="shared" si="3"/>
        <v>-5957745.8476246931</v>
      </c>
      <c r="E28">
        <f t="shared" si="6"/>
        <v>-5970658.3379468471</v>
      </c>
      <c r="F28" s="2">
        <f>'Year 2035 impact'!$B$19*$P$12+'Year 2035 impact'!$B$11*$P$17+'Year 2035 impact'!$B$12+'Year 2035 impact'!$B$14</f>
        <v>-1397305.5111593865</v>
      </c>
      <c r="G28" s="2">
        <f>'Year 2035 impact'!$C$19*$P$12+'Year 2035 impact'!$C$11*$P$17+'Year 2035 impact'!$C$12+'Year 2035 impact'!$C$14</f>
        <v>-1557438.9286663663</v>
      </c>
      <c r="H28" s="2">
        <f>'Year 2035 impact'!$D$19*$P$12+'Year 2035 impact'!$D$11*$P$17+'Year 2035 impact'!$D$12+'Year 2035 impact'!$D$14</f>
        <v>-3187222.5888819899</v>
      </c>
      <c r="I28" s="2">
        <f>'Year 2035 impact'!$E$19*$P$12+'Year 2035 impact'!$E$11*$P$17+'Year 2035 impact'!$E$12+'Year 2035 impact'!$E$14</f>
        <v>-3254308.426706004</v>
      </c>
    </row>
    <row r="29" spans="1:18" x14ac:dyDescent="0.35">
      <c r="A29">
        <v>2044</v>
      </c>
      <c r="B29">
        <f t="shared" si="2"/>
        <v>-4240650.1364212986</v>
      </c>
      <c r="C29">
        <f t="shared" si="5"/>
        <v>-4307089.7362192823</v>
      </c>
      <c r="D29">
        <f t="shared" si="3"/>
        <v>-5957745.8476246931</v>
      </c>
      <c r="E29">
        <f t="shared" si="6"/>
        <v>-5970658.3379468471</v>
      </c>
      <c r="F29" s="2">
        <f>'Year 2035 impact'!$B$19*$P$12+'Year 2035 impact'!$B$11*$P$17+'Year 2035 impact'!$B$12+'Year 2035 impact'!$B$14</f>
        <v>-1397305.5111593865</v>
      </c>
      <c r="G29" s="2">
        <f>'Year 2035 impact'!$C$19*$P$12+'Year 2035 impact'!$C$11*$P$17+'Year 2035 impact'!$C$12+'Year 2035 impact'!$C$14</f>
        <v>-1557438.9286663663</v>
      </c>
      <c r="H29" s="2">
        <f>'Year 2035 impact'!$D$19*$P$12+'Year 2035 impact'!$D$11*$P$17+'Year 2035 impact'!$D$12+'Year 2035 impact'!$D$14</f>
        <v>-3187222.5888819899</v>
      </c>
      <c r="I29" s="2">
        <f>'Year 2035 impact'!$E$19*$P$12+'Year 2035 impact'!$E$11*$P$17+'Year 2035 impact'!$E$12+'Year 2035 impact'!$E$14</f>
        <v>-3254308.426706004</v>
      </c>
    </row>
    <row r="30" spans="1:18" x14ac:dyDescent="0.35">
      <c r="A30">
        <v>2045</v>
      </c>
      <c r="B30">
        <f t="shared" si="2"/>
        <v>-4240650.1364212986</v>
      </c>
      <c r="C30">
        <f t="shared" si="5"/>
        <v>-4307089.7362192823</v>
      </c>
      <c r="D30">
        <f t="shared" si="3"/>
        <v>-5957745.8476246931</v>
      </c>
      <c r="E30">
        <f t="shared" si="6"/>
        <v>-5970658.3379468471</v>
      </c>
      <c r="F30" s="2">
        <f>'Year 2035 impact'!$B$19*$P$12+'Year 2035 impact'!$B$11*$P$17+'Year 2035 impact'!$B$12+'Year 2035 impact'!$B$14</f>
        <v>-1397305.5111593865</v>
      </c>
      <c r="G30" s="2">
        <f>'Year 2035 impact'!$C$19*$P$12+'Year 2035 impact'!$C$11*$P$17+'Year 2035 impact'!$C$12+'Year 2035 impact'!$C$14</f>
        <v>-1557438.9286663663</v>
      </c>
      <c r="H30" s="2">
        <f>'Year 2035 impact'!$D$19*$P$12+'Year 2035 impact'!$D$11*$P$17+'Year 2035 impact'!$D$12+'Year 2035 impact'!$D$14</f>
        <v>-3187222.5888819899</v>
      </c>
      <c r="I30" s="2">
        <f>'Year 2035 impact'!$E$19*$P$12+'Year 2035 impact'!$E$11*$P$17+'Year 2035 impact'!$E$12+'Year 2035 impact'!$E$14</f>
        <v>-3254308.426706004</v>
      </c>
    </row>
    <row r="31" spans="1:18" x14ac:dyDescent="0.35">
      <c r="A31">
        <v>2046</v>
      </c>
      <c r="B31">
        <f t="shared" si="2"/>
        <v>-4240650.1364212986</v>
      </c>
      <c r="C31">
        <f t="shared" si="5"/>
        <v>-4307089.7362192823</v>
      </c>
      <c r="D31">
        <f t="shared" si="3"/>
        <v>-5957745.8476246931</v>
      </c>
      <c r="E31">
        <f t="shared" si="6"/>
        <v>-5970658.3379468471</v>
      </c>
      <c r="F31" s="2">
        <f>'Year 2035 impact'!$B$19*$P$12+'Year 2035 impact'!$B$11*$P$17+'Year 2035 impact'!$B$12+'Year 2035 impact'!$B$14</f>
        <v>-1397305.5111593865</v>
      </c>
      <c r="G31" s="2">
        <f>'Year 2035 impact'!$C$19*$P$12+'Year 2035 impact'!$C$11*$P$17+'Year 2035 impact'!$C$12+'Year 2035 impact'!$C$14</f>
        <v>-1557438.9286663663</v>
      </c>
      <c r="H31" s="2">
        <f>'Year 2035 impact'!$D$19*$P$12+'Year 2035 impact'!$D$11*$P$17+'Year 2035 impact'!$D$12+'Year 2035 impact'!$D$14</f>
        <v>-3187222.5888819899</v>
      </c>
      <c r="I31" s="2">
        <f>'Year 2035 impact'!$E$19*$P$12+'Year 2035 impact'!$E$11*$P$17+'Year 2035 impact'!$E$12+'Year 2035 impact'!$E$14</f>
        <v>-3254308.426706004</v>
      </c>
    </row>
    <row r="32" spans="1:18" x14ac:dyDescent="0.35">
      <c r="A32">
        <v>2047</v>
      </c>
      <c r="B32">
        <f t="shared" si="2"/>
        <v>-4240650.1364212986</v>
      </c>
      <c r="C32">
        <f t="shared" si="5"/>
        <v>-4307089.7362192823</v>
      </c>
      <c r="D32">
        <f t="shared" si="3"/>
        <v>-5957745.8476246931</v>
      </c>
      <c r="E32">
        <f t="shared" si="6"/>
        <v>-5970658.3379468471</v>
      </c>
      <c r="F32" s="2">
        <f>'Year 2035 impact'!$B$19*$P$12+'Year 2035 impact'!$B$11*$P$17+'Year 2035 impact'!$B$12+'Year 2035 impact'!$B$14</f>
        <v>-1397305.5111593865</v>
      </c>
      <c r="G32" s="2">
        <f>'Year 2035 impact'!$C$19*$P$12+'Year 2035 impact'!$C$11*$P$17+'Year 2035 impact'!$C$12+'Year 2035 impact'!$C$14</f>
        <v>-1557438.9286663663</v>
      </c>
      <c r="H32" s="2">
        <f>'Year 2035 impact'!$D$19*$P$12+'Year 2035 impact'!$D$11*$P$17+'Year 2035 impact'!$D$12+'Year 2035 impact'!$D$14</f>
        <v>-3187222.5888819899</v>
      </c>
      <c r="I32" s="2">
        <f>'Year 2035 impact'!$E$19*$P$12+'Year 2035 impact'!$E$11*$P$17+'Year 2035 impact'!$E$12+'Year 2035 impact'!$E$14</f>
        <v>-3254308.426706004</v>
      </c>
    </row>
    <row r="33" spans="1:10" x14ac:dyDescent="0.35">
      <c r="A33">
        <v>2048</v>
      </c>
      <c r="B33">
        <f t="shared" si="2"/>
        <v>-4240650.1364212986</v>
      </c>
      <c r="C33">
        <f t="shared" si="5"/>
        <v>-4307089.7362192823</v>
      </c>
      <c r="D33">
        <f t="shared" si="3"/>
        <v>-5957745.8476246931</v>
      </c>
      <c r="E33">
        <f t="shared" si="6"/>
        <v>-5970658.3379468471</v>
      </c>
      <c r="F33" s="2">
        <f>'Year 2035 impact'!$B$19*$P$12+'Year 2035 impact'!$B$11*$P$17+'Year 2035 impact'!$B$12+'Year 2035 impact'!$B$14</f>
        <v>-1397305.5111593865</v>
      </c>
      <c r="G33" s="2">
        <f>'Year 2035 impact'!$C$19*$P$12+'Year 2035 impact'!$C$11*$P$17+'Year 2035 impact'!$C$12+'Year 2035 impact'!$C$14</f>
        <v>-1557438.9286663663</v>
      </c>
      <c r="H33" s="2">
        <f>'Year 2035 impact'!$D$19*$P$12+'Year 2035 impact'!$D$11*$P$17+'Year 2035 impact'!$D$12+'Year 2035 impact'!$D$14</f>
        <v>-3187222.5888819899</v>
      </c>
      <c r="I33" s="2">
        <f>'Year 2035 impact'!$E$19*$P$12+'Year 2035 impact'!$E$11*$P$17+'Year 2035 impact'!$E$12+'Year 2035 impact'!$E$14</f>
        <v>-3254308.426706004</v>
      </c>
    </row>
    <row r="34" spans="1:10" x14ac:dyDescent="0.35">
      <c r="A34">
        <v>2049</v>
      </c>
      <c r="B34">
        <f t="shared" si="2"/>
        <v>-4240650.1364212986</v>
      </c>
      <c r="C34">
        <f t="shared" si="5"/>
        <v>-4307089.7362192823</v>
      </c>
      <c r="D34">
        <f t="shared" si="3"/>
        <v>-5957745.8476246931</v>
      </c>
      <c r="E34">
        <f t="shared" si="6"/>
        <v>-5970658.3379468471</v>
      </c>
      <c r="F34" s="2">
        <f>'Year 2035 impact'!$B$19*$P$12+'Year 2035 impact'!$B$11*$P$17+'Year 2035 impact'!$B$12+'Year 2035 impact'!$B$14</f>
        <v>-1397305.5111593865</v>
      </c>
      <c r="G34" s="2">
        <f>'Year 2035 impact'!$C$19*$P$12+'Year 2035 impact'!$C$11*$P$17+'Year 2035 impact'!$C$12+'Year 2035 impact'!$C$14</f>
        <v>-1557438.9286663663</v>
      </c>
      <c r="H34" s="2">
        <f>'Year 2035 impact'!$D$19*$P$12+'Year 2035 impact'!$D$11*$P$17+'Year 2035 impact'!$D$12+'Year 2035 impact'!$D$14</f>
        <v>-3187222.5888819899</v>
      </c>
      <c r="I34" s="2">
        <f>'Year 2035 impact'!$E$19*$P$12+'Year 2035 impact'!$E$11*$P$17+'Year 2035 impact'!$E$12+'Year 2035 impact'!$E$14</f>
        <v>-3254308.426706004</v>
      </c>
    </row>
    <row r="35" spans="1:10" x14ac:dyDescent="0.35">
      <c r="A35">
        <v>2050</v>
      </c>
      <c r="B35">
        <f t="shared" si="2"/>
        <v>-4240650.1364212986</v>
      </c>
      <c r="C35">
        <f t="shared" si="5"/>
        <v>-4307089.7362192823</v>
      </c>
      <c r="D35">
        <f t="shared" si="3"/>
        <v>-5957745.8476246931</v>
      </c>
      <c r="E35">
        <f t="shared" si="6"/>
        <v>-5970658.3379468471</v>
      </c>
      <c r="F35" s="2">
        <f>'Year 2035 impact'!$B$19*$Q$12+'Year 2035 impact'!$B$11*$Q$17+'Year 2035 impact'!$B$12+'Year 2035 impact'!$B$14</f>
        <v>-1208099.7616829472</v>
      </c>
      <c r="G35" s="2">
        <f>'Year 2035 impact'!$C$19*$Q$12+'Year 2035 impact'!$C$11*$Q$17+'Year 2035 impact'!$C$12+'Year 2035 impact'!$C$14</f>
        <v>-1381314.7022096664</v>
      </c>
      <c r="H35" s="2">
        <f>'Year 2035 impact'!$D$19*$Q$12+'Year 2035 impact'!$D$11*$Q$17+'Year 2035 impact'!$D$12+'Year 2035 impact'!$D$14</f>
        <v>-2995958.6719307229</v>
      </c>
      <c r="I35" s="2">
        <f>'Year 2035 impact'!$E$19*$Q$12+'Year 2035 impact'!$E$11*$Q$17+'Year 2035 impact'!$E$12+'Year 2035 impact'!$E$14</f>
        <v>-3070608.1880179392</v>
      </c>
      <c r="J35" s="2">
        <f>AVERAGE(I13:I34)</f>
        <v>-3661676.2512831003</v>
      </c>
    </row>
    <row r="36" spans="1:10" s="47" customFormat="1" x14ac:dyDescent="0.35">
      <c r="A36" s="47">
        <v>2051</v>
      </c>
      <c r="B36" s="47">
        <f t="shared" si="2"/>
        <v>-4240650.1364212986</v>
      </c>
      <c r="C36" s="47">
        <f t="shared" si="5"/>
        <v>-4307089.7362192823</v>
      </c>
      <c r="D36" s="47">
        <f t="shared" si="3"/>
        <v>-5957745.8476246931</v>
      </c>
      <c r="E36" s="47">
        <f t="shared" si="6"/>
        <v>-5970658.3379468471</v>
      </c>
      <c r="F36" s="48">
        <f>'Year 2035 impact'!$B$19*$Q$12+'Year 2035 impact'!$B$11*$Q$17+'Year 2035 impact'!$B$12+'Year 2035 impact'!$B$14</f>
        <v>-1208099.7616829472</v>
      </c>
      <c r="G36" s="48">
        <f>'Year 2035 impact'!$C$19*$Q$12+'Year 2035 impact'!$C$11*$Q$17+'Year 2035 impact'!$C$12+'Year 2035 impact'!$C$14</f>
        <v>-1381314.7022096664</v>
      </c>
      <c r="H36" s="48">
        <f>'Year 2035 impact'!$D$19*$Q$12+'Year 2035 impact'!$D$11*$Q$17+'Year 2035 impact'!$D$12+'Year 2035 impact'!$D$14</f>
        <v>-2995958.6719307229</v>
      </c>
      <c r="I36" s="48">
        <f>'Year 2035 impact'!$E$19*$Q$12+'Year 2035 impact'!$E$11*$Q$17+'Year 2035 impact'!$E$12+'Year 2035 impact'!$E$14</f>
        <v>-3070608.1880179392</v>
      </c>
    </row>
    <row r="37" spans="1:10" s="47" customFormat="1" x14ac:dyDescent="0.35">
      <c r="A37" s="47">
        <v>2052</v>
      </c>
      <c r="B37" s="47">
        <f t="shared" si="2"/>
        <v>-4240650.1364212986</v>
      </c>
      <c r="C37" s="47">
        <f t="shared" si="5"/>
        <v>-4307089.7362192823</v>
      </c>
      <c r="D37" s="47">
        <f t="shared" si="3"/>
        <v>-5957745.8476246931</v>
      </c>
      <c r="E37" s="47">
        <f t="shared" si="6"/>
        <v>-5970658.3379468471</v>
      </c>
      <c r="F37" s="48">
        <f>'Year 2035 impact'!$B$19*$Q$12+'Year 2035 impact'!$B$11*$Q$17+'Year 2035 impact'!$B$12+'Year 2035 impact'!$B$14</f>
        <v>-1208099.7616829472</v>
      </c>
      <c r="G37" s="48">
        <f>'Year 2035 impact'!$C$19*$Q$12+'Year 2035 impact'!$C$11*$Q$17+'Year 2035 impact'!$C$12+'Year 2035 impact'!$C$14</f>
        <v>-1381314.7022096664</v>
      </c>
      <c r="H37" s="48">
        <f>'Year 2035 impact'!$D$19*$Q$12+'Year 2035 impact'!$D$11*$Q$17+'Year 2035 impact'!$D$12+'Year 2035 impact'!$D$14</f>
        <v>-2995958.6719307229</v>
      </c>
      <c r="I37" s="48">
        <f>'Year 2035 impact'!$E$19*$Q$12+'Year 2035 impact'!$E$11*$Q$17+'Year 2035 impact'!$E$12+'Year 2035 impact'!$E$14</f>
        <v>-3070608.1880179392</v>
      </c>
    </row>
    <row r="38" spans="1:10" s="47" customFormat="1" x14ac:dyDescent="0.35">
      <c r="A38" s="47">
        <v>2053</v>
      </c>
      <c r="B38" s="47">
        <f t="shared" si="2"/>
        <v>-4240650.1364212986</v>
      </c>
      <c r="C38" s="47">
        <f t="shared" si="5"/>
        <v>-4307089.7362192823</v>
      </c>
      <c r="D38" s="47">
        <f t="shared" si="3"/>
        <v>-5957745.8476246931</v>
      </c>
      <c r="E38" s="47">
        <f t="shared" si="6"/>
        <v>-5970658.3379468471</v>
      </c>
      <c r="F38" s="48">
        <f>'Year 2035 impact'!$B$19*$Q$12+'Year 2035 impact'!$B$11*$Q$17+'Year 2035 impact'!$B$12+'Year 2035 impact'!$B$14</f>
        <v>-1208099.7616829472</v>
      </c>
      <c r="G38" s="48">
        <f>'Year 2035 impact'!$C$19*$Q$12+'Year 2035 impact'!$C$11*$Q$17+'Year 2035 impact'!$C$12+'Year 2035 impact'!$C$14</f>
        <v>-1381314.7022096664</v>
      </c>
      <c r="H38" s="48">
        <f>'Year 2035 impact'!$D$19*$Q$12+'Year 2035 impact'!$D$11*$Q$17+'Year 2035 impact'!$D$12+'Year 2035 impact'!$D$14</f>
        <v>-2995958.6719307229</v>
      </c>
      <c r="I38" s="48">
        <f>'Year 2035 impact'!$E$19*$Q$12+'Year 2035 impact'!$E$11*$Q$17+'Year 2035 impact'!$E$12+'Year 2035 impact'!$E$14</f>
        <v>-3070608.1880179392</v>
      </c>
    </row>
    <row r="39" spans="1:10" s="47" customFormat="1" x14ac:dyDescent="0.35">
      <c r="A39" s="47">
        <v>2054</v>
      </c>
      <c r="B39" s="47">
        <f t="shared" si="2"/>
        <v>-4240650.1364212986</v>
      </c>
      <c r="C39" s="47">
        <f t="shared" si="5"/>
        <v>-4307089.7362192823</v>
      </c>
      <c r="D39" s="47">
        <f t="shared" si="3"/>
        <v>-5957745.8476246931</v>
      </c>
      <c r="E39" s="47">
        <f t="shared" si="6"/>
        <v>-5970658.3379468471</v>
      </c>
      <c r="F39" s="48">
        <f>'Year 2035 impact'!$B$19*$Q$12+'Year 2035 impact'!$B$11*$Q$17+'Year 2035 impact'!$B$12+'Year 2035 impact'!$B$14</f>
        <v>-1208099.7616829472</v>
      </c>
      <c r="G39" s="48">
        <f>'Year 2035 impact'!$C$19*$Q$12+'Year 2035 impact'!$C$11*$Q$17+'Year 2035 impact'!$C$12+'Year 2035 impact'!$C$14</f>
        <v>-1381314.7022096664</v>
      </c>
      <c r="H39" s="48">
        <f>'Year 2035 impact'!$D$19*$Q$12+'Year 2035 impact'!$D$11*$Q$17+'Year 2035 impact'!$D$12+'Year 2035 impact'!$D$14</f>
        <v>-2995958.6719307229</v>
      </c>
      <c r="I39" s="48">
        <f>'Year 2035 impact'!$E$19*$Q$12+'Year 2035 impact'!$E$11*$Q$17+'Year 2035 impact'!$E$12+'Year 2035 impact'!$E$14</f>
        <v>-3070608.1880179392</v>
      </c>
    </row>
    <row r="40" spans="1:10" s="47" customFormat="1" x14ac:dyDescent="0.35">
      <c r="A40" s="47">
        <v>2055</v>
      </c>
      <c r="B40" s="47">
        <f t="shared" si="2"/>
        <v>-4240650.1364212986</v>
      </c>
      <c r="C40" s="47">
        <f t="shared" si="5"/>
        <v>-4307089.7362192823</v>
      </c>
      <c r="D40" s="47">
        <f t="shared" si="3"/>
        <v>-5957745.8476246931</v>
      </c>
      <c r="E40" s="47">
        <f t="shared" si="6"/>
        <v>-5970658.3379468471</v>
      </c>
      <c r="F40" s="48">
        <f>'Year 2035 impact'!$B$19*$Q$12+'Year 2035 impact'!$B$11*$Q$17+'Year 2035 impact'!$B$12+'Year 2035 impact'!$B$14</f>
        <v>-1208099.7616829472</v>
      </c>
      <c r="G40" s="48">
        <f>'Year 2035 impact'!$C$19*$Q$12+'Year 2035 impact'!$C$11*$Q$17+'Year 2035 impact'!$C$12+'Year 2035 impact'!$C$14</f>
        <v>-1381314.7022096664</v>
      </c>
      <c r="H40" s="48">
        <f>'Year 2035 impact'!$D$19*$Q$12+'Year 2035 impact'!$D$11*$Q$17+'Year 2035 impact'!$D$12+'Year 2035 impact'!$D$14</f>
        <v>-2995958.6719307229</v>
      </c>
      <c r="I40" s="48">
        <f>'Year 2035 impact'!$E$19*$Q$12+'Year 2035 impact'!$E$11*$Q$17+'Year 2035 impact'!$E$12+'Year 2035 impact'!$E$14</f>
        <v>-3070608.1880179392</v>
      </c>
    </row>
    <row r="41" spans="1:10" s="47" customFormat="1" x14ac:dyDescent="0.35">
      <c r="A41" s="47">
        <v>2056</v>
      </c>
      <c r="B41" s="47">
        <f t="shared" si="2"/>
        <v>-4240650.1364212986</v>
      </c>
      <c r="C41" s="47">
        <f t="shared" si="5"/>
        <v>-4307089.7362192823</v>
      </c>
      <c r="D41" s="47">
        <f t="shared" si="3"/>
        <v>-5957745.8476246931</v>
      </c>
      <c r="E41" s="47">
        <f t="shared" si="6"/>
        <v>-5970658.3379468471</v>
      </c>
      <c r="F41" s="48">
        <f>'Year 2035 impact'!$B$19*$Q$12+'Year 2035 impact'!$B$11*$Q$17+'Year 2035 impact'!$B$12+'Year 2035 impact'!$B$14</f>
        <v>-1208099.7616829472</v>
      </c>
      <c r="G41" s="48">
        <f>'Year 2035 impact'!$C$19*$Q$12+'Year 2035 impact'!$C$11*$Q$17+'Year 2035 impact'!$C$12+'Year 2035 impact'!$C$14</f>
        <v>-1381314.7022096664</v>
      </c>
      <c r="H41" s="48">
        <f>'Year 2035 impact'!$D$19*$Q$12+'Year 2035 impact'!$D$11*$Q$17+'Year 2035 impact'!$D$12+'Year 2035 impact'!$D$14</f>
        <v>-2995958.6719307229</v>
      </c>
      <c r="I41" s="48">
        <f>'Year 2035 impact'!$E$19*$Q$12+'Year 2035 impact'!$E$11*$Q$17+'Year 2035 impact'!$E$12+'Year 2035 impact'!$E$14</f>
        <v>-3070608.1880179392</v>
      </c>
    </row>
    <row r="42" spans="1:10" s="47" customFormat="1" x14ac:dyDescent="0.35">
      <c r="A42" s="47">
        <v>2057</v>
      </c>
      <c r="B42" s="47">
        <f t="shared" si="2"/>
        <v>-4240650.1364212986</v>
      </c>
      <c r="C42" s="47">
        <f t="shared" si="5"/>
        <v>-4307089.7362192823</v>
      </c>
      <c r="D42" s="47">
        <f t="shared" si="3"/>
        <v>-5957745.8476246931</v>
      </c>
      <c r="E42" s="47">
        <f t="shared" si="6"/>
        <v>-5970658.3379468471</v>
      </c>
      <c r="F42" s="48">
        <f>'Year 2035 impact'!$B$19*$Q$12+'Year 2035 impact'!$B$11*$Q$17+'Year 2035 impact'!$B$12+'Year 2035 impact'!$B$14</f>
        <v>-1208099.7616829472</v>
      </c>
      <c r="G42" s="48">
        <f>'Year 2035 impact'!$C$19*$Q$12+'Year 2035 impact'!$C$11*$Q$17+'Year 2035 impact'!$C$12+'Year 2035 impact'!$C$14</f>
        <v>-1381314.7022096664</v>
      </c>
      <c r="H42" s="48">
        <f>'Year 2035 impact'!$D$19*$Q$12+'Year 2035 impact'!$D$11*$Q$17+'Year 2035 impact'!$D$12+'Year 2035 impact'!$D$14</f>
        <v>-2995958.6719307229</v>
      </c>
      <c r="I42" s="48">
        <f>'Year 2035 impact'!$E$19*$Q$12+'Year 2035 impact'!$E$11*$Q$17+'Year 2035 impact'!$E$12+'Year 2035 impact'!$E$14</f>
        <v>-3070608.1880179392</v>
      </c>
    </row>
    <row r="43" spans="1:10" s="47" customFormat="1" x14ac:dyDescent="0.35">
      <c r="A43" s="47">
        <v>2058</v>
      </c>
      <c r="B43" s="47">
        <f t="shared" si="2"/>
        <v>-4240650.1364212986</v>
      </c>
      <c r="C43" s="47">
        <f t="shared" si="5"/>
        <v>-4307089.7362192823</v>
      </c>
      <c r="D43" s="47">
        <f t="shared" si="3"/>
        <v>-5957745.8476246931</v>
      </c>
      <c r="E43" s="47">
        <f t="shared" si="6"/>
        <v>-5970658.3379468471</v>
      </c>
      <c r="F43" s="48">
        <f>'Year 2035 impact'!$B$19*$Q$12+'Year 2035 impact'!$B$11*$Q$17+'Year 2035 impact'!$B$12+'Year 2035 impact'!$B$14</f>
        <v>-1208099.7616829472</v>
      </c>
      <c r="G43" s="48">
        <f>'Year 2035 impact'!$C$19*$Q$12+'Year 2035 impact'!$C$11*$Q$17+'Year 2035 impact'!$C$12+'Year 2035 impact'!$C$14</f>
        <v>-1381314.7022096664</v>
      </c>
      <c r="H43" s="48">
        <f>'Year 2035 impact'!$D$19*$Q$12+'Year 2035 impact'!$D$11*$Q$17+'Year 2035 impact'!$D$12+'Year 2035 impact'!$D$14</f>
        <v>-2995958.6719307229</v>
      </c>
      <c r="I43" s="48">
        <f>'Year 2035 impact'!$E$19*$Q$12+'Year 2035 impact'!$E$11*$Q$17+'Year 2035 impact'!$E$12+'Year 2035 impact'!$E$14</f>
        <v>-3070608.1880179392</v>
      </c>
    </row>
    <row r="44" spans="1:10" s="47" customFormat="1" x14ac:dyDescent="0.35">
      <c r="A44" s="47">
        <v>2059</v>
      </c>
      <c r="B44" s="47">
        <f t="shared" si="2"/>
        <v>-4240650.1364212986</v>
      </c>
      <c r="C44" s="47">
        <f t="shared" si="5"/>
        <v>-4307089.7362192823</v>
      </c>
      <c r="D44" s="47">
        <f t="shared" si="3"/>
        <v>-5957745.8476246931</v>
      </c>
      <c r="E44" s="47">
        <f t="shared" si="6"/>
        <v>-5970658.3379468471</v>
      </c>
      <c r="F44" s="48">
        <f>'Year 2035 impact'!$B$19*$Q$12+'Year 2035 impact'!$B$11*$Q$17+'Year 2035 impact'!$B$12+'Year 2035 impact'!$B$14</f>
        <v>-1208099.7616829472</v>
      </c>
      <c r="G44" s="48">
        <f>'Year 2035 impact'!$C$19*$Q$12+'Year 2035 impact'!$C$11*$Q$17+'Year 2035 impact'!$C$12+'Year 2035 impact'!$C$14</f>
        <v>-1381314.7022096664</v>
      </c>
      <c r="H44" s="48">
        <f>'Year 2035 impact'!$D$19*$Q$12+'Year 2035 impact'!$D$11*$Q$17+'Year 2035 impact'!$D$12+'Year 2035 impact'!$D$14</f>
        <v>-2995958.6719307229</v>
      </c>
      <c r="I44" s="48">
        <f>'Year 2035 impact'!$E$19*$Q$12+'Year 2035 impact'!$E$11*$Q$17+'Year 2035 impact'!$E$12+'Year 2035 impact'!$E$14</f>
        <v>-3070608.1880179392</v>
      </c>
    </row>
    <row r="45" spans="1:10" s="47" customFormat="1" x14ac:dyDescent="0.35">
      <c r="A45" s="47">
        <v>2060</v>
      </c>
      <c r="B45" s="47">
        <f t="shared" si="2"/>
        <v>-4240650.1364212986</v>
      </c>
      <c r="C45" s="47">
        <f t="shared" si="5"/>
        <v>-4307089.7362192823</v>
      </c>
      <c r="D45" s="47">
        <f t="shared" si="3"/>
        <v>-5957745.8476246931</v>
      </c>
      <c r="E45" s="47">
        <f t="shared" si="6"/>
        <v>-5970658.3379468471</v>
      </c>
      <c r="F45" s="48">
        <f>'Year 2035 impact'!$B$19*$R$12+'Year 2035 impact'!$B$11*$R$17+'Year 2035 impact'!$B$12+'Year 2035 impact'!$B$14</f>
        <v>-1200664.9015229719</v>
      </c>
      <c r="G45" s="48">
        <f>'Year 2035 impact'!$C$19*$R$12+'Year 2035 impact'!$C$11*$R$17+'Year 2035 impact'!$C$12+'Year 2035 impact'!$C$14</f>
        <v>-1395863.3300456526</v>
      </c>
      <c r="H45" s="48">
        <f>'Year 2035 impact'!$D$19*$R$12+'Year 2035 impact'!$D$11*$R$17+'Year 2035 impact'!$D$12+'Year 2035 impact'!$D$14</f>
        <v>-2966794.3559093317</v>
      </c>
      <c r="I45" s="48">
        <f>'Year 2035 impact'!$E$19*$R$12+'Year 2035 impact'!$E$11*$R$17+'Year 2035 impact'!$E$12+'Year 2035 impact'!$E$14</f>
        <v>-3054154.6267040474</v>
      </c>
    </row>
    <row r="46" spans="1:10" s="47" customFormat="1" x14ac:dyDescent="0.35">
      <c r="A46" s="47">
        <v>2061</v>
      </c>
      <c r="B46" s="47">
        <f t="shared" si="2"/>
        <v>-4240650.1364212986</v>
      </c>
      <c r="C46" s="47">
        <f t="shared" si="5"/>
        <v>-4307089.7362192823</v>
      </c>
      <c r="D46" s="47">
        <f t="shared" si="3"/>
        <v>-5957745.8476246931</v>
      </c>
      <c r="E46" s="47">
        <f t="shared" si="6"/>
        <v>-5970658.3379468471</v>
      </c>
      <c r="F46" s="48">
        <f>'Year 2035 impact'!$B$19*$R$12+'Year 2035 impact'!$B$11*$R$17+'Year 2035 impact'!$B$12+'Year 2035 impact'!$B$14</f>
        <v>-1200664.9015229719</v>
      </c>
      <c r="G46" s="48">
        <f>'Year 2035 impact'!$C$19*$R$12+'Year 2035 impact'!$C$11*$R$17+'Year 2035 impact'!$C$12+'Year 2035 impact'!$C$14</f>
        <v>-1395863.3300456526</v>
      </c>
      <c r="H46" s="48">
        <f>'Year 2035 impact'!$D$19*$R$12+'Year 2035 impact'!$D$11*$R$17+'Year 2035 impact'!$D$12+'Year 2035 impact'!$D$14</f>
        <v>-2966794.3559093317</v>
      </c>
      <c r="I46" s="48">
        <f>'Year 2035 impact'!$E$19*$R$12+'Year 2035 impact'!$E$11*$R$17+'Year 2035 impact'!$E$12+'Year 2035 impact'!$E$14</f>
        <v>-3054154.6267040474</v>
      </c>
    </row>
    <row r="47" spans="1:10" s="47" customFormat="1" x14ac:dyDescent="0.35">
      <c r="A47" s="47">
        <v>2062</v>
      </c>
      <c r="B47" s="47">
        <f t="shared" si="2"/>
        <v>-4240650.1364212986</v>
      </c>
      <c r="C47" s="47">
        <f t="shared" si="5"/>
        <v>-4307089.7362192823</v>
      </c>
      <c r="D47" s="47">
        <f t="shared" si="3"/>
        <v>-5957745.8476246931</v>
      </c>
      <c r="E47" s="47">
        <f t="shared" si="6"/>
        <v>-5970658.3379468471</v>
      </c>
      <c r="F47" s="48">
        <f>'Year 2035 impact'!$B$19*$R$12+'Year 2035 impact'!$B$11*$R$17+'Year 2035 impact'!$B$12+'Year 2035 impact'!$B$14</f>
        <v>-1200664.9015229719</v>
      </c>
      <c r="G47" s="48">
        <f>'Year 2035 impact'!$C$19*$R$12+'Year 2035 impact'!$C$11*$R$17+'Year 2035 impact'!$C$12+'Year 2035 impact'!$C$14</f>
        <v>-1395863.3300456526</v>
      </c>
      <c r="H47" s="48">
        <f>'Year 2035 impact'!$D$19*$R$12+'Year 2035 impact'!$D$11*$R$17+'Year 2035 impact'!$D$12+'Year 2035 impact'!$D$14</f>
        <v>-2966794.3559093317</v>
      </c>
      <c r="I47" s="48">
        <f>'Year 2035 impact'!$E$19*$R$12+'Year 2035 impact'!$E$11*$R$17+'Year 2035 impact'!$E$12+'Year 2035 impact'!$E$14</f>
        <v>-3054154.6267040474</v>
      </c>
    </row>
    <row r="48" spans="1:10" s="47" customFormat="1" x14ac:dyDescent="0.35">
      <c r="A48" s="47">
        <v>2063</v>
      </c>
      <c r="B48" s="47">
        <f t="shared" si="2"/>
        <v>-4240650.1364212986</v>
      </c>
      <c r="C48" s="47">
        <f t="shared" si="5"/>
        <v>-4307089.7362192823</v>
      </c>
      <c r="D48" s="47">
        <f t="shared" si="3"/>
        <v>-5957745.8476246931</v>
      </c>
      <c r="E48" s="47">
        <f t="shared" si="6"/>
        <v>-5970658.3379468471</v>
      </c>
      <c r="F48" s="48">
        <f>'Year 2035 impact'!$B$19*$R$12+'Year 2035 impact'!$B$11*$R$17+'Year 2035 impact'!$B$12+'Year 2035 impact'!$B$14</f>
        <v>-1200664.9015229719</v>
      </c>
      <c r="G48" s="48">
        <f>'Year 2035 impact'!$C$19*$R$12+'Year 2035 impact'!$C$11*$R$17+'Year 2035 impact'!$C$12+'Year 2035 impact'!$C$14</f>
        <v>-1395863.3300456526</v>
      </c>
      <c r="H48" s="48">
        <f>'Year 2035 impact'!$D$19*$R$12+'Year 2035 impact'!$D$11*$R$17+'Year 2035 impact'!$D$12+'Year 2035 impact'!$D$14</f>
        <v>-2966794.3559093317</v>
      </c>
      <c r="I48" s="48">
        <f>'Year 2035 impact'!$E$19*$R$12+'Year 2035 impact'!$E$11*$R$17+'Year 2035 impact'!$E$12+'Year 2035 impact'!$E$14</f>
        <v>-3054154.6267040474</v>
      </c>
    </row>
    <row r="49" spans="1:9" s="47" customFormat="1" x14ac:dyDescent="0.35">
      <c r="A49" s="47">
        <v>2064</v>
      </c>
      <c r="B49" s="47">
        <f t="shared" si="2"/>
        <v>-4240650.1364212986</v>
      </c>
      <c r="C49" s="47">
        <f t="shared" si="5"/>
        <v>-4307089.7362192823</v>
      </c>
      <c r="D49" s="47">
        <f t="shared" si="3"/>
        <v>-5957745.8476246931</v>
      </c>
      <c r="E49" s="47">
        <f t="shared" si="6"/>
        <v>-5970658.3379468471</v>
      </c>
      <c r="F49" s="48">
        <f>'Year 2035 impact'!$B$19*$R$12+'Year 2035 impact'!$B$11*$R$17+'Year 2035 impact'!$B$12+'Year 2035 impact'!$B$14</f>
        <v>-1200664.9015229719</v>
      </c>
      <c r="G49" s="48">
        <f>'Year 2035 impact'!$C$19*$R$12+'Year 2035 impact'!$C$11*$R$17+'Year 2035 impact'!$C$12+'Year 2035 impact'!$C$14</f>
        <v>-1395863.3300456526</v>
      </c>
      <c r="H49" s="48">
        <f>'Year 2035 impact'!$D$19*$R$12+'Year 2035 impact'!$D$11*$R$17+'Year 2035 impact'!$D$12+'Year 2035 impact'!$D$14</f>
        <v>-2966794.3559093317</v>
      </c>
      <c r="I49" s="48">
        <f>'Year 2035 impact'!$E$19*$R$12+'Year 2035 impact'!$E$11*$R$17+'Year 2035 impact'!$E$12+'Year 2035 impact'!$E$14</f>
        <v>-3054154.6267040474</v>
      </c>
    </row>
    <row r="50" spans="1:9" s="47" customFormat="1" x14ac:dyDescent="0.35">
      <c r="A50" s="47">
        <v>2065</v>
      </c>
      <c r="B50" s="47">
        <f t="shared" si="2"/>
        <v>-4240650.1364212986</v>
      </c>
      <c r="C50" s="47">
        <f t="shared" si="5"/>
        <v>-4307089.7362192823</v>
      </c>
      <c r="D50" s="47">
        <f t="shared" si="3"/>
        <v>-5957745.8476246931</v>
      </c>
      <c r="E50" s="47">
        <f t="shared" si="6"/>
        <v>-5970658.3379468471</v>
      </c>
      <c r="F50" s="48">
        <f>'Year 2035 impact'!$B$19*$R$12+'Year 2035 impact'!$B$11*$R$17+'Year 2035 impact'!$B$12+'Year 2035 impact'!$B$14</f>
        <v>-1200664.9015229719</v>
      </c>
      <c r="G50" s="48">
        <f>'Year 2035 impact'!$C$19*$R$12+'Year 2035 impact'!$C$11*$R$17+'Year 2035 impact'!$C$12+'Year 2035 impact'!$C$14</f>
        <v>-1395863.3300456526</v>
      </c>
      <c r="H50" s="48">
        <f>'Year 2035 impact'!$D$19*$R$12+'Year 2035 impact'!$D$11*$R$17+'Year 2035 impact'!$D$12+'Year 2035 impact'!$D$14</f>
        <v>-2966794.3559093317</v>
      </c>
      <c r="I50" s="48">
        <f>'Year 2035 impact'!$E$19*$R$12+'Year 2035 impact'!$E$11*$R$17+'Year 2035 impact'!$E$12+'Year 2035 impact'!$E$14</f>
        <v>-3054154.6267040474</v>
      </c>
    </row>
    <row r="51" spans="1:9" s="47" customFormat="1" x14ac:dyDescent="0.35">
      <c r="A51" s="47">
        <v>2066</v>
      </c>
      <c r="B51" s="47">
        <f t="shared" si="2"/>
        <v>-4240650.1364212986</v>
      </c>
      <c r="C51" s="47">
        <f t="shared" si="5"/>
        <v>-4307089.7362192823</v>
      </c>
      <c r="D51" s="47">
        <f t="shared" si="3"/>
        <v>-5957745.8476246931</v>
      </c>
      <c r="E51" s="47">
        <f t="shared" si="6"/>
        <v>-5970658.3379468471</v>
      </c>
      <c r="F51" s="48">
        <f>'Year 2035 impact'!$B$19*$R$12+'Year 2035 impact'!$B$11*$R$17+'Year 2035 impact'!$B$12+'Year 2035 impact'!$B$14</f>
        <v>-1200664.9015229719</v>
      </c>
      <c r="G51" s="48">
        <f>'Year 2035 impact'!$C$19*$R$12+'Year 2035 impact'!$C$11*$R$17+'Year 2035 impact'!$C$12+'Year 2035 impact'!$C$14</f>
        <v>-1395863.3300456526</v>
      </c>
      <c r="H51" s="48">
        <f>'Year 2035 impact'!$D$19*$R$12+'Year 2035 impact'!$D$11*$R$17+'Year 2035 impact'!$D$12+'Year 2035 impact'!$D$14</f>
        <v>-2966794.3559093317</v>
      </c>
      <c r="I51" s="48">
        <f>'Year 2035 impact'!$E$19*$R$12+'Year 2035 impact'!$E$11*$R$17+'Year 2035 impact'!$E$12+'Year 2035 impact'!$E$14</f>
        <v>-3054154.6267040474</v>
      </c>
    </row>
    <row r="52" spans="1:9" s="47" customFormat="1" x14ac:dyDescent="0.35">
      <c r="A52" s="47">
        <v>2067</v>
      </c>
      <c r="B52" s="47">
        <f t="shared" si="2"/>
        <v>-4240650.1364212986</v>
      </c>
      <c r="C52" s="47">
        <f t="shared" si="5"/>
        <v>-4307089.7362192823</v>
      </c>
      <c r="D52" s="47">
        <f t="shared" si="3"/>
        <v>-5957745.8476246931</v>
      </c>
      <c r="E52" s="47">
        <f t="shared" si="6"/>
        <v>-5970658.3379468471</v>
      </c>
      <c r="F52" s="48">
        <f>'Year 2035 impact'!$B$19*$R$12+'Year 2035 impact'!$B$11*$R$17+'Year 2035 impact'!$B$12+'Year 2035 impact'!$B$14</f>
        <v>-1200664.9015229719</v>
      </c>
      <c r="G52" s="48">
        <f>'Year 2035 impact'!$C$19*$R$12+'Year 2035 impact'!$C$11*$R$17+'Year 2035 impact'!$C$12+'Year 2035 impact'!$C$14</f>
        <v>-1395863.3300456526</v>
      </c>
      <c r="H52" s="48">
        <f>'Year 2035 impact'!$D$19*$R$12+'Year 2035 impact'!$D$11*$R$17+'Year 2035 impact'!$D$12+'Year 2035 impact'!$D$14</f>
        <v>-2966794.3559093317</v>
      </c>
      <c r="I52" s="48">
        <f>'Year 2035 impact'!$E$19*$R$12+'Year 2035 impact'!$E$11*$R$17+'Year 2035 impact'!$E$12+'Year 2035 impact'!$E$14</f>
        <v>-3054154.6267040474</v>
      </c>
    </row>
    <row r="53" spans="1:9" s="47" customFormat="1" x14ac:dyDescent="0.35">
      <c r="A53" s="47">
        <v>2068</v>
      </c>
      <c r="B53" s="47">
        <f t="shared" si="2"/>
        <v>-4240650.1364212986</v>
      </c>
      <c r="C53" s="47">
        <f t="shared" si="5"/>
        <v>-4307089.7362192823</v>
      </c>
      <c r="D53" s="47">
        <f t="shared" si="3"/>
        <v>-5957745.8476246931</v>
      </c>
      <c r="E53" s="47">
        <f t="shared" si="6"/>
        <v>-5970658.3379468471</v>
      </c>
      <c r="F53" s="48">
        <f>'Year 2035 impact'!$B$19*$R$12+'Year 2035 impact'!$B$11*$R$17+'Year 2035 impact'!$B$12+'Year 2035 impact'!$B$14</f>
        <v>-1200664.9015229719</v>
      </c>
      <c r="G53" s="48">
        <f>'Year 2035 impact'!$C$19*$R$12+'Year 2035 impact'!$C$11*$R$17+'Year 2035 impact'!$C$12+'Year 2035 impact'!$C$14</f>
        <v>-1395863.3300456526</v>
      </c>
      <c r="H53" s="48">
        <f>'Year 2035 impact'!$D$19*$R$12+'Year 2035 impact'!$D$11*$R$17+'Year 2035 impact'!$D$12+'Year 2035 impact'!$D$14</f>
        <v>-2966794.3559093317</v>
      </c>
      <c r="I53" s="48">
        <f>'Year 2035 impact'!$E$19*$R$12+'Year 2035 impact'!$E$11*$R$17+'Year 2035 impact'!$E$12+'Year 2035 impact'!$E$14</f>
        <v>-3054154.6267040474</v>
      </c>
    </row>
    <row r="54" spans="1:9" s="47" customFormat="1" x14ac:dyDescent="0.35">
      <c r="A54" s="47">
        <v>2069</v>
      </c>
      <c r="B54" s="47">
        <f t="shared" si="2"/>
        <v>-4240650.1364212986</v>
      </c>
      <c r="C54" s="47">
        <f t="shared" si="5"/>
        <v>-4307089.7362192823</v>
      </c>
      <c r="D54" s="47">
        <f t="shared" si="3"/>
        <v>-5957745.8476246931</v>
      </c>
      <c r="E54" s="47">
        <f t="shared" si="6"/>
        <v>-5970658.3379468471</v>
      </c>
      <c r="F54" s="48">
        <f>'Year 2035 impact'!$B$19*$R$12+'Year 2035 impact'!$B$11*$R$17+'Year 2035 impact'!$B$12+'Year 2035 impact'!$B$14</f>
        <v>-1200664.9015229719</v>
      </c>
      <c r="G54" s="48">
        <f>'Year 2035 impact'!$C$19*$R$12+'Year 2035 impact'!$C$11*$R$17+'Year 2035 impact'!$C$12+'Year 2035 impact'!$C$14</f>
        <v>-1395863.3300456526</v>
      </c>
      <c r="H54" s="48">
        <f>'Year 2035 impact'!$D$19*$R$12+'Year 2035 impact'!$D$11*$R$17+'Year 2035 impact'!$D$12+'Year 2035 impact'!$D$14</f>
        <v>-2966794.3559093317</v>
      </c>
      <c r="I54" s="48">
        <f>'Year 2035 impact'!$E$19*$R$12+'Year 2035 impact'!$E$11*$R$17+'Year 2035 impact'!$E$12+'Year 2035 impact'!$E$14</f>
        <v>-3054154.6267040474</v>
      </c>
    </row>
    <row r="55" spans="1:9" x14ac:dyDescent="0.35">
      <c r="B55" s="6"/>
      <c r="C55" s="6"/>
      <c r="D55" s="6"/>
      <c r="E55" s="6"/>
      <c r="F55" s="6"/>
      <c r="G55" s="6"/>
      <c r="H55" s="6"/>
      <c r="I55" s="6"/>
    </row>
    <row r="56" spans="1:9" x14ac:dyDescent="0.35">
      <c r="B56" s="6"/>
      <c r="C56" s="12"/>
      <c r="D56" s="12"/>
      <c r="E56" s="12"/>
      <c r="F56" s="12"/>
      <c r="G56" s="12"/>
      <c r="H56" s="12"/>
      <c r="I56" s="12"/>
    </row>
    <row r="57" spans="1:9" x14ac:dyDescent="0.35">
      <c r="B57" s="6"/>
      <c r="C57" s="6"/>
      <c r="D57" s="6"/>
      <c r="E57" s="6"/>
      <c r="F57" s="6"/>
      <c r="G57" s="6"/>
      <c r="H57" s="6"/>
      <c r="I57" s="6"/>
    </row>
    <row r="58" spans="1:9" x14ac:dyDescent="0.35">
      <c r="C58" s="12"/>
      <c r="D58" s="12"/>
      <c r="E58" s="12"/>
      <c r="F58" s="12"/>
      <c r="G58" s="12"/>
      <c r="H58" s="12"/>
      <c r="I58" s="12"/>
    </row>
    <row r="59" spans="1:9" ht="28.5" customHeight="1" x14ac:dyDescent="0.35">
      <c r="B59" s="57" t="s">
        <v>46</v>
      </c>
      <c r="C59" s="57"/>
      <c r="D59" s="57"/>
      <c r="E59" s="57"/>
      <c r="F59" s="58" t="s">
        <v>45</v>
      </c>
      <c r="G59" s="58"/>
      <c r="H59" s="58"/>
      <c r="I59" s="58"/>
    </row>
    <row r="60" spans="1:9" x14ac:dyDescent="0.35">
      <c r="B60" s="1" t="s">
        <v>65</v>
      </c>
      <c r="C60" s="1" t="s">
        <v>51</v>
      </c>
      <c r="D60" s="1" t="s">
        <v>52</v>
      </c>
      <c r="E60" s="1" t="s">
        <v>53</v>
      </c>
      <c r="F60" s="1" t="s">
        <v>65</v>
      </c>
      <c r="G60" s="1" t="s">
        <v>51</v>
      </c>
      <c r="H60" s="1" t="s">
        <v>52</v>
      </c>
      <c r="I60" s="1" t="s">
        <v>53</v>
      </c>
    </row>
    <row r="61" spans="1:9" x14ac:dyDescent="0.35">
      <c r="A61">
        <v>2020</v>
      </c>
      <c r="B61">
        <f t="shared" ref="B61:I61" si="8">B5</f>
        <v>0</v>
      </c>
      <c r="C61">
        <f>C5</f>
        <v>0</v>
      </c>
      <c r="D61">
        <f t="shared" si="8"/>
        <v>0</v>
      </c>
      <c r="E61">
        <f t="shared" si="8"/>
        <v>0</v>
      </c>
      <c r="F61">
        <f t="shared" si="8"/>
        <v>0</v>
      </c>
      <c r="G61">
        <f>G5</f>
        <v>0</v>
      </c>
      <c r="H61">
        <f t="shared" si="8"/>
        <v>0</v>
      </c>
      <c r="I61">
        <f t="shared" si="8"/>
        <v>0</v>
      </c>
    </row>
    <row r="62" spans="1:9" x14ac:dyDescent="0.35">
      <c r="A62">
        <v>2021</v>
      </c>
      <c r="B62">
        <f t="shared" ref="B62:H62" si="9">B6+B61</f>
        <v>0</v>
      </c>
      <c r="C62">
        <f>C6+C61</f>
        <v>0</v>
      </c>
      <c r="D62">
        <f t="shared" si="9"/>
        <v>0</v>
      </c>
      <c r="E62">
        <f t="shared" si="9"/>
        <v>0</v>
      </c>
      <c r="F62">
        <f t="shared" si="9"/>
        <v>0</v>
      </c>
      <c r="G62">
        <f t="shared" ref="G62:G110" si="10">G6+G61</f>
        <v>0</v>
      </c>
      <c r="H62">
        <f t="shared" si="9"/>
        <v>0</v>
      </c>
      <c r="I62">
        <f t="shared" ref="I62:I110" si="11">I6+I61</f>
        <v>0</v>
      </c>
    </row>
    <row r="63" spans="1:9" x14ac:dyDescent="0.35">
      <c r="A63">
        <v>2022</v>
      </c>
      <c r="B63">
        <f t="shared" ref="B63:B110" si="12">B7+B62</f>
        <v>0</v>
      </c>
      <c r="C63">
        <f t="shared" ref="C63:C110" si="13">C7+C62</f>
        <v>0</v>
      </c>
      <c r="D63">
        <f t="shared" ref="D63:D110" si="14">D7+D62</f>
        <v>0</v>
      </c>
      <c r="E63">
        <f t="shared" ref="E63:E110" si="15">E7+E62</f>
        <v>0</v>
      </c>
      <c r="F63">
        <f t="shared" ref="F63:H110" si="16">F7+F62</f>
        <v>0</v>
      </c>
      <c r="G63">
        <f t="shared" si="10"/>
        <v>0</v>
      </c>
      <c r="H63">
        <f t="shared" ref="H63:H77" si="17">H7+H62</f>
        <v>0</v>
      </c>
      <c r="I63">
        <f t="shared" si="11"/>
        <v>0</v>
      </c>
    </row>
    <row r="64" spans="1:9" x14ac:dyDescent="0.35">
      <c r="A64">
        <v>2023</v>
      </c>
      <c r="B64">
        <f t="shared" si="12"/>
        <v>-4240650.1364212986</v>
      </c>
      <c r="C64">
        <f t="shared" si="13"/>
        <v>-4240650.1364212986</v>
      </c>
      <c r="D64">
        <f t="shared" si="14"/>
        <v>-4240650.1364212986</v>
      </c>
      <c r="E64">
        <f t="shared" si="15"/>
        <v>-4240650.1364212986</v>
      </c>
      <c r="F64">
        <f t="shared" si="16"/>
        <v>-2588950.9947228422</v>
      </c>
      <c r="G64">
        <f t="shared" si="10"/>
        <v>-2588950.9947228422</v>
      </c>
      <c r="H64">
        <f t="shared" si="17"/>
        <v>-2588950.9947228422</v>
      </c>
      <c r="I64">
        <f t="shared" si="11"/>
        <v>-2588950.9947228422</v>
      </c>
    </row>
    <row r="65" spans="1:9" x14ac:dyDescent="0.35">
      <c r="A65">
        <v>2024</v>
      </c>
      <c r="B65">
        <f t="shared" si="12"/>
        <v>-8481300.2728425972</v>
      </c>
      <c r="C65">
        <f t="shared" si="13"/>
        <v>-8481300.2728425972</v>
      </c>
      <c r="D65">
        <f t="shared" si="14"/>
        <v>-8481300.2728425972</v>
      </c>
      <c r="E65">
        <f t="shared" si="15"/>
        <v>-8481300.2728425972</v>
      </c>
      <c r="F65">
        <f t="shared" si="16"/>
        <v>-5177901.9894456845</v>
      </c>
      <c r="G65">
        <f t="shared" si="10"/>
        <v>-5177901.9894456845</v>
      </c>
      <c r="H65">
        <f t="shared" si="17"/>
        <v>-5177901.9894456845</v>
      </c>
      <c r="I65">
        <f t="shared" si="11"/>
        <v>-5177901.9894456845</v>
      </c>
    </row>
    <row r="66" spans="1:9" x14ac:dyDescent="0.35">
      <c r="A66">
        <v>2025</v>
      </c>
      <c r="B66">
        <f t="shared" si="12"/>
        <v>-12721950.409263896</v>
      </c>
      <c r="C66">
        <f t="shared" si="13"/>
        <v>-12721950.409263896</v>
      </c>
      <c r="D66">
        <f t="shared" si="14"/>
        <v>-12721950.409263896</v>
      </c>
      <c r="E66">
        <f t="shared" si="15"/>
        <v>-12721950.409263896</v>
      </c>
      <c r="F66">
        <f t="shared" si="16"/>
        <v>-7766852.9841685267</v>
      </c>
      <c r="G66">
        <f t="shared" si="10"/>
        <v>-7766852.9841685267</v>
      </c>
      <c r="H66">
        <f t="shared" si="17"/>
        <v>-7766852.9841685267</v>
      </c>
      <c r="I66">
        <f t="shared" si="11"/>
        <v>-7766852.9841685267</v>
      </c>
    </row>
    <row r="67" spans="1:9" x14ac:dyDescent="0.35">
      <c r="A67">
        <v>2026</v>
      </c>
      <c r="B67">
        <f t="shared" si="12"/>
        <v>-16962600.545685194</v>
      </c>
      <c r="C67">
        <f t="shared" si="13"/>
        <v>-16962600.545685194</v>
      </c>
      <c r="D67">
        <f t="shared" si="14"/>
        <v>-16962600.545685194</v>
      </c>
      <c r="E67">
        <f t="shared" si="15"/>
        <v>-16962600.545685194</v>
      </c>
      <c r="F67">
        <f t="shared" si="16"/>
        <v>-10355803.978891369</v>
      </c>
      <c r="G67">
        <f t="shared" si="10"/>
        <v>-10355803.978891369</v>
      </c>
      <c r="H67">
        <f t="shared" si="17"/>
        <v>-10355803.978891369</v>
      </c>
      <c r="I67">
        <f t="shared" si="11"/>
        <v>-10355803.978891369</v>
      </c>
    </row>
    <row r="68" spans="1:9" x14ac:dyDescent="0.35">
      <c r="A68">
        <v>2027</v>
      </c>
      <c r="B68">
        <f t="shared" si="12"/>
        <v>-21203250.682106495</v>
      </c>
      <c r="C68">
        <f t="shared" si="13"/>
        <v>-21203250.682106495</v>
      </c>
      <c r="D68">
        <f t="shared" si="14"/>
        <v>-21203250.682106495</v>
      </c>
      <c r="E68">
        <f t="shared" si="15"/>
        <v>-21203250.682106495</v>
      </c>
      <c r="F68">
        <f t="shared" si="16"/>
        <v>-12944754.973614212</v>
      </c>
      <c r="G68">
        <f t="shared" si="10"/>
        <v>-12944754.973614212</v>
      </c>
      <c r="H68">
        <f t="shared" si="17"/>
        <v>-12944754.973614212</v>
      </c>
      <c r="I68">
        <f t="shared" si="11"/>
        <v>-12944754.973614212</v>
      </c>
    </row>
    <row r="69" spans="1:9" x14ac:dyDescent="0.35">
      <c r="A69">
        <v>2028</v>
      </c>
      <c r="B69">
        <f t="shared" si="12"/>
        <v>-25443900.818527795</v>
      </c>
      <c r="C69">
        <f t="shared" si="13"/>
        <v>-25510340.418325778</v>
      </c>
      <c r="D69">
        <f t="shared" si="14"/>
        <v>-27160996.529731188</v>
      </c>
      <c r="E69">
        <f t="shared" si="15"/>
        <v>-27173909.020053342</v>
      </c>
      <c r="F69">
        <f t="shared" si="16"/>
        <v>-15533705.968337055</v>
      </c>
      <c r="G69">
        <f t="shared" si="10"/>
        <v>-15636072.349491723</v>
      </c>
      <c r="H69">
        <f t="shared" si="17"/>
        <v>-17311757.938997842</v>
      </c>
      <c r="I69">
        <f t="shared" si="11"/>
        <v>-17345443.134058148</v>
      </c>
    </row>
    <row r="70" spans="1:9" x14ac:dyDescent="0.35">
      <c r="A70">
        <v>2029</v>
      </c>
      <c r="B70">
        <f t="shared" si="12"/>
        <v>-29684550.954949096</v>
      </c>
      <c r="C70">
        <f t="shared" si="13"/>
        <v>-29817430.154545061</v>
      </c>
      <c r="D70">
        <f t="shared" si="14"/>
        <v>-33118742.377355881</v>
      </c>
      <c r="E70">
        <f t="shared" si="15"/>
        <v>-33144567.358000189</v>
      </c>
      <c r="F70">
        <f t="shared" si="16"/>
        <v>-18122656.963059898</v>
      </c>
      <c r="G70">
        <f t="shared" si="10"/>
        <v>-18327389.725369234</v>
      </c>
      <c r="H70">
        <f t="shared" si="17"/>
        <v>-21678760.904381469</v>
      </c>
      <c r="I70">
        <f t="shared" si="11"/>
        <v>-21746131.294502079</v>
      </c>
    </row>
    <row r="71" spans="1:9" x14ac:dyDescent="0.35">
      <c r="A71">
        <v>2030</v>
      </c>
      <c r="B71">
        <f t="shared" si="12"/>
        <v>-33925201.091370396</v>
      </c>
      <c r="C71">
        <f t="shared" si="13"/>
        <v>-34124519.890764341</v>
      </c>
      <c r="D71">
        <f t="shared" si="14"/>
        <v>-39076488.224980578</v>
      </c>
      <c r="E71">
        <f t="shared" si="15"/>
        <v>-39115225.695947036</v>
      </c>
      <c r="F71">
        <f t="shared" si="16"/>
        <v>-20220750.842444718</v>
      </c>
      <c r="G71">
        <f t="shared" si="10"/>
        <v>-20568464.931951638</v>
      </c>
      <c r="H71">
        <f t="shared" si="17"/>
        <v>-25542834.022699837</v>
      </c>
      <c r="I71">
        <f t="shared" si="11"/>
        <v>-25667372.988530111</v>
      </c>
    </row>
    <row r="72" spans="1:9" x14ac:dyDescent="0.35">
      <c r="A72">
        <v>2031</v>
      </c>
      <c r="B72">
        <f t="shared" si="12"/>
        <v>-38165851.227791697</v>
      </c>
      <c r="C72">
        <f t="shared" si="13"/>
        <v>-38431609.62698362</v>
      </c>
      <c r="D72">
        <f t="shared" si="14"/>
        <v>-45034234.072605267</v>
      </c>
      <c r="E72">
        <f t="shared" si="15"/>
        <v>-45085884.033893883</v>
      </c>
      <c r="F72">
        <f t="shared" si="16"/>
        <v>-22318844.721829537</v>
      </c>
      <c r="G72">
        <f t="shared" si="10"/>
        <v>-22809540.138534043</v>
      </c>
      <c r="H72">
        <f t="shared" si="17"/>
        <v>-29406907.141018204</v>
      </c>
      <c r="I72">
        <f t="shared" si="11"/>
        <v>-29588614.682558142</v>
      </c>
    </row>
    <row r="73" spans="1:9" x14ac:dyDescent="0.35">
      <c r="A73">
        <v>2032</v>
      </c>
      <c r="B73">
        <f t="shared" si="12"/>
        <v>-42406501.364212997</v>
      </c>
      <c r="C73">
        <f t="shared" si="13"/>
        <v>-42738699.3632029</v>
      </c>
      <c r="D73">
        <f t="shared" si="14"/>
        <v>-50991979.920229957</v>
      </c>
      <c r="E73">
        <f t="shared" si="15"/>
        <v>-51056542.37184073</v>
      </c>
      <c r="F73">
        <f t="shared" si="16"/>
        <v>-24416938.601214357</v>
      </c>
      <c r="G73">
        <f t="shared" si="10"/>
        <v>-25050615.345116448</v>
      </c>
      <c r="H73">
        <f t="shared" si="17"/>
        <v>-33270980.259336572</v>
      </c>
      <c r="I73">
        <f t="shared" si="11"/>
        <v>-33509856.376586173</v>
      </c>
    </row>
    <row r="74" spans="1:9" x14ac:dyDescent="0.35">
      <c r="A74">
        <v>2033</v>
      </c>
      <c r="B74">
        <f t="shared" si="12"/>
        <v>-46647151.500634298</v>
      </c>
      <c r="C74">
        <f t="shared" si="13"/>
        <v>-47045789.099422179</v>
      </c>
      <c r="D74">
        <f t="shared" si="14"/>
        <v>-56949725.767854646</v>
      </c>
      <c r="E74">
        <f t="shared" si="15"/>
        <v>-57027200.709787577</v>
      </c>
      <c r="F74">
        <f t="shared" si="16"/>
        <v>-26515032.480599176</v>
      </c>
      <c r="G74">
        <f t="shared" si="10"/>
        <v>-27291690.551698852</v>
      </c>
      <c r="H74">
        <f t="shared" si="17"/>
        <v>-37135053.37765494</v>
      </c>
      <c r="I74">
        <f t="shared" si="11"/>
        <v>-37431098.070614204</v>
      </c>
    </row>
    <row r="75" spans="1:9" x14ac:dyDescent="0.35">
      <c r="A75">
        <v>2034</v>
      </c>
      <c r="B75">
        <f t="shared" si="12"/>
        <v>-50887801.637055598</v>
      </c>
      <c r="C75">
        <f t="shared" si="13"/>
        <v>-51352878.835641459</v>
      </c>
      <c r="D75">
        <f t="shared" si="14"/>
        <v>-62907471.615479335</v>
      </c>
      <c r="E75">
        <f t="shared" si="15"/>
        <v>-62997859.047734424</v>
      </c>
      <c r="F75">
        <f t="shared" si="16"/>
        <v>-28613126.359983996</v>
      </c>
      <c r="G75">
        <f t="shared" si="10"/>
        <v>-29532765.758281257</v>
      </c>
      <c r="H75">
        <f t="shared" si="17"/>
        <v>-40999126.495973304</v>
      </c>
      <c r="I75">
        <f t="shared" si="11"/>
        <v>-41352339.764642239</v>
      </c>
    </row>
    <row r="76" spans="1:9" x14ac:dyDescent="0.35">
      <c r="A76">
        <v>2035</v>
      </c>
      <c r="B76">
        <f t="shared" si="12"/>
        <v>-55128451.773476899</v>
      </c>
      <c r="C76">
        <f t="shared" si="13"/>
        <v>-55659968.571860738</v>
      </c>
      <c r="D76">
        <f t="shared" si="14"/>
        <v>-68865217.463104025</v>
      </c>
      <c r="E76">
        <f t="shared" si="15"/>
        <v>-68968517.385681272</v>
      </c>
      <c r="F76">
        <f t="shared" si="16"/>
        <v>-30711220.239368815</v>
      </c>
      <c r="G76">
        <f t="shared" si="10"/>
        <v>-31773840.964863662</v>
      </c>
      <c r="H76">
        <f t="shared" si="17"/>
        <v>-44863199.614291668</v>
      </c>
      <c r="I76">
        <f t="shared" si="11"/>
        <v>-45273581.458670273</v>
      </c>
    </row>
    <row r="77" spans="1:9" x14ac:dyDescent="0.35">
      <c r="A77">
        <v>2036</v>
      </c>
      <c r="B77">
        <f t="shared" si="12"/>
        <v>-59369101.909898199</v>
      </c>
      <c r="C77">
        <f t="shared" si="13"/>
        <v>-59967058.308080018</v>
      </c>
      <c r="D77">
        <f t="shared" si="14"/>
        <v>-74822963.310728714</v>
      </c>
      <c r="E77">
        <f t="shared" si="15"/>
        <v>-74939175.723628119</v>
      </c>
      <c r="F77">
        <f t="shared" si="16"/>
        <v>-32809314.118753634</v>
      </c>
      <c r="G77">
        <f t="shared" si="10"/>
        <v>-34014916.17144607</v>
      </c>
      <c r="H77">
        <f t="shared" si="17"/>
        <v>-48727272.732610032</v>
      </c>
      <c r="I77">
        <f t="shared" si="11"/>
        <v>-49194823.152698308</v>
      </c>
    </row>
    <row r="78" spans="1:9" x14ac:dyDescent="0.35">
      <c r="A78">
        <v>2037</v>
      </c>
      <c r="B78">
        <f t="shared" si="12"/>
        <v>-63609752.0463195</v>
      </c>
      <c r="C78">
        <f t="shared" si="13"/>
        <v>-64274148.044299297</v>
      </c>
      <c r="D78">
        <f t="shared" si="14"/>
        <v>-80780709.158353403</v>
      </c>
      <c r="E78">
        <f t="shared" si="15"/>
        <v>-80909834.061574966</v>
      </c>
      <c r="F78">
        <f t="shared" si="16"/>
        <v>-34907407.998138458</v>
      </c>
      <c r="G78">
        <f t="shared" si="10"/>
        <v>-36255991.378028475</v>
      </c>
      <c r="H78">
        <f t="shared" si="16"/>
        <v>-52591345.850928396</v>
      </c>
      <c r="I78">
        <f t="shared" si="11"/>
        <v>-53116064.846726343</v>
      </c>
    </row>
    <row r="79" spans="1:9" x14ac:dyDescent="0.35">
      <c r="A79">
        <v>2038</v>
      </c>
      <c r="B79">
        <f t="shared" si="12"/>
        <v>-67850402.182740793</v>
      </c>
      <c r="C79">
        <f t="shared" si="13"/>
        <v>-68581237.780518577</v>
      </c>
      <c r="D79">
        <f t="shared" si="14"/>
        <v>-86738455.005978093</v>
      </c>
      <c r="E79">
        <f t="shared" si="15"/>
        <v>-86880492.399521813</v>
      </c>
      <c r="F79">
        <f t="shared" si="16"/>
        <v>-37005501.877523281</v>
      </c>
      <c r="G79">
        <f t="shared" si="10"/>
        <v>-38497066.584610879</v>
      </c>
      <c r="H79">
        <f t="shared" si="16"/>
        <v>-56455418.96924676</v>
      </c>
      <c r="I79">
        <f t="shared" si="11"/>
        <v>-57037306.540754378</v>
      </c>
    </row>
    <row r="80" spans="1:9" x14ac:dyDescent="0.35">
      <c r="A80">
        <v>2039</v>
      </c>
      <c r="B80">
        <f t="shared" si="12"/>
        <v>-72091052.319162086</v>
      </c>
      <c r="C80">
        <f t="shared" si="13"/>
        <v>-72888327.516737863</v>
      </c>
      <c r="D80">
        <f t="shared" si="14"/>
        <v>-92696200.853602782</v>
      </c>
      <c r="E80">
        <f t="shared" si="15"/>
        <v>-92851150.73746866</v>
      </c>
      <c r="F80">
        <f t="shared" si="16"/>
        <v>-39103595.756908104</v>
      </c>
      <c r="G80">
        <f t="shared" si="10"/>
        <v>-40738141.791193284</v>
      </c>
      <c r="H80">
        <f t="shared" si="16"/>
        <v>-60319492.087565124</v>
      </c>
      <c r="I80">
        <f t="shared" si="11"/>
        <v>-60958548.234782413</v>
      </c>
    </row>
    <row r="81" spans="1:11" x14ac:dyDescent="0.35">
      <c r="A81">
        <v>2040</v>
      </c>
      <c r="B81">
        <f t="shared" si="12"/>
        <v>-76331702.455583379</v>
      </c>
      <c r="C81">
        <f t="shared" si="13"/>
        <v>-77195417.25295715</v>
      </c>
      <c r="D81">
        <f t="shared" si="14"/>
        <v>-98653946.701227471</v>
      </c>
      <c r="E81">
        <f t="shared" si="15"/>
        <v>-98821809.075415507</v>
      </c>
      <c r="F81">
        <f t="shared" si="16"/>
        <v>-40500901.268067494</v>
      </c>
      <c r="G81">
        <f t="shared" si="10"/>
        <v>-42295580.719859652</v>
      </c>
      <c r="H81">
        <f t="shared" si="16"/>
        <v>-63506714.676447116</v>
      </c>
      <c r="I81">
        <f t="shared" si="11"/>
        <v>-64212856.661488414</v>
      </c>
    </row>
    <row r="82" spans="1:11" x14ac:dyDescent="0.35">
      <c r="A82">
        <v>2041</v>
      </c>
      <c r="B82">
        <f t="shared" si="12"/>
        <v>-80572352.592004672</v>
      </c>
      <c r="C82">
        <f t="shared" si="13"/>
        <v>-81502506.989176437</v>
      </c>
      <c r="D82">
        <f t="shared" si="14"/>
        <v>-104611692.54885216</v>
      </c>
      <c r="E82">
        <f t="shared" si="15"/>
        <v>-104792467.41336235</v>
      </c>
      <c r="F82">
        <f t="shared" si="16"/>
        <v>-41898206.779226884</v>
      </c>
      <c r="G82">
        <f t="shared" si="10"/>
        <v>-43853019.64852602</v>
      </c>
      <c r="H82">
        <f t="shared" si="16"/>
        <v>-66693937.265329108</v>
      </c>
      <c r="I82">
        <f t="shared" si="11"/>
        <v>-67467165.088194415</v>
      </c>
    </row>
    <row r="83" spans="1:11" x14ac:dyDescent="0.35">
      <c r="A83">
        <v>2042</v>
      </c>
      <c r="B83">
        <f t="shared" si="12"/>
        <v>-84813002.728425965</v>
      </c>
      <c r="C83">
        <f t="shared" si="13"/>
        <v>-85809596.725395724</v>
      </c>
      <c r="D83">
        <f t="shared" si="14"/>
        <v>-110569438.39647685</v>
      </c>
      <c r="E83">
        <f t="shared" si="15"/>
        <v>-110763125.7513092</v>
      </c>
      <c r="F83">
        <f t="shared" si="16"/>
        <v>-43295512.290386274</v>
      </c>
      <c r="G83">
        <f t="shared" si="10"/>
        <v>-45410458.577192388</v>
      </c>
      <c r="H83">
        <f t="shared" si="16"/>
        <v>-69881159.854211092</v>
      </c>
      <c r="I83">
        <f t="shared" si="11"/>
        <v>-70721473.514900416</v>
      </c>
    </row>
    <row r="84" spans="1:11" x14ac:dyDescent="0.35">
      <c r="A84">
        <v>2043</v>
      </c>
      <c r="B84">
        <f t="shared" si="12"/>
        <v>-89053652.864847258</v>
      </c>
      <c r="C84">
        <f t="shared" si="13"/>
        <v>-90116686.461615011</v>
      </c>
      <c r="D84">
        <f t="shared" si="14"/>
        <v>-116527184.24410154</v>
      </c>
      <c r="E84">
        <f t="shared" si="15"/>
        <v>-116733784.08925605</v>
      </c>
      <c r="F84">
        <f t="shared" si="16"/>
        <v>-44692817.801545665</v>
      </c>
      <c r="G84">
        <f t="shared" si="10"/>
        <v>-46967897.505858757</v>
      </c>
      <c r="H84">
        <f t="shared" si="16"/>
        <v>-73068382.443093076</v>
      </c>
      <c r="I84">
        <f t="shared" si="11"/>
        <v>-73975781.941606417</v>
      </c>
    </row>
    <row r="85" spans="1:11" x14ac:dyDescent="0.35">
      <c r="A85">
        <v>2044</v>
      </c>
      <c r="B85">
        <f t="shared" si="12"/>
        <v>-93294303.001268551</v>
      </c>
      <c r="C85">
        <f t="shared" si="13"/>
        <v>-94423776.197834298</v>
      </c>
      <c r="D85">
        <f t="shared" si="14"/>
        <v>-122484930.09172623</v>
      </c>
      <c r="E85">
        <f t="shared" si="15"/>
        <v>-122704442.4272029</v>
      </c>
      <c r="F85">
        <f t="shared" si="16"/>
        <v>-46090123.312705055</v>
      </c>
      <c r="G85">
        <f t="shared" si="10"/>
        <v>-48525336.434525125</v>
      </c>
      <c r="H85">
        <f t="shared" si="16"/>
        <v>-76255605.031975061</v>
      </c>
      <c r="I85">
        <f t="shared" si="11"/>
        <v>-77230090.368312418</v>
      </c>
    </row>
    <row r="86" spans="1:11" x14ac:dyDescent="0.35">
      <c r="A86">
        <v>2045</v>
      </c>
      <c r="B86">
        <f t="shared" si="12"/>
        <v>-97534953.137689844</v>
      </c>
      <c r="C86">
        <f t="shared" si="13"/>
        <v>-98730865.934053585</v>
      </c>
      <c r="D86">
        <f t="shared" si="14"/>
        <v>-128442675.93935092</v>
      </c>
      <c r="E86">
        <f t="shared" si="15"/>
        <v>-128675100.76514974</v>
      </c>
      <c r="F86">
        <f t="shared" si="16"/>
        <v>-47487428.823864445</v>
      </c>
      <c r="G86">
        <f t="shared" si="10"/>
        <v>-50082775.363191493</v>
      </c>
      <c r="H86">
        <f t="shared" si="16"/>
        <v>-79442827.620857045</v>
      </c>
      <c r="I86">
        <f t="shared" si="11"/>
        <v>-80484398.79501842</v>
      </c>
    </row>
    <row r="87" spans="1:11" x14ac:dyDescent="0.35">
      <c r="A87">
        <v>2046</v>
      </c>
      <c r="B87">
        <f t="shared" si="12"/>
        <v>-101775603.27411114</v>
      </c>
      <c r="C87">
        <f t="shared" si="13"/>
        <v>-103037955.67027287</v>
      </c>
      <c r="D87">
        <f t="shared" si="14"/>
        <v>-134400421.78697562</v>
      </c>
      <c r="E87">
        <f t="shared" si="15"/>
        <v>-134645759.1030966</v>
      </c>
      <c r="F87">
        <f t="shared" si="16"/>
        <v>-48884734.335023835</v>
      </c>
      <c r="G87">
        <f t="shared" si="10"/>
        <v>-51640214.291857861</v>
      </c>
      <c r="H87">
        <f t="shared" si="16"/>
        <v>-82630050.209739029</v>
      </c>
      <c r="I87">
        <f t="shared" si="11"/>
        <v>-83738707.221724421</v>
      </c>
    </row>
    <row r="88" spans="1:11" x14ac:dyDescent="0.35">
      <c r="A88">
        <v>2047</v>
      </c>
      <c r="B88">
        <f t="shared" si="12"/>
        <v>-106016253.41053243</v>
      </c>
      <c r="C88">
        <f t="shared" si="13"/>
        <v>-107345045.40649216</v>
      </c>
      <c r="D88">
        <f t="shared" si="14"/>
        <v>-140358167.63460031</v>
      </c>
      <c r="E88">
        <f t="shared" si="15"/>
        <v>-140616417.44104344</v>
      </c>
      <c r="F88">
        <f t="shared" si="16"/>
        <v>-50282039.846183226</v>
      </c>
      <c r="G88">
        <f t="shared" si="10"/>
        <v>-53197653.220524229</v>
      </c>
      <c r="H88">
        <f t="shared" si="16"/>
        <v>-85817272.798621014</v>
      </c>
      <c r="I88">
        <f t="shared" si="11"/>
        <v>-86993015.648430422</v>
      </c>
    </row>
    <row r="89" spans="1:11" x14ac:dyDescent="0.35">
      <c r="A89">
        <v>2048</v>
      </c>
      <c r="B89">
        <f t="shared" si="12"/>
        <v>-110256903.54695372</v>
      </c>
      <c r="C89">
        <f t="shared" si="13"/>
        <v>-111652135.14271145</v>
      </c>
      <c r="D89">
        <f t="shared" si="14"/>
        <v>-146315913.482225</v>
      </c>
      <c r="E89">
        <f t="shared" si="15"/>
        <v>-146587075.77899027</v>
      </c>
      <c r="F89">
        <f t="shared" si="16"/>
        <v>-51679345.357342616</v>
      </c>
      <c r="G89">
        <f t="shared" si="10"/>
        <v>-54755092.149190597</v>
      </c>
      <c r="H89">
        <f t="shared" si="16"/>
        <v>-89004495.387502998</v>
      </c>
      <c r="I89">
        <f t="shared" si="11"/>
        <v>-90247324.075136423</v>
      </c>
    </row>
    <row r="90" spans="1:11" x14ac:dyDescent="0.35">
      <c r="A90">
        <v>2049</v>
      </c>
      <c r="B90">
        <f t="shared" si="12"/>
        <v>-114497553.68337502</v>
      </c>
      <c r="C90">
        <f t="shared" si="13"/>
        <v>-115959224.87893073</v>
      </c>
      <c r="D90">
        <f t="shared" si="14"/>
        <v>-152273659.32984969</v>
      </c>
      <c r="E90">
        <f t="shared" si="15"/>
        <v>-152557734.1169371</v>
      </c>
      <c r="F90">
        <f t="shared" si="16"/>
        <v>-53076650.868502006</v>
      </c>
      <c r="G90">
        <f t="shared" si="10"/>
        <v>-56312531.077856965</v>
      </c>
      <c r="H90">
        <f t="shared" si="16"/>
        <v>-92191717.976384982</v>
      </c>
      <c r="I90">
        <f t="shared" si="11"/>
        <v>-93501632.501842424</v>
      </c>
    </row>
    <row r="91" spans="1:11" x14ac:dyDescent="0.35">
      <c r="A91">
        <v>2050</v>
      </c>
      <c r="B91">
        <f t="shared" si="12"/>
        <v>-118738203.81979631</v>
      </c>
      <c r="C91">
        <f t="shared" si="13"/>
        <v>-120266314.61515002</v>
      </c>
      <c r="D91">
        <f t="shared" si="14"/>
        <v>-158231405.17747438</v>
      </c>
      <c r="E91">
        <f t="shared" si="15"/>
        <v>-158528392.45488393</v>
      </c>
      <c r="F91" s="6">
        <f t="shared" si="16"/>
        <v>-54284750.630184956</v>
      </c>
      <c r="G91" s="6">
        <f t="shared" si="10"/>
        <v>-57693845.780066632</v>
      </c>
      <c r="H91" s="6">
        <f t="shared" si="16"/>
        <v>-95187676.648315698</v>
      </c>
      <c r="I91" s="6">
        <f t="shared" si="11"/>
        <v>-96572240.689860359</v>
      </c>
      <c r="J91" s="2">
        <f>I91+Afforestation!AI69</f>
        <v>-258825198.79003745</v>
      </c>
      <c r="K91" s="4">
        <f>G91/F91</f>
        <v>1.0628002359835111</v>
      </c>
    </row>
    <row r="92" spans="1:11" s="47" customFormat="1" x14ac:dyDescent="0.35">
      <c r="A92" s="47">
        <v>2051</v>
      </c>
      <c r="B92" s="47">
        <f t="shared" si="12"/>
        <v>-122978853.9562176</v>
      </c>
      <c r="C92" s="47">
        <f t="shared" si="13"/>
        <v>-124573404.35136931</v>
      </c>
      <c r="D92" s="47">
        <f t="shared" si="14"/>
        <v>-164189151.02509907</v>
      </c>
      <c r="E92" s="47">
        <f t="shared" si="15"/>
        <v>-164499050.79283077</v>
      </c>
      <c r="F92" s="47">
        <f t="shared" si="16"/>
        <v>-55492850.391867906</v>
      </c>
      <c r="G92" s="47">
        <f t="shared" si="10"/>
        <v>-59075160.482276298</v>
      </c>
      <c r="H92" s="47">
        <f t="shared" si="16"/>
        <v>-98183635.320246428</v>
      </c>
      <c r="I92" s="47">
        <f t="shared" si="11"/>
        <v>-99642848.877878293</v>
      </c>
      <c r="K92" s="49">
        <f>H91/F91</f>
        <v>1.7534883285507206</v>
      </c>
    </row>
    <row r="93" spans="1:11" s="47" customFormat="1" x14ac:dyDescent="0.35">
      <c r="A93" s="47">
        <v>2052</v>
      </c>
      <c r="B93" s="47">
        <f t="shared" si="12"/>
        <v>-127219504.09263889</v>
      </c>
      <c r="C93" s="47">
        <f t="shared" si="13"/>
        <v>-128880494.08758859</v>
      </c>
      <c r="D93" s="47">
        <f t="shared" si="14"/>
        <v>-170146896.87272376</v>
      </c>
      <c r="E93" s="47">
        <f t="shared" si="15"/>
        <v>-170469709.1307776</v>
      </c>
      <c r="F93" s="47">
        <f t="shared" si="16"/>
        <v>-56700950.153550856</v>
      </c>
      <c r="G93" s="47">
        <f t="shared" si="10"/>
        <v>-60456475.184485964</v>
      </c>
      <c r="H93" s="47">
        <f t="shared" si="16"/>
        <v>-101179593.99217716</v>
      </c>
      <c r="I93" s="47">
        <f t="shared" si="11"/>
        <v>-102713457.06589623</v>
      </c>
      <c r="K93" s="49">
        <f>I91/F91</f>
        <v>1.7789939083953625</v>
      </c>
    </row>
    <row r="94" spans="1:11" s="47" customFormat="1" x14ac:dyDescent="0.35">
      <c r="A94" s="47">
        <v>2053</v>
      </c>
      <c r="B94" s="47">
        <f t="shared" si="12"/>
        <v>-131460154.22906019</v>
      </c>
      <c r="C94" s="47">
        <f t="shared" si="13"/>
        <v>-133187583.82380788</v>
      </c>
      <c r="D94" s="47">
        <f t="shared" si="14"/>
        <v>-176104642.72034845</v>
      </c>
      <c r="E94" s="47">
        <f t="shared" si="15"/>
        <v>-176440367.46872443</v>
      </c>
      <c r="F94" s="47">
        <f t="shared" si="16"/>
        <v>-57909049.915233806</v>
      </c>
      <c r="G94" s="47">
        <f t="shared" si="10"/>
        <v>-61837789.886695631</v>
      </c>
      <c r="H94" s="47">
        <f t="shared" si="16"/>
        <v>-104175552.66410789</v>
      </c>
      <c r="I94" s="47">
        <f t="shared" si="11"/>
        <v>-105784065.25391416</v>
      </c>
    </row>
    <row r="95" spans="1:11" s="47" customFormat="1" x14ac:dyDescent="0.35">
      <c r="A95" s="47">
        <v>2054</v>
      </c>
      <c r="B95" s="47">
        <f t="shared" si="12"/>
        <v>-135700804.3654815</v>
      </c>
      <c r="C95" s="47">
        <f t="shared" si="13"/>
        <v>-137494673.56002715</v>
      </c>
      <c r="D95" s="47">
        <f t="shared" si="14"/>
        <v>-182062388.56797314</v>
      </c>
      <c r="E95" s="47">
        <f t="shared" si="15"/>
        <v>-182411025.80667126</v>
      </c>
      <c r="F95" s="47">
        <f t="shared" si="16"/>
        <v>-59117149.676916756</v>
      </c>
      <c r="G95" s="47">
        <f t="shared" si="10"/>
        <v>-63219104.588905297</v>
      </c>
      <c r="H95" s="47">
        <f t="shared" si="16"/>
        <v>-107171511.33603862</v>
      </c>
      <c r="I95" s="47">
        <f t="shared" si="11"/>
        <v>-108854673.4419321</v>
      </c>
    </row>
    <row r="96" spans="1:11" s="47" customFormat="1" x14ac:dyDescent="0.35">
      <c r="A96" s="47">
        <v>2055</v>
      </c>
      <c r="B96" s="47">
        <f t="shared" si="12"/>
        <v>-139941454.50190279</v>
      </c>
      <c r="C96" s="47">
        <f t="shared" si="13"/>
        <v>-141801763.29624644</v>
      </c>
      <c r="D96" s="47">
        <f t="shared" si="14"/>
        <v>-188020134.41559783</v>
      </c>
      <c r="E96" s="47">
        <f t="shared" si="15"/>
        <v>-188381684.14461809</v>
      </c>
      <c r="F96" s="47">
        <f t="shared" si="16"/>
        <v>-60325249.438599706</v>
      </c>
      <c r="G96" s="47">
        <f t="shared" si="10"/>
        <v>-64600419.291114964</v>
      </c>
      <c r="H96" s="47">
        <f t="shared" si="16"/>
        <v>-110167470.00796935</v>
      </c>
      <c r="I96" s="47">
        <f t="shared" si="11"/>
        <v>-111925281.62995003</v>
      </c>
    </row>
    <row r="97" spans="1:9" s="47" customFormat="1" x14ac:dyDescent="0.35">
      <c r="A97" s="47">
        <v>2056</v>
      </c>
      <c r="B97" s="47">
        <f t="shared" si="12"/>
        <v>-144182104.63832408</v>
      </c>
      <c r="C97" s="47">
        <f t="shared" si="13"/>
        <v>-146108853.03246573</v>
      </c>
      <c r="D97" s="47">
        <f t="shared" si="14"/>
        <v>-193977880.26322252</v>
      </c>
      <c r="E97" s="47">
        <f t="shared" si="15"/>
        <v>-194352342.48256493</v>
      </c>
      <c r="F97" s="47">
        <f t="shared" si="16"/>
        <v>-61533349.200282656</v>
      </c>
      <c r="G97" s="47">
        <f t="shared" si="10"/>
        <v>-65981733.99332463</v>
      </c>
      <c r="H97" s="47">
        <f t="shared" si="16"/>
        <v>-113163428.67990008</v>
      </c>
      <c r="I97" s="47">
        <f t="shared" si="11"/>
        <v>-114995889.81796797</v>
      </c>
    </row>
    <row r="98" spans="1:9" s="47" customFormat="1" x14ac:dyDescent="0.35">
      <c r="A98" s="47">
        <v>2057</v>
      </c>
      <c r="B98" s="47">
        <f t="shared" si="12"/>
        <v>-148422754.77474537</v>
      </c>
      <c r="C98" s="47">
        <f t="shared" si="13"/>
        <v>-150415942.76868501</v>
      </c>
      <c r="D98" s="47">
        <f t="shared" si="14"/>
        <v>-199935626.1108472</v>
      </c>
      <c r="E98" s="47">
        <f t="shared" si="15"/>
        <v>-200323000.82051176</v>
      </c>
      <c r="F98" s="47">
        <f t="shared" si="16"/>
        <v>-62741448.961965606</v>
      </c>
      <c r="G98" s="47">
        <f t="shared" si="10"/>
        <v>-67363048.695534289</v>
      </c>
      <c r="H98" s="47">
        <f t="shared" si="16"/>
        <v>-116159387.35183081</v>
      </c>
      <c r="I98" s="47">
        <f t="shared" si="11"/>
        <v>-118066498.0059859</v>
      </c>
    </row>
    <row r="99" spans="1:9" s="47" customFormat="1" x14ac:dyDescent="0.35">
      <c r="A99" s="47">
        <v>2058</v>
      </c>
      <c r="B99" s="47">
        <f t="shared" si="12"/>
        <v>-152663404.91116667</v>
      </c>
      <c r="C99" s="47">
        <f t="shared" si="13"/>
        <v>-154723032.5049043</v>
      </c>
      <c r="D99" s="47">
        <f t="shared" si="14"/>
        <v>-205893371.95847189</v>
      </c>
      <c r="E99" s="47">
        <f t="shared" si="15"/>
        <v>-206293659.15845859</v>
      </c>
      <c r="F99" s="47">
        <f t="shared" si="16"/>
        <v>-63949548.723648556</v>
      </c>
      <c r="G99" s="47">
        <f t="shared" si="10"/>
        <v>-68744363.397743955</v>
      </c>
      <c r="H99" s="47">
        <f t="shared" si="16"/>
        <v>-119155346.02376154</v>
      </c>
      <c r="I99" s="47">
        <f t="shared" si="11"/>
        <v>-121137106.19400384</v>
      </c>
    </row>
    <row r="100" spans="1:9" s="47" customFormat="1" x14ac:dyDescent="0.35">
      <c r="A100" s="47">
        <v>2059</v>
      </c>
      <c r="B100" s="47">
        <f t="shared" si="12"/>
        <v>-156904055.04758796</v>
      </c>
      <c r="C100" s="47">
        <f t="shared" si="13"/>
        <v>-159030122.24112359</v>
      </c>
      <c r="D100" s="47">
        <f t="shared" si="14"/>
        <v>-211851117.80609658</v>
      </c>
      <c r="E100" s="47">
        <f t="shared" si="15"/>
        <v>-212264317.49640542</v>
      </c>
      <c r="F100" s="47">
        <f t="shared" si="16"/>
        <v>-65157648.485331506</v>
      </c>
      <c r="G100" s="47">
        <f t="shared" si="10"/>
        <v>-70125678.099953622</v>
      </c>
      <c r="H100" s="47">
        <f t="shared" si="16"/>
        <v>-122151304.69569227</v>
      </c>
      <c r="I100" s="47">
        <f t="shared" si="11"/>
        <v>-124207714.38202177</v>
      </c>
    </row>
    <row r="101" spans="1:9" s="47" customFormat="1" x14ac:dyDescent="0.35">
      <c r="A101" s="47">
        <v>2060</v>
      </c>
      <c r="B101" s="47">
        <f t="shared" si="12"/>
        <v>-161144705.18400925</v>
      </c>
      <c r="C101" s="47">
        <f t="shared" si="13"/>
        <v>-163337211.97734287</v>
      </c>
      <c r="D101" s="47">
        <f t="shared" si="14"/>
        <v>-217808863.65372127</v>
      </c>
      <c r="E101" s="47">
        <f t="shared" si="15"/>
        <v>-218234975.83435225</v>
      </c>
      <c r="F101" s="47">
        <f t="shared" si="16"/>
        <v>-66358313.386854477</v>
      </c>
      <c r="G101" s="47">
        <f t="shared" si="10"/>
        <v>-71521541.429999277</v>
      </c>
      <c r="H101" s="47">
        <f t="shared" si="16"/>
        <v>-125118099.0516016</v>
      </c>
      <c r="I101" s="47">
        <f t="shared" si="11"/>
        <v>-127261869.00872582</v>
      </c>
    </row>
    <row r="102" spans="1:9" s="47" customFormat="1" x14ac:dyDescent="0.35">
      <c r="A102" s="47">
        <v>2061</v>
      </c>
      <c r="B102" s="47">
        <f t="shared" si="12"/>
        <v>-165385355.32043055</v>
      </c>
      <c r="C102" s="47">
        <f t="shared" si="13"/>
        <v>-167644301.71356216</v>
      </c>
      <c r="D102" s="47">
        <f t="shared" si="14"/>
        <v>-223766609.50134596</v>
      </c>
      <c r="E102" s="47">
        <f t="shared" si="15"/>
        <v>-224205634.17229909</v>
      </c>
      <c r="F102" s="47">
        <f t="shared" si="16"/>
        <v>-67558978.288377449</v>
      </c>
      <c r="G102" s="47">
        <f t="shared" si="10"/>
        <v>-72917404.760044932</v>
      </c>
      <c r="H102" s="47">
        <f t="shared" si="16"/>
        <v>-128084893.40751094</v>
      </c>
      <c r="I102" s="47">
        <f t="shared" si="11"/>
        <v>-130316023.63542987</v>
      </c>
    </row>
    <row r="103" spans="1:9" s="47" customFormat="1" x14ac:dyDescent="0.35">
      <c r="A103" s="47">
        <v>2062</v>
      </c>
      <c r="B103" s="47">
        <f t="shared" si="12"/>
        <v>-169626005.45685184</v>
      </c>
      <c r="C103" s="47">
        <f t="shared" si="13"/>
        <v>-171951391.44978145</v>
      </c>
      <c r="D103" s="47">
        <f t="shared" si="14"/>
        <v>-229724355.34897065</v>
      </c>
      <c r="E103" s="47">
        <f t="shared" si="15"/>
        <v>-230176292.51024592</v>
      </c>
      <c r="F103" s="47">
        <f t="shared" si="16"/>
        <v>-68759643.189900428</v>
      </c>
      <c r="G103" s="47">
        <f t="shared" si="10"/>
        <v>-74313268.090090588</v>
      </c>
      <c r="H103" s="47">
        <f t="shared" si="16"/>
        <v>-131051687.76342027</v>
      </c>
      <c r="I103" s="47">
        <f t="shared" si="11"/>
        <v>-133370178.26213393</v>
      </c>
    </row>
    <row r="104" spans="1:9" s="47" customFormat="1" x14ac:dyDescent="0.35">
      <c r="A104" s="47">
        <v>2063</v>
      </c>
      <c r="B104" s="47">
        <f t="shared" si="12"/>
        <v>-173866655.59327313</v>
      </c>
      <c r="C104" s="47">
        <f t="shared" si="13"/>
        <v>-176258481.18600073</v>
      </c>
      <c r="D104" s="47">
        <f t="shared" si="14"/>
        <v>-235682101.19659534</v>
      </c>
      <c r="E104" s="47">
        <f t="shared" si="15"/>
        <v>-236146950.84819275</v>
      </c>
      <c r="F104" s="47">
        <f t="shared" si="16"/>
        <v>-69960308.091423407</v>
      </c>
      <c r="G104" s="47">
        <f t="shared" si="10"/>
        <v>-75709131.420136243</v>
      </c>
      <c r="H104" s="47">
        <f t="shared" si="16"/>
        <v>-134018482.1193296</v>
      </c>
      <c r="I104" s="47">
        <f t="shared" si="11"/>
        <v>-136424332.88883796</v>
      </c>
    </row>
    <row r="105" spans="1:9" s="47" customFormat="1" x14ac:dyDescent="0.35">
      <c r="A105" s="47">
        <v>2064</v>
      </c>
      <c r="B105" s="47">
        <f t="shared" si="12"/>
        <v>-178107305.72969443</v>
      </c>
      <c r="C105" s="47">
        <f t="shared" si="13"/>
        <v>-180565570.92222002</v>
      </c>
      <c r="D105" s="47">
        <f t="shared" si="14"/>
        <v>-241639847.04422003</v>
      </c>
      <c r="E105" s="47">
        <f t="shared" si="15"/>
        <v>-242117609.18613958</v>
      </c>
      <c r="F105" s="47">
        <f t="shared" si="16"/>
        <v>-71160972.992946386</v>
      </c>
      <c r="G105" s="47">
        <f t="shared" si="10"/>
        <v>-77104994.750181898</v>
      </c>
      <c r="H105" s="47">
        <f t="shared" si="16"/>
        <v>-136985276.47523892</v>
      </c>
      <c r="I105" s="47">
        <f t="shared" si="11"/>
        <v>-139478487.515542</v>
      </c>
    </row>
    <row r="106" spans="1:9" s="47" customFormat="1" x14ac:dyDescent="0.35">
      <c r="A106" s="47">
        <v>2065</v>
      </c>
      <c r="B106" s="47">
        <f t="shared" si="12"/>
        <v>-182347955.86611572</v>
      </c>
      <c r="C106" s="47">
        <f t="shared" si="13"/>
        <v>-184872660.65843931</v>
      </c>
      <c r="D106" s="47">
        <f t="shared" si="14"/>
        <v>-247597592.89184472</v>
      </c>
      <c r="E106" s="47">
        <f t="shared" si="15"/>
        <v>-248088267.52408642</v>
      </c>
      <c r="F106" s="47">
        <f t="shared" si="16"/>
        <v>-72361637.894469365</v>
      </c>
      <c r="G106" s="47">
        <f t="shared" si="10"/>
        <v>-78500858.080227554</v>
      </c>
      <c r="H106" s="47">
        <f t="shared" si="16"/>
        <v>-139952070.83114824</v>
      </c>
      <c r="I106" s="47">
        <f t="shared" si="11"/>
        <v>-142532642.14224604</v>
      </c>
    </row>
    <row r="107" spans="1:9" s="47" customFormat="1" x14ac:dyDescent="0.35">
      <c r="A107" s="47">
        <v>2066</v>
      </c>
      <c r="B107" s="47">
        <f t="shared" si="12"/>
        <v>-186588606.00253701</v>
      </c>
      <c r="C107" s="47">
        <f t="shared" si="13"/>
        <v>-189179750.3946586</v>
      </c>
      <c r="D107" s="47">
        <f t="shared" si="14"/>
        <v>-253555338.73946941</v>
      </c>
      <c r="E107" s="47">
        <f t="shared" si="15"/>
        <v>-254058925.86203325</v>
      </c>
      <c r="F107" s="47">
        <f t="shared" si="16"/>
        <v>-73562302.795992345</v>
      </c>
      <c r="G107" s="47">
        <f t="shared" si="10"/>
        <v>-79896721.410273209</v>
      </c>
      <c r="H107" s="47">
        <f t="shared" si="16"/>
        <v>-142918865.18705755</v>
      </c>
      <c r="I107" s="47">
        <f t="shared" si="11"/>
        <v>-145586796.76895007</v>
      </c>
    </row>
    <row r="108" spans="1:9" s="47" customFormat="1" x14ac:dyDescent="0.35">
      <c r="A108" s="47">
        <v>2067</v>
      </c>
      <c r="B108" s="47">
        <f t="shared" si="12"/>
        <v>-190829256.13895831</v>
      </c>
      <c r="C108" s="47">
        <f t="shared" si="13"/>
        <v>-193486840.13087788</v>
      </c>
      <c r="D108" s="47">
        <f t="shared" si="14"/>
        <v>-259513084.5870941</v>
      </c>
      <c r="E108" s="47">
        <f t="shared" si="15"/>
        <v>-260029584.19998008</v>
      </c>
      <c r="F108" s="47">
        <f t="shared" si="16"/>
        <v>-74762967.697515324</v>
      </c>
      <c r="G108" s="47">
        <f t="shared" si="10"/>
        <v>-81292584.740318865</v>
      </c>
      <c r="H108" s="47">
        <f t="shared" si="16"/>
        <v>-145885659.54296687</v>
      </c>
      <c r="I108" s="47">
        <f t="shared" si="11"/>
        <v>-148640951.39565411</v>
      </c>
    </row>
    <row r="109" spans="1:9" s="47" customFormat="1" x14ac:dyDescent="0.35">
      <c r="A109" s="47">
        <v>2068</v>
      </c>
      <c r="B109" s="47">
        <f t="shared" si="12"/>
        <v>-195069906.2753796</v>
      </c>
      <c r="C109" s="47">
        <f t="shared" si="13"/>
        <v>-197793929.86709717</v>
      </c>
      <c r="D109" s="47">
        <f t="shared" si="14"/>
        <v>-265470830.43471879</v>
      </c>
      <c r="E109" s="47">
        <f t="shared" si="15"/>
        <v>-266000242.53792691</v>
      </c>
      <c r="F109" s="47">
        <f t="shared" si="16"/>
        <v>-75963632.599038303</v>
      </c>
      <c r="G109" s="47">
        <f t="shared" si="10"/>
        <v>-82688448.07036452</v>
      </c>
      <c r="H109" s="47">
        <f t="shared" si="16"/>
        <v>-148852453.89887619</v>
      </c>
      <c r="I109" s="47">
        <f t="shared" si="11"/>
        <v>-151695106.02235815</v>
      </c>
    </row>
    <row r="110" spans="1:9" s="47" customFormat="1" x14ac:dyDescent="0.35">
      <c r="A110" s="47">
        <v>2069</v>
      </c>
      <c r="B110" s="47">
        <f t="shared" si="12"/>
        <v>-199310556.41180089</v>
      </c>
      <c r="C110" s="47">
        <f t="shared" si="13"/>
        <v>-202101019.60331646</v>
      </c>
      <c r="D110" s="47">
        <f t="shared" si="14"/>
        <v>-271428576.28234351</v>
      </c>
      <c r="E110" s="47">
        <f t="shared" si="15"/>
        <v>-271970900.87587374</v>
      </c>
      <c r="F110" s="47">
        <f t="shared" si="16"/>
        <v>-77164297.500561282</v>
      </c>
      <c r="G110" s="47">
        <f t="shared" si="10"/>
        <v>-84084311.400410175</v>
      </c>
      <c r="H110" s="47">
        <f t="shared" si="16"/>
        <v>-151819248.25478551</v>
      </c>
      <c r="I110" s="47">
        <f t="shared" si="11"/>
        <v>-154749260.64906219</v>
      </c>
    </row>
    <row r="111" spans="1:9" ht="29" x14ac:dyDescent="0.35">
      <c r="A111" s="13" t="s">
        <v>24</v>
      </c>
      <c r="C111" s="4">
        <f>($B$90-C90)/$B$90</f>
        <v>-1.2765960044855968E-2</v>
      </c>
      <c r="D111" s="4">
        <f>($B$90-D90)/$B$90</f>
        <v>-0.32992936906703313</v>
      </c>
      <c r="E111" s="4">
        <f>($B$90-E90)/$B$90</f>
        <v>-0.3324104245826206</v>
      </c>
      <c r="F111" s="4">
        <f>($B$90-F90)/$B$90</f>
        <v>0.53643855994271161</v>
      </c>
      <c r="G111" s="31">
        <f>G91-$F$91</f>
        <v>-3409095.1498816758</v>
      </c>
      <c r="H111" s="31">
        <f>H91-$F$91</f>
        <v>-40902926.018130742</v>
      </c>
      <c r="I111" s="31">
        <f>I91-$F$91</f>
        <v>-42287490.059675403</v>
      </c>
    </row>
    <row r="112" spans="1:9" ht="29" x14ac:dyDescent="0.35">
      <c r="A112" s="13" t="s">
        <v>25</v>
      </c>
      <c r="G112" s="4">
        <f>($F$90-G90)/$F$90</f>
        <v>-6.0966171685773632E-2</v>
      </c>
      <c r="H112" s="4">
        <f>($F$90-H90)/$F$90</f>
        <v>-0.73695431923146382</v>
      </c>
      <c r="I112" s="4">
        <f>($F$90-I90)/$F$90</f>
        <v>-0.76163399483312844</v>
      </c>
    </row>
    <row r="113" spans="1:9" s="20" customFormat="1" ht="29" x14ac:dyDescent="0.35">
      <c r="A113" s="22" t="s">
        <v>26</v>
      </c>
      <c r="C113" s="25">
        <f>($B$110-C110)/$B$110</f>
        <v>-1.4000579004707176E-2</v>
      </c>
      <c r="D113" s="25">
        <f>($B$110-D110)/$B$110</f>
        <v>-0.36183743183947387</v>
      </c>
      <c r="E113" s="25">
        <f>($B$110-E110)/$B$110</f>
        <v>-0.36455843469699301</v>
      </c>
      <c r="F113" s="25">
        <f>($B$110-F110)/$B$110</f>
        <v>0.61284390104691666</v>
      </c>
      <c r="G113" s="25"/>
      <c r="H113" s="25"/>
      <c r="I113" s="25"/>
    </row>
    <row r="114" spans="1:9" s="20" customFormat="1" ht="29" x14ac:dyDescent="0.35">
      <c r="A114" s="22" t="s">
        <v>27</v>
      </c>
      <c r="G114" s="25">
        <f>($F$110-G110)/$F$110</f>
        <v>-8.9678959363280131E-2</v>
      </c>
      <c r="H114" s="25">
        <f>($F$110-H110)/$F$110</f>
        <v>-0.96748046923748898</v>
      </c>
      <c r="I114" s="25">
        <f>($F$110-I110)/$F$110</f>
        <v>-1.0054515580594323</v>
      </c>
    </row>
  </sheetData>
  <mergeCells count="4">
    <mergeCell ref="B3:E3"/>
    <mergeCell ref="F3:I3"/>
    <mergeCell ref="F59:I59"/>
    <mergeCell ref="B59:E59"/>
  </mergeCells>
  <pageMargins left="0.7" right="0.7" top="0.75" bottom="0.75" header="0.3" footer="0.3"/>
  <pageSetup paperSize="9" orientation="portrait"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U116"/>
  <sheetViews>
    <sheetView zoomScale="47" zoomScaleNormal="55" workbookViewId="0">
      <pane xSplit="1" ySplit="4" topLeftCell="R67" activePane="bottomRight" state="frozen"/>
      <selection pane="topRight" activeCell="B1" sqref="B1"/>
      <selection pane="bottomLeft" activeCell="A5" sqref="A5"/>
      <selection pane="bottomRight" activeCell="R5" sqref="R5:R12"/>
    </sheetView>
  </sheetViews>
  <sheetFormatPr defaultRowHeight="14.5" x14ac:dyDescent="0.35"/>
  <cols>
    <col min="1" max="1" width="14.1796875" customWidth="1"/>
    <col min="2" max="6" width="26.7265625" customWidth="1"/>
    <col min="7" max="9" width="20.1796875" customWidth="1"/>
    <col min="11" max="11" width="13.54296875" bestFit="1" customWidth="1"/>
    <col min="13" max="13" width="28.453125" customWidth="1"/>
    <col min="14" max="19" width="13.81640625" customWidth="1"/>
    <col min="20" max="20" width="13.26953125" bestFit="1" customWidth="1"/>
    <col min="21" max="21" width="12.54296875" bestFit="1" customWidth="1"/>
  </cols>
  <sheetData>
    <row r="1" spans="1:21" x14ac:dyDescent="0.35">
      <c r="A1" s="1" t="s">
        <v>66</v>
      </c>
      <c r="G1" s="1"/>
      <c r="H1" s="1"/>
      <c r="I1" s="1"/>
    </row>
    <row r="2" spans="1:21" ht="9" customHeight="1" x14ac:dyDescent="0.35">
      <c r="G2" s="1"/>
      <c r="H2" s="1"/>
      <c r="I2" s="1"/>
      <c r="J2" s="1"/>
    </row>
    <row r="3" spans="1:21" ht="15" customHeight="1" x14ac:dyDescent="0.35">
      <c r="A3" t="s">
        <v>34</v>
      </c>
      <c r="B3" s="57" t="s">
        <v>46</v>
      </c>
      <c r="C3" s="57"/>
      <c r="D3" s="57"/>
      <c r="E3" s="57"/>
      <c r="F3" s="58" t="s">
        <v>45</v>
      </c>
      <c r="G3" s="58"/>
      <c r="H3" s="58"/>
      <c r="I3" s="58"/>
      <c r="J3" s="12"/>
    </row>
    <row r="4" spans="1:21" x14ac:dyDescent="0.35">
      <c r="B4" s="35" t="s">
        <v>6</v>
      </c>
      <c r="C4" s="1" t="s">
        <v>32</v>
      </c>
      <c r="D4" s="1" t="s">
        <v>31</v>
      </c>
      <c r="E4" s="1" t="s">
        <v>44</v>
      </c>
      <c r="F4" s="1" t="s">
        <v>65</v>
      </c>
      <c r="G4" s="1" t="s">
        <v>51</v>
      </c>
      <c r="H4" s="1" t="s">
        <v>52</v>
      </c>
      <c r="I4" s="1" t="s">
        <v>53</v>
      </c>
      <c r="N4" s="1" t="s">
        <v>75</v>
      </c>
    </row>
    <row r="5" spans="1:21" x14ac:dyDescent="0.35">
      <c r="A5">
        <v>2020</v>
      </c>
      <c r="B5">
        <v>0</v>
      </c>
      <c r="C5">
        <f>B5</f>
        <v>0</v>
      </c>
      <c r="D5">
        <f>B5</f>
        <v>0</v>
      </c>
      <c r="E5">
        <f>B5</f>
        <v>0</v>
      </c>
      <c r="F5">
        <v>0</v>
      </c>
      <c r="G5">
        <v>0</v>
      </c>
      <c r="H5">
        <v>0</v>
      </c>
      <c r="I5">
        <v>0</v>
      </c>
      <c r="N5" t="s">
        <v>9</v>
      </c>
      <c r="O5" t="s">
        <v>10</v>
      </c>
      <c r="P5" t="s">
        <v>11</v>
      </c>
      <c r="Q5" t="s">
        <v>12</v>
      </c>
      <c r="R5" s="59" t="s">
        <v>13</v>
      </c>
      <c r="S5" t="s">
        <v>14</v>
      </c>
    </row>
    <row r="6" spans="1:21" x14ac:dyDescent="0.35">
      <c r="A6">
        <v>2021</v>
      </c>
      <c r="B6">
        <f>B5</f>
        <v>0</v>
      </c>
      <c r="C6">
        <f>C5</f>
        <v>0</v>
      </c>
      <c r="D6">
        <f>D5</f>
        <v>0</v>
      </c>
      <c r="E6">
        <f>E5</f>
        <v>0</v>
      </c>
      <c r="F6">
        <v>0</v>
      </c>
      <c r="G6">
        <v>0</v>
      </c>
      <c r="H6">
        <v>0</v>
      </c>
      <c r="I6">
        <v>0</v>
      </c>
      <c r="M6" t="s">
        <v>15</v>
      </c>
      <c r="N6" s="4">
        <v>0.13</v>
      </c>
      <c r="O6" s="4">
        <v>0.33</v>
      </c>
      <c r="P6" s="4">
        <v>0.67</v>
      </c>
      <c r="Q6" s="4">
        <v>1</v>
      </c>
      <c r="R6" s="60">
        <v>1</v>
      </c>
      <c r="S6" s="4">
        <v>3.5560363448052447E-2</v>
      </c>
      <c r="U6" s="2">
        <f>S6*$F$115</f>
        <v>3295874.9500032812</v>
      </c>
    </row>
    <row r="7" spans="1:21" x14ac:dyDescent="0.35">
      <c r="A7">
        <v>2022</v>
      </c>
      <c r="B7">
        <f t="shared" ref="B7:E22" si="0">B6</f>
        <v>0</v>
      </c>
      <c r="C7">
        <f>C6</f>
        <v>0</v>
      </c>
      <c r="D7">
        <f t="shared" si="0"/>
        <v>0</v>
      </c>
      <c r="E7">
        <f t="shared" si="0"/>
        <v>0</v>
      </c>
      <c r="F7">
        <v>0</v>
      </c>
      <c r="G7">
        <v>0</v>
      </c>
      <c r="H7">
        <v>0</v>
      </c>
      <c r="I7">
        <v>0</v>
      </c>
      <c r="M7" t="s">
        <v>1</v>
      </c>
      <c r="N7" s="4">
        <v>0.13</v>
      </c>
      <c r="O7" s="4">
        <v>0.33</v>
      </c>
      <c r="P7" s="4">
        <v>0.67</v>
      </c>
      <c r="Q7" s="4">
        <v>1</v>
      </c>
      <c r="R7" s="60">
        <v>1</v>
      </c>
      <c r="S7" s="4">
        <v>2.7544378581003132E-3</v>
      </c>
    </row>
    <row r="8" spans="1:21" x14ac:dyDescent="0.35">
      <c r="A8">
        <v>2023</v>
      </c>
      <c r="B8">
        <f>'Year 2035 impact'!B18</f>
        <v>2769404.8683100422</v>
      </c>
      <c r="C8">
        <f>'Year 2035 impact'!B18</f>
        <v>2769404.8683100422</v>
      </c>
      <c r="D8">
        <f>'Year 2035 impact'!B18</f>
        <v>2769404.8683100422</v>
      </c>
      <c r="E8">
        <f>'Year 2035 impact'!B18</f>
        <v>2769404.8683100422</v>
      </c>
      <c r="F8">
        <f>'Year 2035 impact'!$B$19*$N$12+'Year 2035 impact'!$B$12</f>
        <v>1996674.9190135032</v>
      </c>
      <c r="G8">
        <f>'Year 2035 impact'!$B$19*$N$12+'Year 2035 impact'!$B$12</f>
        <v>1996674.9190135032</v>
      </c>
      <c r="H8">
        <f>'Year 2035 impact'!$B$19*$N$12+'Year 2035 impact'!$B$12</f>
        <v>1996674.9190135032</v>
      </c>
      <c r="I8">
        <f>'Year 2035 impact'!$B$19*$N$12+'Year 2035 impact'!$B$12</f>
        <v>1996674.9190135032</v>
      </c>
      <c r="M8" t="s">
        <v>2</v>
      </c>
      <c r="N8" s="4">
        <v>0.39</v>
      </c>
      <c r="O8" s="4">
        <v>0.62</v>
      </c>
      <c r="P8" s="4">
        <v>0.82</v>
      </c>
      <c r="Q8" s="4">
        <v>0.92</v>
      </c>
      <c r="R8" s="60">
        <v>1</v>
      </c>
      <c r="S8" s="4">
        <v>0.19768631792200478</v>
      </c>
    </row>
    <row r="9" spans="1:21" x14ac:dyDescent="0.35">
      <c r="A9">
        <v>2024</v>
      </c>
      <c r="B9">
        <f t="shared" si="0"/>
        <v>2769404.8683100422</v>
      </c>
      <c r="C9">
        <f>C8</f>
        <v>2769404.8683100422</v>
      </c>
      <c r="D9">
        <f t="shared" si="0"/>
        <v>2769404.8683100422</v>
      </c>
      <c r="E9">
        <f t="shared" si="0"/>
        <v>2769404.8683100422</v>
      </c>
      <c r="F9">
        <f>'Year 2035 impact'!$B$19*$N$12+'Year 2035 impact'!$B$12</f>
        <v>1996674.9190135032</v>
      </c>
      <c r="G9">
        <f>'Year 2035 impact'!$B$19*$N$12+'Year 2035 impact'!$B$12</f>
        <v>1996674.9190135032</v>
      </c>
      <c r="H9">
        <f>'Year 2035 impact'!$B$19*$N$12+'Year 2035 impact'!$B$12</f>
        <v>1996674.9190135032</v>
      </c>
      <c r="I9">
        <f>'Year 2035 impact'!$B$19*$N$12+'Year 2035 impact'!$B$12</f>
        <v>1996674.9190135032</v>
      </c>
      <c r="M9" t="s">
        <v>16</v>
      </c>
      <c r="N9" s="4">
        <v>0.25</v>
      </c>
      <c r="O9" s="4">
        <v>0.6</v>
      </c>
      <c r="P9" s="4">
        <v>0.7</v>
      </c>
      <c r="Q9" s="4">
        <v>0.79</v>
      </c>
      <c r="R9" s="60">
        <v>1</v>
      </c>
      <c r="S9" s="4">
        <v>0.72153087901010071</v>
      </c>
    </row>
    <row r="10" spans="1:21" x14ac:dyDescent="0.35">
      <c r="A10">
        <v>2025</v>
      </c>
      <c r="B10">
        <f t="shared" si="0"/>
        <v>2769404.8683100422</v>
      </c>
      <c r="C10">
        <f>C9</f>
        <v>2769404.8683100422</v>
      </c>
      <c r="D10">
        <f t="shared" ref="D10" si="1">D9</f>
        <v>2769404.8683100422</v>
      </c>
      <c r="E10">
        <f t="shared" si="0"/>
        <v>2769404.8683100422</v>
      </c>
      <c r="F10">
        <f>'Year 2035 impact'!$B$19*$N$12+'Year 2035 impact'!$B$12</f>
        <v>1996674.9190135032</v>
      </c>
      <c r="G10">
        <f>'Year 2035 impact'!$B$19*$N$12+'Year 2035 impact'!$B$12</f>
        <v>1996674.9190135032</v>
      </c>
      <c r="H10">
        <f>'Year 2035 impact'!$B$19*$N$12+'Year 2035 impact'!$B$12</f>
        <v>1996674.9190135032</v>
      </c>
      <c r="I10">
        <f>'Year 2035 impact'!$B$19*$N$12+'Year 2035 impact'!$B$12</f>
        <v>1996674.9190135032</v>
      </c>
      <c r="M10" t="s">
        <v>17</v>
      </c>
      <c r="N10" s="4">
        <v>0.39</v>
      </c>
      <c r="O10" s="4">
        <v>0.62</v>
      </c>
      <c r="P10" s="4">
        <v>0.82</v>
      </c>
      <c r="Q10" s="4">
        <v>0.92</v>
      </c>
      <c r="R10" s="60">
        <v>1</v>
      </c>
      <c r="S10" s="4">
        <v>4.2468001761741633E-2</v>
      </c>
    </row>
    <row r="11" spans="1:21" ht="29" x14ac:dyDescent="0.35">
      <c r="A11">
        <v>2026</v>
      </c>
      <c r="B11">
        <f t="shared" si="0"/>
        <v>2769404.8683100422</v>
      </c>
      <c r="C11">
        <f>C10</f>
        <v>2769404.8683100422</v>
      </c>
      <c r="D11">
        <f t="shared" ref="D11" si="2">D10</f>
        <v>2769404.8683100422</v>
      </c>
      <c r="E11">
        <f t="shared" si="0"/>
        <v>2769404.8683100422</v>
      </c>
      <c r="F11">
        <f>'Year 2035 impact'!$B$19*$N$12+'Year 2035 impact'!$B$12</f>
        <v>1996674.9190135032</v>
      </c>
      <c r="G11">
        <f>'Year 2035 impact'!$B$19*$N$12+'Year 2035 impact'!$B$12</f>
        <v>1996674.9190135032</v>
      </c>
      <c r="H11">
        <f>'Year 2035 impact'!$B$19*$N$12+'Year 2035 impact'!$B$12</f>
        <v>1996674.9190135032</v>
      </c>
      <c r="I11">
        <f>'Year 2035 impact'!$B$19*$N$12+'Year 2035 impact'!$B$12</f>
        <v>1996674.9190135032</v>
      </c>
      <c r="M11" s="13" t="s">
        <v>18</v>
      </c>
      <c r="N11" s="11">
        <f>$S6*N6+$S7*N7+$S8*N8+$S9*N9+$S10*N10</f>
        <v>0.27902382859898617</v>
      </c>
      <c r="O11" s="11">
        <f>$S6*O6+$S7*O7+$S8*O8+$S9*O9+$S10*O10</f>
        <v>0.59445809004101358</v>
      </c>
      <c r="P11" s="11">
        <f>$S6*P6+$S7*P7+$S8*P8+$S9*P9+$S10*P10</f>
        <v>0.72766907432286487</v>
      </c>
      <c r="Q11" s="11">
        <f>$S6*Q6+$S7*Q7+$S8*Q8+$S9*Q9+$S10*Q10</f>
        <v>0.82926616983317913</v>
      </c>
      <c r="R11" s="62">
        <f>$S6*R6+$S7*R7+$S8*R8+$S9*R9+$S10*R10</f>
        <v>0.99999999999999978</v>
      </c>
    </row>
    <row r="12" spans="1:21" x14ac:dyDescent="0.35">
      <c r="A12">
        <v>2027</v>
      </c>
      <c r="B12">
        <f t="shared" si="0"/>
        <v>2769404.8683100422</v>
      </c>
      <c r="C12">
        <f>C11</f>
        <v>2769404.8683100422</v>
      </c>
      <c r="D12">
        <f t="shared" ref="D12" si="3">D11</f>
        <v>2769404.8683100422</v>
      </c>
      <c r="E12">
        <f t="shared" si="0"/>
        <v>2769404.8683100422</v>
      </c>
      <c r="F12">
        <f>'Year 2035 impact'!$B$19*$N$12+'Year 2035 impact'!$B$12</f>
        <v>1996674.9190135032</v>
      </c>
      <c r="G12">
        <f>'Year 2035 impact'!$B$19*$N$12+'Year 2035 impact'!$B$12</f>
        <v>1996674.9190135032</v>
      </c>
      <c r="H12">
        <f>'Year 2035 impact'!$B$19*$N$12+'Year 2035 impact'!$B$12</f>
        <v>1996674.9190135032</v>
      </c>
      <c r="I12">
        <f>'Year 2035 impact'!$B$19*$N$12+'Year 2035 impact'!$B$12</f>
        <v>1996674.9190135032</v>
      </c>
      <c r="M12" t="s">
        <v>19</v>
      </c>
      <c r="N12" s="11">
        <f>1-N11</f>
        <v>0.72097617140101389</v>
      </c>
      <c r="O12" s="11">
        <f>1-O11</f>
        <v>0.40554190995898642</v>
      </c>
      <c r="P12" s="11">
        <f>1-P11</f>
        <v>0.27233092567713513</v>
      </c>
      <c r="Q12" s="11">
        <f>1-Q11</f>
        <v>0.17073383016682087</v>
      </c>
      <c r="R12" s="62">
        <f>1-R11</f>
        <v>0</v>
      </c>
    </row>
    <row r="13" spans="1:21" x14ac:dyDescent="0.35">
      <c r="A13">
        <v>2028</v>
      </c>
      <c r="B13">
        <f t="shared" si="0"/>
        <v>2769404.8683100422</v>
      </c>
      <c r="C13">
        <f>'Year 2035 impact'!C18</f>
        <v>2702965.268512059</v>
      </c>
      <c r="D13">
        <f>'Year 2035 impact'!D18</f>
        <v>639851.01336923614</v>
      </c>
      <c r="E13">
        <f>'Year 2035 impact'!E18</f>
        <v>626938.52304708213</v>
      </c>
      <c r="F13">
        <f>'Year 2035 impact'!$B$19*$N$12+'Year 2035 impact'!$B$12</f>
        <v>1996674.9190135032</v>
      </c>
      <c r="G13" s="2">
        <f>'Year 2035 impact'!$C$19*$N$12+'Year 2035 impact'!$C$12</f>
        <v>1894308.5378588336</v>
      </c>
      <c r="H13">
        <f>'Year 2035 impact'!$D$19*$N$12+'Year 2035 impact'!$D$12</f>
        <v>1363976.6334542052</v>
      </c>
      <c r="I13">
        <f>'Year 2035 impact'!$E$19*$N$12+'Year 2035 impact'!$E$12</f>
        <v>1330291.4383939004</v>
      </c>
    </row>
    <row r="14" spans="1:21" x14ac:dyDescent="0.35">
      <c r="A14">
        <v>2029</v>
      </c>
      <c r="B14">
        <f t="shared" si="0"/>
        <v>2769404.8683100422</v>
      </c>
      <c r="C14">
        <f>C13</f>
        <v>2702965.268512059</v>
      </c>
      <c r="D14">
        <f t="shared" si="0"/>
        <v>639851.01336923614</v>
      </c>
      <c r="E14">
        <f t="shared" si="0"/>
        <v>626938.52304708213</v>
      </c>
      <c r="F14">
        <f>'Year 2035 impact'!$B$19*$N$12+'Year 2035 impact'!$B$12</f>
        <v>1996674.9190135032</v>
      </c>
      <c r="G14" s="2">
        <f>'Year 2035 impact'!$C$19*$N$12+'Year 2035 impact'!$C$12</f>
        <v>1894308.5378588336</v>
      </c>
      <c r="H14">
        <f>'Year 2035 impact'!$D$19*$N$12+'Year 2035 impact'!$D$12</f>
        <v>1363976.6334542052</v>
      </c>
      <c r="I14">
        <f>'Year 2035 impact'!$E$19*$N$12+'Year 2035 impact'!$E$12</f>
        <v>1330291.4383939004</v>
      </c>
    </row>
    <row r="15" spans="1:21" x14ac:dyDescent="0.35">
      <c r="A15">
        <v>2030</v>
      </c>
      <c r="B15">
        <f t="shared" si="0"/>
        <v>2769404.8683100422</v>
      </c>
      <c r="C15">
        <f t="shared" ref="C15" si="4">C14</f>
        <v>2702965.268512059</v>
      </c>
      <c r="D15">
        <f t="shared" si="0"/>
        <v>639851.01336923614</v>
      </c>
      <c r="E15">
        <f t="shared" si="0"/>
        <v>626938.52304708213</v>
      </c>
      <c r="F15">
        <f>'Year 2035 impact'!$B$19*$O$12+'Year 2035 impact'!$B$12</f>
        <v>1123109.7397441699</v>
      </c>
      <c r="G15" s="2">
        <f>'Year 2035 impact'!$C$19*$O$12+'Year 2035 impact'!$C$12</f>
        <v>980128.41254658473</v>
      </c>
      <c r="H15">
        <f>'Year 2035 impact'!$D$19*$O$12+'Year 2035 impact'!$D$12</f>
        <v>582764.16752821405</v>
      </c>
      <c r="I15">
        <f>'Year 2035 impact'!$E$19*$O$12+'Year 2035 impact'!$E$12</f>
        <v>525595.59181854874</v>
      </c>
    </row>
    <row r="16" spans="1:21" x14ac:dyDescent="0.35">
      <c r="A16">
        <v>2031</v>
      </c>
      <c r="B16">
        <f t="shared" si="0"/>
        <v>2769404.8683100422</v>
      </c>
      <c r="C16">
        <f t="shared" ref="C16" si="5">C15</f>
        <v>2702965.268512059</v>
      </c>
      <c r="D16">
        <f t="shared" si="0"/>
        <v>639851.01336923614</v>
      </c>
      <c r="E16">
        <f>E15</f>
        <v>626938.52304708213</v>
      </c>
      <c r="F16">
        <f>'Year 2035 impact'!$B$19*$O$12+'Year 2035 impact'!$B$12</f>
        <v>1123109.7397441699</v>
      </c>
      <c r="G16" s="2">
        <f>'Year 2035 impact'!$C$19*$O$12+'Year 2035 impact'!$C$12</f>
        <v>980128.41254658473</v>
      </c>
      <c r="H16">
        <f>'Year 2035 impact'!$D$19*$O$12+'Year 2035 impact'!$D$12</f>
        <v>582764.16752821405</v>
      </c>
      <c r="I16">
        <f>'Year 2035 impact'!$E$19*$O$12+'Year 2035 impact'!$E$12</f>
        <v>525595.59181854874</v>
      </c>
    </row>
    <row r="17" spans="1:9" x14ac:dyDescent="0.35">
      <c r="A17">
        <v>2032</v>
      </c>
      <c r="B17">
        <f t="shared" si="0"/>
        <v>2769404.8683100422</v>
      </c>
      <c r="C17">
        <f t="shared" ref="C17:C54" si="6">C16</f>
        <v>2702965.268512059</v>
      </c>
      <c r="D17">
        <f t="shared" si="0"/>
        <v>639851.01336923614</v>
      </c>
      <c r="E17">
        <f t="shared" si="0"/>
        <v>626938.52304708213</v>
      </c>
      <c r="F17">
        <f>'Year 2035 impact'!$B$19*$O$12+'Year 2035 impact'!$B$12</f>
        <v>1123109.7397441699</v>
      </c>
      <c r="G17" s="2">
        <f>'Year 2035 impact'!$C$19*$O$12+'Year 2035 impact'!$C$12</f>
        <v>980128.41254658473</v>
      </c>
      <c r="H17">
        <f>'Year 2035 impact'!$D$19*$O$12+'Year 2035 impact'!$D$12</f>
        <v>582764.16752821405</v>
      </c>
      <c r="I17">
        <f>'Year 2035 impact'!$E$19*$O$12+'Year 2035 impact'!$E$12</f>
        <v>525595.59181854874</v>
      </c>
    </row>
    <row r="18" spans="1:9" x14ac:dyDescent="0.35">
      <c r="A18">
        <v>2033</v>
      </c>
      <c r="B18">
        <f t="shared" si="0"/>
        <v>2769404.8683100422</v>
      </c>
      <c r="C18">
        <f t="shared" si="6"/>
        <v>2702965.268512059</v>
      </c>
      <c r="D18">
        <f t="shared" si="0"/>
        <v>639851.01336923614</v>
      </c>
      <c r="E18">
        <f t="shared" si="0"/>
        <v>626938.52304708213</v>
      </c>
      <c r="F18">
        <f>'Year 2035 impact'!$B$19*$O$12+'Year 2035 impact'!$B$12</f>
        <v>1123109.7397441699</v>
      </c>
      <c r="G18" s="2">
        <f>'Year 2035 impact'!$C$19*$O$12+'Year 2035 impact'!$C$12</f>
        <v>980128.41254658473</v>
      </c>
      <c r="H18">
        <f>'Year 2035 impact'!$D$19*$O$12+'Year 2035 impact'!$D$12</f>
        <v>582764.16752821405</v>
      </c>
      <c r="I18">
        <f>'Year 2035 impact'!$E$19*$O$12+'Year 2035 impact'!$E$12</f>
        <v>525595.59181854874</v>
      </c>
    </row>
    <row r="19" spans="1:9" x14ac:dyDescent="0.35">
      <c r="A19">
        <v>2034</v>
      </c>
      <c r="B19">
        <f t="shared" si="0"/>
        <v>2769404.8683100422</v>
      </c>
      <c r="C19">
        <f t="shared" si="6"/>
        <v>2702965.268512059</v>
      </c>
      <c r="D19">
        <f t="shared" si="0"/>
        <v>639851.01336923614</v>
      </c>
      <c r="E19">
        <f t="shared" si="0"/>
        <v>626938.52304708213</v>
      </c>
      <c r="F19">
        <f>'Year 2035 impact'!$B$19*$O$12+'Year 2035 impact'!$B$12</f>
        <v>1123109.7397441699</v>
      </c>
      <c r="G19" s="2">
        <f>'Year 2035 impact'!$C$19*$O$12+'Year 2035 impact'!$C$12</f>
        <v>980128.41254658473</v>
      </c>
      <c r="H19">
        <f>'Year 2035 impact'!$D$19*$O$12+'Year 2035 impact'!$D$12</f>
        <v>582764.16752821405</v>
      </c>
      <c r="I19">
        <f>'Year 2035 impact'!$E$19*$O$12+'Year 2035 impact'!$E$12</f>
        <v>525595.59181854874</v>
      </c>
    </row>
    <row r="20" spans="1:9" x14ac:dyDescent="0.35">
      <c r="A20">
        <v>2035</v>
      </c>
      <c r="B20">
        <f t="shared" si="0"/>
        <v>2769404.8683100422</v>
      </c>
      <c r="C20">
        <f t="shared" si="6"/>
        <v>2702965.268512059</v>
      </c>
      <c r="D20">
        <f t="shared" si="0"/>
        <v>639851.01336923614</v>
      </c>
      <c r="E20">
        <f t="shared" si="0"/>
        <v>626938.52304708213</v>
      </c>
      <c r="F20">
        <f>'Year 2035 impact'!$B$19*$O$12+'Year 2035 impact'!$B$12</f>
        <v>1123109.7397441699</v>
      </c>
      <c r="G20" s="2">
        <f>'Year 2035 impact'!$C$19*$O$12+'Year 2035 impact'!$C$12</f>
        <v>980128.41254658473</v>
      </c>
      <c r="H20">
        <f>'Year 2035 impact'!$D$19*$O$12+'Year 2035 impact'!$D$12</f>
        <v>582764.16752821405</v>
      </c>
      <c r="I20">
        <f>'Year 2035 impact'!$E$19*$O$12+'Year 2035 impact'!$E$12</f>
        <v>525595.59181854874</v>
      </c>
    </row>
    <row r="21" spans="1:9" x14ac:dyDescent="0.35">
      <c r="A21">
        <v>2036</v>
      </c>
      <c r="B21">
        <f t="shared" si="0"/>
        <v>2769404.8683100422</v>
      </c>
      <c r="C21">
        <f t="shared" si="6"/>
        <v>2702965.268512059</v>
      </c>
      <c r="D21">
        <f t="shared" si="0"/>
        <v>639851.01336923614</v>
      </c>
      <c r="E21">
        <f t="shared" si="0"/>
        <v>626938.52304708213</v>
      </c>
      <c r="F21">
        <f>'Year 2035 impact'!$B$19*$O$12+'Year 2035 impact'!$B$12</f>
        <v>1123109.7397441699</v>
      </c>
      <c r="G21" s="2">
        <f>'Year 2035 impact'!$C$19*$O$12+'Year 2035 impact'!$C$12</f>
        <v>980128.41254658473</v>
      </c>
      <c r="H21">
        <f>'Year 2035 impact'!$D$19*$O$12+'Year 2035 impact'!$D$12</f>
        <v>582764.16752821405</v>
      </c>
      <c r="I21">
        <f>'Year 2035 impact'!$E$19*$O$12+'Year 2035 impact'!$E$12</f>
        <v>525595.59181854874</v>
      </c>
    </row>
    <row r="22" spans="1:9" x14ac:dyDescent="0.35">
      <c r="A22">
        <v>2037</v>
      </c>
      <c r="B22">
        <f t="shared" si="0"/>
        <v>2769404.8683100422</v>
      </c>
      <c r="C22">
        <f t="shared" si="6"/>
        <v>2702965.268512059</v>
      </c>
      <c r="D22">
        <f t="shared" si="0"/>
        <v>639851.01336923614</v>
      </c>
      <c r="E22">
        <f t="shared" si="0"/>
        <v>626938.52304708213</v>
      </c>
      <c r="F22">
        <f>'Year 2035 impact'!$B$19*$O$12+'Year 2035 impact'!$B$12</f>
        <v>1123109.7397441699</v>
      </c>
      <c r="G22" s="2">
        <f>'Year 2035 impact'!$C$19*$O$12+'Year 2035 impact'!$C$12</f>
        <v>980128.41254658473</v>
      </c>
      <c r="H22">
        <f>'Year 2035 impact'!$D$19*$O$12+'Year 2035 impact'!$D$12</f>
        <v>582764.16752821405</v>
      </c>
      <c r="I22">
        <f>'Year 2035 impact'!$E$19*$O$12+'Year 2035 impact'!$E$12</f>
        <v>525595.59181854874</v>
      </c>
    </row>
    <row r="23" spans="1:9" x14ac:dyDescent="0.35">
      <c r="A23">
        <v>2038</v>
      </c>
      <c r="B23">
        <f t="shared" ref="B23:E38" si="7">B22</f>
        <v>2769404.8683100422</v>
      </c>
      <c r="C23">
        <f t="shared" si="6"/>
        <v>2702965.268512059</v>
      </c>
      <c r="D23">
        <f t="shared" si="7"/>
        <v>639851.01336923614</v>
      </c>
      <c r="E23">
        <f t="shared" si="7"/>
        <v>626938.52304708213</v>
      </c>
      <c r="F23">
        <f>'Year 2035 impact'!$B$19*$O$12+'Year 2035 impact'!$B$12</f>
        <v>1123109.7397441699</v>
      </c>
      <c r="G23" s="2">
        <f>'Year 2035 impact'!$C$19*$O$12+'Year 2035 impact'!$C$12</f>
        <v>980128.41254658473</v>
      </c>
      <c r="H23">
        <f>'Year 2035 impact'!$D$19*$O$12+'Year 2035 impact'!$D$12</f>
        <v>582764.16752821405</v>
      </c>
      <c r="I23">
        <f>'Year 2035 impact'!$E$19*$O$12+'Year 2035 impact'!$E$12</f>
        <v>525595.59181854874</v>
      </c>
    </row>
    <row r="24" spans="1:9" x14ac:dyDescent="0.35">
      <c r="A24">
        <v>2039</v>
      </c>
      <c r="B24">
        <f t="shared" si="7"/>
        <v>2769404.8683100422</v>
      </c>
      <c r="C24">
        <f t="shared" si="6"/>
        <v>2702965.268512059</v>
      </c>
      <c r="D24">
        <f t="shared" si="7"/>
        <v>639851.01336923614</v>
      </c>
      <c r="E24">
        <f t="shared" si="7"/>
        <v>626938.52304708213</v>
      </c>
      <c r="F24">
        <f>'Year 2035 impact'!$B$19*$O$12+'Year 2035 impact'!$B$12</f>
        <v>1123109.7397441699</v>
      </c>
      <c r="G24" s="2">
        <f>'Year 2035 impact'!$C$19*$O$12+'Year 2035 impact'!$C$12</f>
        <v>980128.41254658473</v>
      </c>
      <c r="H24">
        <f>'Year 2035 impact'!$D$19*$O$12+'Year 2035 impact'!$D$12</f>
        <v>582764.16752821405</v>
      </c>
      <c r="I24">
        <f>'Year 2035 impact'!$E$19*$O$12+'Year 2035 impact'!$E$12</f>
        <v>525595.59181854874</v>
      </c>
    </row>
    <row r="25" spans="1:9" x14ac:dyDescent="0.35">
      <c r="A25">
        <v>2040</v>
      </c>
      <c r="B25">
        <f t="shared" si="7"/>
        <v>2769404.8683100422</v>
      </c>
      <c r="C25">
        <f t="shared" si="6"/>
        <v>2702965.268512059</v>
      </c>
      <c r="D25">
        <f t="shared" si="7"/>
        <v>639851.01336923614</v>
      </c>
      <c r="E25">
        <f t="shared" si="7"/>
        <v>626938.52304708213</v>
      </c>
      <c r="F25">
        <f>'Year 2035 impact'!$B$19*$P$12+'Year 2035 impact'!$B$12</f>
        <v>754194.59136163827</v>
      </c>
      <c r="G25" s="2">
        <f>'Year 2035 impact'!$C$19*$P$12+'Year 2035 impact'!$C$12</f>
        <v>594061.17385465815</v>
      </c>
      <c r="H25">
        <f>'Year 2035 impact'!$D$19*$P$12+'Year 2035 impact'!$D$12</f>
        <v>252850.47634099517</v>
      </c>
      <c r="I25">
        <f>'Year 2035 impact'!$E$19*$P$12+'Year 2035 impact'!$E$12</f>
        <v>185764.63851698063</v>
      </c>
    </row>
    <row r="26" spans="1:9" x14ac:dyDescent="0.35">
      <c r="A26">
        <v>2041</v>
      </c>
      <c r="B26">
        <f t="shared" si="7"/>
        <v>2769404.8683100422</v>
      </c>
      <c r="C26">
        <f t="shared" si="6"/>
        <v>2702965.268512059</v>
      </c>
      <c r="D26">
        <f t="shared" si="7"/>
        <v>639851.01336923614</v>
      </c>
      <c r="E26">
        <f t="shared" si="7"/>
        <v>626938.52304708213</v>
      </c>
      <c r="F26">
        <f>'Year 2035 impact'!$B$19*$P$12+'Year 2035 impact'!$B$12</f>
        <v>754194.59136163827</v>
      </c>
      <c r="G26" s="2">
        <f>'Year 2035 impact'!$C$19*$P$12+'Year 2035 impact'!$C$12</f>
        <v>594061.17385465815</v>
      </c>
      <c r="H26">
        <f>'Year 2035 impact'!$D$19*$P$12+'Year 2035 impact'!$D$12</f>
        <v>252850.47634099517</v>
      </c>
      <c r="I26">
        <f>'Year 2035 impact'!$E$19*$P$12+'Year 2035 impact'!$E$12</f>
        <v>185764.63851698063</v>
      </c>
    </row>
    <row r="27" spans="1:9" x14ac:dyDescent="0.35">
      <c r="A27">
        <v>2042</v>
      </c>
      <c r="B27">
        <f t="shared" si="7"/>
        <v>2769404.8683100422</v>
      </c>
      <c r="C27">
        <f t="shared" si="6"/>
        <v>2702965.268512059</v>
      </c>
      <c r="D27">
        <f t="shared" si="7"/>
        <v>639851.01336923614</v>
      </c>
      <c r="E27">
        <f t="shared" si="7"/>
        <v>626938.52304708213</v>
      </c>
      <c r="F27">
        <f>'Year 2035 impact'!$B$19*$P$12+'Year 2035 impact'!$B$12</f>
        <v>754194.59136163827</v>
      </c>
      <c r="G27" s="2">
        <f>'Year 2035 impact'!$C$19*$P$12+'Year 2035 impact'!$C$12</f>
        <v>594061.17385465815</v>
      </c>
      <c r="H27">
        <f>'Year 2035 impact'!$D$19*$P$12+'Year 2035 impact'!$D$12</f>
        <v>252850.47634099517</v>
      </c>
      <c r="I27">
        <f>'Year 2035 impact'!$E$19*$P$12+'Year 2035 impact'!$E$12</f>
        <v>185764.63851698063</v>
      </c>
    </row>
    <row r="28" spans="1:9" x14ac:dyDescent="0.35">
      <c r="A28">
        <v>2043</v>
      </c>
      <c r="B28">
        <f t="shared" si="7"/>
        <v>2769404.8683100422</v>
      </c>
      <c r="C28">
        <f t="shared" si="6"/>
        <v>2702965.268512059</v>
      </c>
      <c r="D28">
        <f t="shared" si="7"/>
        <v>639851.01336923614</v>
      </c>
      <c r="E28">
        <f t="shared" si="7"/>
        <v>626938.52304708213</v>
      </c>
      <c r="F28">
        <f>'Year 2035 impact'!$B$19*$P$12+'Year 2035 impact'!$B$12</f>
        <v>754194.59136163827</v>
      </c>
      <c r="G28" s="2">
        <f>'Year 2035 impact'!$C$19*$P$12+'Year 2035 impact'!$C$12</f>
        <v>594061.17385465815</v>
      </c>
      <c r="H28">
        <f>'Year 2035 impact'!$D$19*$P$12+'Year 2035 impact'!$D$12</f>
        <v>252850.47634099517</v>
      </c>
      <c r="I28">
        <f>'Year 2035 impact'!$E$19*$P$12+'Year 2035 impact'!$E$12</f>
        <v>185764.63851698063</v>
      </c>
    </row>
    <row r="29" spans="1:9" x14ac:dyDescent="0.35">
      <c r="A29">
        <v>2044</v>
      </c>
      <c r="B29">
        <f t="shared" si="7"/>
        <v>2769404.8683100422</v>
      </c>
      <c r="C29">
        <f t="shared" si="6"/>
        <v>2702965.268512059</v>
      </c>
      <c r="D29">
        <f t="shared" si="7"/>
        <v>639851.01336923614</v>
      </c>
      <c r="E29">
        <f t="shared" si="7"/>
        <v>626938.52304708213</v>
      </c>
      <c r="F29">
        <f>'Year 2035 impact'!$B$19*$P$12+'Year 2035 impact'!$B$12</f>
        <v>754194.59136163827</v>
      </c>
      <c r="G29" s="2">
        <f>'Year 2035 impact'!$C$19*$P$12+'Year 2035 impact'!$C$12</f>
        <v>594061.17385465815</v>
      </c>
      <c r="H29">
        <f>'Year 2035 impact'!$D$19*$P$12+'Year 2035 impact'!$D$12</f>
        <v>252850.47634099517</v>
      </c>
      <c r="I29">
        <f>'Year 2035 impact'!$E$19*$P$12+'Year 2035 impact'!$E$12</f>
        <v>185764.63851698063</v>
      </c>
    </row>
    <row r="30" spans="1:9" x14ac:dyDescent="0.35">
      <c r="A30">
        <v>2045</v>
      </c>
      <c r="B30">
        <f t="shared" si="7"/>
        <v>2769404.8683100422</v>
      </c>
      <c r="C30">
        <f t="shared" si="6"/>
        <v>2702965.268512059</v>
      </c>
      <c r="D30">
        <f t="shared" si="7"/>
        <v>639851.01336923614</v>
      </c>
      <c r="E30">
        <f t="shared" si="7"/>
        <v>626938.52304708213</v>
      </c>
      <c r="F30">
        <f>'Year 2035 impact'!$B$19*$P$12+'Year 2035 impact'!$B$12</f>
        <v>754194.59136163827</v>
      </c>
      <c r="G30" s="2">
        <f>'Year 2035 impact'!$C$19*$P$12+'Year 2035 impact'!$C$12</f>
        <v>594061.17385465815</v>
      </c>
      <c r="H30">
        <f>'Year 2035 impact'!$D$19*$P$12+'Year 2035 impact'!$D$12</f>
        <v>252850.47634099517</v>
      </c>
      <c r="I30">
        <f>'Year 2035 impact'!$E$19*$P$12+'Year 2035 impact'!$E$12</f>
        <v>185764.63851698063</v>
      </c>
    </row>
    <row r="31" spans="1:9" x14ac:dyDescent="0.35">
      <c r="A31">
        <v>2046</v>
      </c>
      <c r="B31">
        <f t="shared" si="7"/>
        <v>2769404.8683100422</v>
      </c>
      <c r="C31">
        <f t="shared" si="6"/>
        <v>2702965.268512059</v>
      </c>
      <c r="D31">
        <f t="shared" si="7"/>
        <v>639851.01336923614</v>
      </c>
      <c r="E31">
        <f t="shared" si="7"/>
        <v>626938.52304708213</v>
      </c>
      <c r="F31">
        <f>'Year 2035 impact'!$B$19*$P$12+'Year 2035 impact'!$B$12</f>
        <v>754194.59136163827</v>
      </c>
      <c r="G31" s="2">
        <f>'Year 2035 impact'!$C$19*$P$12+'Year 2035 impact'!$C$12</f>
        <v>594061.17385465815</v>
      </c>
      <c r="H31">
        <f>'Year 2035 impact'!$D$19*$P$12+'Year 2035 impact'!$D$12</f>
        <v>252850.47634099517</v>
      </c>
      <c r="I31">
        <f>'Year 2035 impact'!$E$19*$P$12+'Year 2035 impact'!$E$12</f>
        <v>185764.63851698063</v>
      </c>
    </row>
    <row r="32" spans="1:9" x14ac:dyDescent="0.35">
      <c r="A32">
        <v>2047</v>
      </c>
      <c r="B32">
        <f t="shared" si="7"/>
        <v>2769404.8683100422</v>
      </c>
      <c r="C32">
        <f t="shared" si="6"/>
        <v>2702965.268512059</v>
      </c>
      <c r="D32">
        <f t="shared" si="7"/>
        <v>639851.01336923614</v>
      </c>
      <c r="E32">
        <f t="shared" si="7"/>
        <v>626938.52304708213</v>
      </c>
      <c r="F32">
        <f>'Year 2035 impact'!$B$19*$P$12+'Year 2035 impact'!$B$12</f>
        <v>754194.59136163827</v>
      </c>
      <c r="G32" s="2">
        <f>'Year 2035 impact'!$C$19*$P$12+'Year 2035 impact'!$C$12</f>
        <v>594061.17385465815</v>
      </c>
      <c r="H32">
        <f>'Year 2035 impact'!$D$19*$P$12+'Year 2035 impact'!$D$12</f>
        <v>252850.47634099517</v>
      </c>
      <c r="I32">
        <f>'Year 2035 impact'!$E$19*$P$12+'Year 2035 impact'!$E$12</f>
        <v>185764.63851698063</v>
      </c>
    </row>
    <row r="33" spans="1:9" x14ac:dyDescent="0.35">
      <c r="A33">
        <v>2048</v>
      </c>
      <c r="B33">
        <f t="shared" si="7"/>
        <v>2769404.8683100422</v>
      </c>
      <c r="C33">
        <f t="shared" si="6"/>
        <v>2702965.268512059</v>
      </c>
      <c r="D33">
        <f t="shared" si="7"/>
        <v>639851.01336923614</v>
      </c>
      <c r="E33">
        <f t="shared" si="7"/>
        <v>626938.52304708213</v>
      </c>
      <c r="F33">
        <f>'Year 2035 impact'!$B$19*$P$12+'Year 2035 impact'!$B$12</f>
        <v>754194.59136163827</v>
      </c>
      <c r="G33" s="2">
        <f>'Year 2035 impact'!$C$19*$P$12+'Year 2035 impact'!$C$12</f>
        <v>594061.17385465815</v>
      </c>
      <c r="H33">
        <f>'Year 2035 impact'!$D$19*$P$12+'Year 2035 impact'!$D$12</f>
        <v>252850.47634099517</v>
      </c>
      <c r="I33">
        <f>'Year 2035 impact'!$E$19*$P$12+'Year 2035 impact'!$E$12</f>
        <v>185764.63851698063</v>
      </c>
    </row>
    <row r="34" spans="1:9" x14ac:dyDescent="0.35">
      <c r="A34">
        <v>2049</v>
      </c>
      <c r="B34">
        <f t="shared" si="7"/>
        <v>2769404.8683100422</v>
      </c>
      <c r="C34">
        <f t="shared" si="6"/>
        <v>2702965.268512059</v>
      </c>
      <c r="D34">
        <f t="shared" si="7"/>
        <v>639851.01336923614</v>
      </c>
      <c r="E34">
        <f t="shared" si="7"/>
        <v>626938.52304708213</v>
      </c>
      <c r="F34">
        <f>'Year 2035 impact'!$B$19*$P$12+'Year 2035 impact'!$B$12</f>
        <v>754194.59136163827</v>
      </c>
      <c r="G34" s="2">
        <f>'Year 2035 impact'!$C$19*$P$12+'Year 2035 impact'!$C$12</f>
        <v>594061.17385465815</v>
      </c>
      <c r="H34">
        <f>'Year 2035 impact'!$D$19*$P$12+'Year 2035 impact'!$D$12</f>
        <v>252850.47634099517</v>
      </c>
      <c r="I34">
        <f>'Year 2035 impact'!$E$19*$P$12+'Year 2035 impact'!$E$12</f>
        <v>185764.63851698063</v>
      </c>
    </row>
    <row r="35" spans="1:9" x14ac:dyDescent="0.35">
      <c r="A35">
        <v>2050</v>
      </c>
      <c r="B35">
        <f t="shared" si="7"/>
        <v>2769404.8683100422</v>
      </c>
      <c r="C35">
        <f t="shared" si="6"/>
        <v>2702965.268512059</v>
      </c>
      <c r="D35">
        <f t="shared" si="7"/>
        <v>639851.01336923614</v>
      </c>
      <c r="E35">
        <f t="shared" si="7"/>
        <v>626938.52304708213</v>
      </c>
      <c r="F35">
        <f>'Year 2035 impact'!$B$19*$Q$12+'Year 2035 impact'!$B$12</f>
        <v>472831.10044921364</v>
      </c>
      <c r="G35" s="2">
        <f>'Year 2035 impact'!$C$19*$Q$12+'Year 2035 impact'!$C$12</f>
        <v>299616.15992249426</v>
      </c>
      <c r="H35">
        <f>'Year 2035 impact'!$D$19*$Q$12+'Year 2035 impact'!$D$12</f>
        <v>1232.5412704955088</v>
      </c>
      <c r="I35">
        <f>'Year 2035 impact'!$E$19*$Q$12+'Year 2035 impact'!$E$12</f>
        <v>-73416.974816720642</v>
      </c>
    </row>
    <row r="36" spans="1:9" s="47" customFormat="1" x14ac:dyDescent="0.35">
      <c r="A36" s="47">
        <v>2051</v>
      </c>
      <c r="B36" s="47">
        <f t="shared" si="7"/>
        <v>2769404.8683100422</v>
      </c>
      <c r="C36" s="47">
        <f t="shared" si="6"/>
        <v>2702965.268512059</v>
      </c>
      <c r="D36" s="47">
        <f t="shared" si="7"/>
        <v>639851.01336923614</v>
      </c>
      <c r="E36" s="47">
        <f t="shared" si="7"/>
        <v>626938.52304708213</v>
      </c>
      <c r="F36" s="47">
        <f>'Year 2035 impact'!$B$19*$Q$12+'Year 2035 impact'!$B$12</f>
        <v>472831.10044921364</v>
      </c>
      <c r="G36" s="48">
        <f>'Year 2035 impact'!$C$19*$Q$12+'Year 2035 impact'!$C$12</f>
        <v>299616.15992249426</v>
      </c>
      <c r="H36" s="47">
        <f>'Year 2035 impact'!$D$19*$Q$12+'Year 2035 impact'!$D$12</f>
        <v>1232.5412704955088</v>
      </c>
      <c r="I36" s="47">
        <f>'Year 2035 impact'!$E$19*$Q$12+'Year 2035 impact'!$E$12</f>
        <v>-73416.974816720642</v>
      </c>
    </row>
    <row r="37" spans="1:9" s="47" customFormat="1" x14ac:dyDescent="0.35">
      <c r="A37" s="47">
        <v>2052</v>
      </c>
      <c r="B37" s="47">
        <f t="shared" si="7"/>
        <v>2769404.8683100422</v>
      </c>
      <c r="C37" s="47">
        <f t="shared" si="6"/>
        <v>2702965.268512059</v>
      </c>
      <c r="D37" s="47">
        <f t="shared" si="7"/>
        <v>639851.01336923614</v>
      </c>
      <c r="E37" s="47">
        <f t="shared" si="7"/>
        <v>626938.52304708213</v>
      </c>
      <c r="F37" s="47">
        <f>'Year 2035 impact'!$B$19*$Q$12+'Year 2035 impact'!$B$12</f>
        <v>472831.10044921364</v>
      </c>
      <c r="G37" s="48">
        <f>'Year 2035 impact'!$C$19*$Q$12+'Year 2035 impact'!$C$12</f>
        <v>299616.15992249426</v>
      </c>
      <c r="H37" s="47">
        <f>'Year 2035 impact'!$D$19*$Q$12+'Year 2035 impact'!$D$12</f>
        <v>1232.5412704955088</v>
      </c>
      <c r="I37" s="47">
        <f>'Year 2035 impact'!$E$19*$Q$12+'Year 2035 impact'!$E$12</f>
        <v>-73416.974816720642</v>
      </c>
    </row>
    <row r="38" spans="1:9" s="47" customFormat="1" x14ac:dyDescent="0.35">
      <c r="A38" s="47">
        <v>2053</v>
      </c>
      <c r="B38" s="47">
        <f t="shared" si="7"/>
        <v>2769404.8683100422</v>
      </c>
      <c r="C38" s="47">
        <f t="shared" si="6"/>
        <v>2702965.268512059</v>
      </c>
      <c r="D38" s="47">
        <f t="shared" si="7"/>
        <v>639851.01336923614</v>
      </c>
      <c r="E38" s="47">
        <f t="shared" si="7"/>
        <v>626938.52304708213</v>
      </c>
      <c r="F38" s="47">
        <f>'Year 2035 impact'!$B$19*$Q$12+'Year 2035 impact'!$B$12</f>
        <v>472831.10044921364</v>
      </c>
      <c r="G38" s="48">
        <f>'Year 2035 impact'!$C$19*$Q$12+'Year 2035 impact'!$C$12</f>
        <v>299616.15992249426</v>
      </c>
      <c r="H38" s="47">
        <f>'Year 2035 impact'!$D$19*$Q$12+'Year 2035 impact'!$D$12</f>
        <v>1232.5412704955088</v>
      </c>
      <c r="I38" s="47">
        <f>'Year 2035 impact'!$E$19*$Q$12+'Year 2035 impact'!$E$12</f>
        <v>-73416.974816720642</v>
      </c>
    </row>
    <row r="39" spans="1:9" s="47" customFormat="1" x14ac:dyDescent="0.35">
      <c r="A39" s="47">
        <v>2054</v>
      </c>
      <c r="B39" s="47">
        <f t="shared" ref="B39:E54" si="8">B38</f>
        <v>2769404.8683100422</v>
      </c>
      <c r="C39" s="47">
        <f t="shared" si="6"/>
        <v>2702965.268512059</v>
      </c>
      <c r="D39" s="47">
        <f t="shared" si="8"/>
        <v>639851.01336923614</v>
      </c>
      <c r="E39" s="47">
        <f t="shared" si="8"/>
        <v>626938.52304708213</v>
      </c>
      <c r="F39" s="47">
        <f>'Year 2035 impact'!$B$19*$Q$12+'Year 2035 impact'!$B$12</f>
        <v>472831.10044921364</v>
      </c>
      <c r="G39" s="48">
        <f>'Year 2035 impact'!$C$19*$Q$12+'Year 2035 impact'!$C$12</f>
        <v>299616.15992249426</v>
      </c>
      <c r="H39" s="47">
        <f>'Year 2035 impact'!$D$19*$Q$12+'Year 2035 impact'!$D$12</f>
        <v>1232.5412704955088</v>
      </c>
      <c r="I39" s="47">
        <f>'Year 2035 impact'!$E$19*$Q$12+'Year 2035 impact'!$E$12</f>
        <v>-73416.974816720642</v>
      </c>
    </row>
    <row r="40" spans="1:9" s="47" customFormat="1" x14ac:dyDescent="0.35">
      <c r="A40" s="47">
        <v>2055</v>
      </c>
      <c r="B40" s="47">
        <f t="shared" si="8"/>
        <v>2769404.8683100422</v>
      </c>
      <c r="C40" s="47">
        <f t="shared" si="6"/>
        <v>2702965.268512059</v>
      </c>
      <c r="D40" s="47">
        <f t="shared" si="8"/>
        <v>639851.01336923614</v>
      </c>
      <c r="E40" s="47">
        <f t="shared" si="8"/>
        <v>626938.52304708213</v>
      </c>
      <c r="F40" s="47">
        <f>'Year 2035 impact'!$B$19*$Q$12+'Year 2035 impact'!$B$12</f>
        <v>472831.10044921364</v>
      </c>
      <c r="G40" s="48">
        <f>'Year 2035 impact'!$C$19*$Q$12+'Year 2035 impact'!$C$12</f>
        <v>299616.15992249426</v>
      </c>
      <c r="H40" s="47">
        <f>'Year 2035 impact'!$D$19*$Q$12+'Year 2035 impact'!$D$12</f>
        <v>1232.5412704955088</v>
      </c>
      <c r="I40" s="47">
        <f>'Year 2035 impact'!$E$19*$Q$12+'Year 2035 impact'!$E$12</f>
        <v>-73416.974816720642</v>
      </c>
    </row>
    <row r="41" spans="1:9" s="47" customFormat="1" x14ac:dyDescent="0.35">
      <c r="A41" s="47">
        <v>2056</v>
      </c>
      <c r="B41" s="47">
        <f t="shared" si="8"/>
        <v>2769404.8683100422</v>
      </c>
      <c r="C41" s="47">
        <f t="shared" si="6"/>
        <v>2702965.268512059</v>
      </c>
      <c r="D41" s="47">
        <f t="shared" si="8"/>
        <v>639851.01336923614</v>
      </c>
      <c r="E41" s="47">
        <f t="shared" si="8"/>
        <v>626938.52304708213</v>
      </c>
      <c r="F41" s="47">
        <f>'Year 2035 impact'!$B$19*$Q$12+'Year 2035 impact'!$B$12</f>
        <v>472831.10044921364</v>
      </c>
      <c r="G41" s="48">
        <f>'Year 2035 impact'!$C$19*$Q$12+'Year 2035 impact'!$C$12</f>
        <v>299616.15992249426</v>
      </c>
      <c r="H41" s="47">
        <f>'Year 2035 impact'!$D$19*$Q$12+'Year 2035 impact'!$D$12</f>
        <v>1232.5412704955088</v>
      </c>
      <c r="I41" s="47">
        <f>'Year 2035 impact'!$E$19*$Q$12+'Year 2035 impact'!$E$12</f>
        <v>-73416.974816720642</v>
      </c>
    </row>
    <row r="42" spans="1:9" s="47" customFormat="1" x14ac:dyDescent="0.35">
      <c r="A42" s="47">
        <v>2057</v>
      </c>
      <c r="B42" s="47">
        <f t="shared" si="8"/>
        <v>2769404.8683100422</v>
      </c>
      <c r="C42" s="47">
        <f t="shared" si="6"/>
        <v>2702965.268512059</v>
      </c>
      <c r="D42" s="47">
        <f t="shared" si="8"/>
        <v>639851.01336923614</v>
      </c>
      <c r="E42" s="47">
        <f t="shared" si="8"/>
        <v>626938.52304708213</v>
      </c>
      <c r="F42" s="47">
        <f>'Year 2035 impact'!$B$19*$Q$12+'Year 2035 impact'!$B$12</f>
        <v>472831.10044921364</v>
      </c>
      <c r="G42" s="48">
        <f>'Year 2035 impact'!$C$19*$Q$12+'Year 2035 impact'!$C$12</f>
        <v>299616.15992249426</v>
      </c>
      <c r="H42" s="47">
        <f>'Year 2035 impact'!$D$19*$Q$12+'Year 2035 impact'!$D$12</f>
        <v>1232.5412704955088</v>
      </c>
      <c r="I42" s="47">
        <f>'Year 2035 impact'!$E$19*$Q$12+'Year 2035 impact'!$E$12</f>
        <v>-73416.974816720642</v>
      </c>
    </row>
    <row r="43" spans="1:9" s="47" customFormat="1" x14ac:dyDescent="0.35">
      <c r="A43" s="47">
        <v>2058</v>
      </c>
      <c r="B43" s="47">
        <f t="shared" si="8"/>
        <v>2769404.8683100422</v>
      </c>
      <c r="C43" s="47">
        <f t="shared" si="6"/>
        <v>2702965.268512059</v>
      </c>
      <c r="D43" s="47">
        <f t="shared" si="8"/>
        <v>639851.01336923614</v>
      </c>
      <c r="E43" s="47">
        <f t="shared" si="8"/>
        <v>626938.52304708213</v>
      </c>
      <c r="F43" s="47">
        <f>'Year 2035 impact'!$B$19*$Q$12+'Year 2035 impact'!$B$12</f>
        <v>472831.10044921364</v>
      </c>
      <c r="G43" s="48">
        <f>'Year 2035 impact'!$C$19*$Q$12+'Year 2035 impact'!$C$12</f>
        <v>299616.15992249426</v>
      </c>
      <c r="H43" s="47">
        <f>'Year 2035 impact'!$D$19*$Q$12+'Year 2035 impact'!$D$12</f>
        <v>1232.5412704955088</v>
      </c>
      <c r="I43" s="47">
        <f>'Year 2035 impact'!$E$19*$Q$12+'Year 2035 impact'!$E$12</f>
        <v>-73416.974816720642</v>
      </c>
    </row>
    <row r="44" spans="1:9" s="47" customFormat="1" x14ac:dyDescent="0.35">
      <c r="A44" s="47">
        <v>2059</v>
      </c>
      <c r="B44" s="47">
        <f t="shared" si="8"/>
        <v>2769404.8683100422</v>
      </c>
      <c r="C44" s="47">
        <f t="shared" si="6"/>
        <v>2702965.268512059</v>
      </c>
      <c r="D44" s="47">
        <f t="shared" si="8"/>
        <v>639851.01336923614</v>
      </c>
      <c r="E44" s="47">
        <f t="shared" si="8"/>
        <v>626938.52304708213</v>
      </c>
      <c r="F44" s="47">
        <f>'Year 2035 impact'!$B$19*$Q$12+'Year 2035 impact'!$B$12</f>
        <v>472831.10044921364</v>
      </c>
      <c r="G44" s="48">
        <f>'Year 2035 impact'!$C$19*$Q$12+'Year 2035 impact'!$C$12</f>
        <v>299616.15992249426</v>
      </c>
      <c r="H44" s="47">
        <f>'Year 2035 impact'!$D$19*$Q$12+'Year 2035 impact'!$D$12</f>
        <v>1232.5412704955088</v>
      </c>
      <c r="I44" s="47">
        <f>'Year 2035 impact'!$E$19*$Q$12+'Year 2035 impact'!$E$12</f>
        <v>-73416.974816720642</v>
      </c>
    </row>
    <row r="45" spans="1:9" s="47" customFormat="1" x14ac:dyDescent="0.35">
      <c r="A45" s="47">
        <v>2060</v>
      </c>
      <c r="B45" s="47">
        <f t="shared" si="8"/>
        <v>2769404.8683100422</v>
      </c>
      <c r="C45" s="47">
        <f t="shared" si="6"/>
        <v>2702965.268512059</v>
      </c>
      <c r="D45" s="47">
        <f t="shared" si="8"/>
        <v>639851.01336923614</v>
      </c>
      <c r="E45" s="47">
        <f t="shared" si="8"/>
        <v>626938.52304708213</v>
      </c>
      <c r="F45" s="47">
        <f>'Year 2035 impact'!$B$19*$R$12+'Year 2035 impact'!$B$12</f>
        <v>0</v>
      </c>
      <c r="G45" s="48">
        <f>'Year 2035 impact'!$C$19*$R$12+'Year 2035 impact'!$C$12</f>
        <v>-195198.42852268054</v>
      </c>
      <c r="H45" s="47">
        <f>'Year 2035 impact'!$D$19*$R$12+'Year 2035 impact'!$D$12</f>
        <v>-421611.17859639297</v>
      </c>
      <c r="I45" s="47">
        <f>'Year 2035 impact'!$E$19*$R$12+'Year 2035 impact'!$E$12</f>
        <v>-508971.44939110818</v>
      </c>
    </row>
    <row r="46" spans="1:9" s="47" customFormat="1" x14ac:dyDescent="0.35">
      <c r="A46" s="47">
        <v>2061</v>
      </c>
      <c r="B46" s="47">
        <f t="shared" si="8"/>
        <v>2769404.8683100422</v>
      </c>
      <c r="C46" s="47">
        <f t="shared" si="6"/>
        <v>2702965.268512059</v>
      </c>
      <c r="D46" s="47">
        <f t="shared" si="8"/>
        <v>639851.01336923614</v>
      </c>
      <c r="E46" s="47">
        <f t="shared" si="8"/>
        <v>626938.52304708213</v>
      </c>
      <c r="F46" s="47">
        <f>'Year 2035 impact'!$B$19*$R$12+'Year 2035 impact'!$B$12</f>
        <v>0</v>
      </c>
      <c r="G46" s="48">
        <f>'Year 2035 impact'!$C$19*$R$12+'Year 2035 impact'!$C$12</f>
        <v>-195198.42852268054</v>
      </c>
      <c r="H46" s="47">
        <f>'Year 2035 impact'!$D$19*$R$12+'Year 2035 impact'!$D$12</f>
        <v>-421611.17859639297</v>
      </c>
      <c r="I46" s="47">
        <f>'Year 2035 impact'!$E$19*$R$12+'Year 2035 impact'!$E$12</f>
        <v>-508971.44939110818</v>
      </c>
    </row>
    <row r="47" spans="1:9" s="47" customFormat="1" x14ac:dyDescent="0.35">
      <c r="A47" s="47">
        <v>2062</v>
      </c>
      <c r="B47" s="47">
        <f t="shared" si="8"/>
        <v>2769404.8683100422</v>
      </c>
      <c r="C47" s="47">
        <f t="shared" si="6"/>
        <v>2702965.268512059</v>
      </c>
      <c r="D47" s="47">
        <f t="shared" si="8"/>
        <v>639851.01336923614</v>
      </c>
      <c r="E47" s="47">
        <f t="shared" si="8"/>
        <v>626938.52304708213</v>
      </c>
      <c r="F47" s="47">
        <f>'Year 2035 impact'!$B$19*$R$12+'Year 2035 impact'!$B$12</f>
        <v>0</v>
      </c>
      <c r="G47" s="48">
        <f>'Year 2035 impact'!$C$19*$R$12+'Year 2035 impact'!$C$12</f>
        <v>-195198.42852268054</v>
      </c>
      <c r="H47" s="47">
        <f>'Year 2035 impact'!$D$19*$R$12+'Year 2035 impact'!$D$12</f>
        <v>-421611.17859639297</v>
      </c>
      <c r="I47" s="47">
        <f>'Year 2035 impact'!$E$19*$R$12+'Year 2035 impact'!$E$12</f>
        <v>-508971.44939110818</v>
      </c>
    </row>
    <row r="48" spans="1:9" s="47" customFormat="1" x14ac:dyDescent="0.35">
      <c r="A48" s="47">
        <v>2063</v>
      </c>
      <c r="B48" s="47">
        <f t="shared" si="8"/>
        <v>2769404.8683100422</v>
      </c>
      <c r="C48" s="47">
        <f t="shared" si="6"/>
        <v>2702965.268512059</v>
      </c>
      <c r="D48" s="47">
        <f t="shared" si="8"/>
        <v>639851.01336923614</v>
      </c>
      <c r="E48" s="47">
        <f t="shared" si="8"/>
        <v>626938.52304708213</v>
      </c>
      <c r="F48" s="47">
        <f>'Year 2035 impact'!$B$19*$R$12+'Year 2035 impact'!$B$12</f>
        <v>0</v>
      </c>
      <c r="G48" s="48">
        <f>'Year 2035 impact'!$C$19*$R$12+'Year 2035 impact'!$C$12</f>
        <v>-195198.42852268054</v>
      </c>
      <c r="H48" s="47">
        <f>'Year 2035 impact'!$D$19*$R$12+'Year 2035 impact'!$D$12</f>
        <v>-421611.17859639297</v>
      </c>
      <c r="I48" s="47">
        <f>'Year 2035 impact'!$E$19*$R$12+'Year 2035 impact'!$E$12</f>
        <v>-508971.44939110818</v>
      </c>
    </row>
    <row r="49" spans="1:9" s="47" customFormat="1" x14ac:dyDescent="0.35">
      <c r="A49" s="47">
        <v>2064</v>
      </c>
      <c r="B49" s="47">
        <f t="shared" si="8"/>
        <v>2769404.8683100422</v>
      </c>
      <c r="C49" s="47">
        <f t="shared" si="6"/>
        <v>2702965.268512059</v>
      </c>
      <c r="D49" s="47">
        <f t="shared" si="8"/>
        <v>639851.01336923614</v>
      </c>
      <c r="E49" s="47">
        <f t="shared" si="8"/>
        <v>626938.52304708213</v>
      </c>
      <c r="F49" s="47">
        <f>'Year 2035 impact'!$B$19*$R$12+'Year 2035 impact'!$B$12</f>
        <v>0</v>
      </c>
      <c r="G49" s="48">
        <f>'Year 2035 impact'!$C$19*$R$12+'Year 2035 impact'!$C$12</f>
        <v>-195198.42852268054</v>
      </c>
      <c r="H49" s="47">
        <f>'Year 2035 impact'!$D$19*$R$12+'Year 2035 impact'!$D$12</f>
        <v>-421611.17859639297</v>
      </c>
      <c r="I49" s="47">
        <f>'Year 2035 impact'!$E$19*$R$12+'Year 2035 impact'!$E$12</f>
        <v>-508971.44939110818</v>
      </c>
    </row>
    <row r="50" spans="1:9" s="47" customFormat="1" x14ac:dyDescent="0.35">
      <c r="A50" s="47">
        <v>2065</v>
      </c>
      <c r="B50" s="47">
        <f t="shared" si="8"/>
        <v>2769404.8683100422</v>
      </c>
      <c r="C50" s="47">
        <f t="shared" si="6"/>
        <v>2702965.268512059</v>
      </c>
      <c r="D50" s="47">
        <f t="shared" si="8"/>
        <v>639851.01336923614</v>
      </c>
      <c r="E50" s="47">
        <f t="shared" si="8"/>
        <v>626938.52304708213</v>
      </c>
      <c r="F50" s="47">
        <f>'Year 2035 impact'!$B$19*$R$12+'Year 2035 impact'!$B$12</f>
        <v>0</v>
      </c>
      <c r="G50" s="48">
        <f>'Year 2035 impact'!$C$19*$R$12+'Year 2035 impact'!$C$12</f>
        <v>-195198.42852268054</v>
      </c>
      <c r="H50" s="47">
        <f>'Year 2035 impact'!$D$19*$R$12+'Year 2035 impact'!$D$12</f>
        <v>-421611.17859639297</v>
      </c>
      <c r="I50" s="47">
        <f>'Year 2035 impact'!$E$19*$R$12+'Year 2035 impact'!$E$12</f>
        <v>-508971.44939110818</v>
      </c>
    </row>
    <row r="51" spans="1:9" s="47" customFormat="1" x14ac:dyDescent="0.35">
      <c r="A51" s="47">
        <v>2066</v>
      </c>
      <c r="B51" s="47">
        <f t="shared" si="8"/>
        <v>2769404.8683100422</v>
      </c>
      <c r="C51" s="47">
        <f t="shared" si="6"/>
        <v>2702965.268512059</v>
      </c>
      <c r="D51" s="47">
        <f t="shared" si="8"/>
        <v>639851.01336923614</v>
      </c>
      <c r="E51" s="47">
        <f t="shared" si="8"/>
        <v>626938.52304708213</v>
      </c>
      <c r="F51" s="47">
        <f>'Year 2035 impact'!$B$19*$R$12+'Year 2035 impact'!$B$12</f>
        <v>0</v>
      </c>
      <c r="G51" s="48">
        <f>'Year 2035 impact'!$C$19*$R$12+'Year 2035 impact'!$C$12</f>
        <v>-195198.42852268054</v>
      </c>
      <c r="H51" s="47">
        <f>'Year 2035 impact'!$D$19*$R$12+'Year 2035 impact'!$D$12</f>
        <v>-421611.17859639297</v>
      </c>
      <c r="I51" s="47">
        <f>'Year 2035 impact'!$E$19*$R$12+'Year 2035 impact'!$E$12</f>
        <v>-508971.44939110818</v>
      </c>
    </row>
    <row r="52" spans="1:9" s="47" customFormat="1" x14ac:dyDescent="0.35">
      <c r="A52" s="47">
        <v>2067</v>
      </c>
      <c r="B52" s="47">
        <f t="shared" si="8"/>
        <v>2769404.8683100422</v>
      </c>
      <c r="C52" s="47">
        <f t="shared" si="6"/>
        <v>2702965.268512059</v>
      </c>
      <c r="D52" s="47">
        <f t="shared" si="8"/>
        <v>639851.01336923614</v>
      </c>
      <c r="E52" s="47">
        <f t="shared" si="8"/>
        <v>626938.52304708213</v>
      </c>
      <c r="F52" s="47">
        <f>'Year 2035 impact'!$B$19*$R$12+'Year 2035 impact'!$B$12</f>
        <v>0</v>
      </c>
      <c r="G52" s="48">
        <f>'Year 2035 impact'!$C$19*$R$12+'Year 2035 impact'!$C$12</f>
        <v>-195198.42852268054</v>
      </c>
      <c r="H52" s="47">
        <f>'Year 2035 impact'!$D$19*$R$12+'Year 2035 impact'!$D$12</f>
        <v>-421611.17859639297</v>
      </c>
      <c r="I52" s="47">
        <f>'Year 2035 impact'!$E$19*$R$12+'Year 2035 impact'!$E$12</f>
        <v>-508971.44939110818</v>
      </c>
    </row>
    <row r="53" spans="1:9" s="47" customFormat="1" x14ac:dyDescent="0.35">
      <c r="A53" s="47">
        <v>2068</v>
      </c>
      <c r="B53" s="47">
        <f t="shared" si="8"/>
        <v>2769404.8683100422</v>
      </c>
      <c r="C53" s="47">
        <f t="shared" si="6"/>
        <v>2702965.268512059</v>
      </c>
      <c r="D53" s="47">
        <f t="shared" si="8"/>
        <v>639851.01336923614</v>
      </c>
      <c r="E53" s="47">
        <f t="shared" si="8"/>
        <v>626938.52304708213</v>
      </c>
      <c r="F53" s="47">
        <f>'Year 2035 impact'!$B$19*$R$12+'Year 2035 impact'!$B$12</f>
        <v>0</v>
      </c>
      <c r="G53" s="48">
        <f>'Year 2035 impact'!$C$19*$R$12+'Year 2035 impact'!$C$12</f>
        <v>-195198.42852268054</v>
      </c>
      <c r="H53" s="47">
        <f>'Year 2035 impact'!$D$19*$R$12+'Year 2035 impact'!$D$12</f>
        <v>-421611.17859639297</v>
      </c>
      <c r="I53" s="47">
        <f>'Year 2035 impact'!$E$19*$R$12+'Year 2035 impact'!$E$12</f>
        <v>-508971.44939110818</v>
      </c>
    </row>
    <row r="54" spans="1:9" s="47" customFormat="1" x14ac:dyDescent="0.35">
      <c r="A54" s="47">
        <v>2069</v>
      </c>
      <c r="B54" s="47">
        <f t="shared" si="8"/>
        <v>2769404.8683100422</v>
      </c>
      <c r="C54" s="47">
        <f t="shared" si="6"/>
        <v>2702965.268512059</v>
      </c>
      <c r="D54" s="47">
        <f t="shared" si="8"/>
        <v>639851.01336923614</v>
      </c>
      <c r="E54" s="47">
        <f t="shared" si="8"/>
        <v>626938.52304708213</v>
      </c>
      <c r="F54" s="47">
        <f>'Year 2035 impact'!$B$19*$R$12+'Year 2035 impact'!$B$12</f>
        <v>0</v>
      </c>
      <c r="G54" s="48">
        <f>'Year 2035 impact'!$C$19*$R$12+'Year 2035 impact'!$C$12</f>
        <v>-195198.42852268054</v>
      </c>
      <c r="H54" s="47">
        <f>'Year 2035 impact'!$D$19*$R$12+'Year 2035 impact'!$D$12</f>
        <v>-421611.17859639297</v>
      </c>
      <c r="I54" s="47">
        <f>'Year 2035 impact'!$E$19*$R$12+'Year 2035 impact'!$E$12</f>
        <v>-508971.44939110818</v>
      </c>
    </row>
    <row r="55" spans="1:9" x14ac:dyDescent="0.35">
      <c r="B55" s="6"/>
      <c r="C55" s="6"/>
      <c r="D55" s="6"/>
      <c r="E55" s="6"/>
      <c r="F55" s="6"/>
      <c r="G55" s="6"/>
      <c r="H55" s="6"/>
      <c r="I55" s="6"/>
    </row>
    <row r="56" spans="1:9" x14ac:dyDescent="0.35">
      <c r="B56" s="6"/>
      <c r="C56" s="6"/>
      <c r="D56" s="6"/>
      <c r="E56" s="6"/>
      <c r="F56" s="6"/>
      <c r="G56" s="6"/>
      <c r="H56" s="6"/>
      <c r="I56" s="6"/>
    </row>
    <row r="57" spans="1:9" x14ac:dyDescent="0.35">
      <c r="C57" s="12"/>
      <c r="D57" s="12"/>
      <c r="E57" s="12"/>
      <c r="F57" s="12"/>
      <c r="G57" s="12"/>
      <c r="H57" s="12"/>
      <c r="I57" s="12"/>
    </row>
    <row r="58" spans="1:9" x14ac:dyDescent="0.35">
      <c r="C58" s="12"/>
      <c r="D58" s="12"/>
      <c r="E58" s="12"/>
      <c r="F58" s="12"/>
      <c r="G58" s="12"/>
      <c r="H58" s="12"/>
      <c r="I58" s="12"/>
    </row>
    <row r="59" spans="1:9" ht="15" customHeight="1" x14ac:dyDescent="0.35">
      <c r="B59" s="57" t="s">
        <v>46</v>
      </c>
      <c r="C59" s="57"/>
      <c r="D59" s="57"/>
      <c r="E59" s="57"/>
      <c r="F59" s="58" t="s">
        <v>45</v>
      </c>
      <c r="G59" s="58"/>
      <c r="H59" s="58"/>
      <c r="I59" s="58"/>
    </row>
    <row r="60" spans="1:9" x14ac:dyDescent="0.35">
      <c r="B60" s="35" t="s">
        <v>6</v>
      </c>
      <c r="C60" s="1" t="s">
        <v>32</v>
      </c>
      <c r="D60" s="1" t="s">
        <v>31</v>
      </c>
      <c r="E60" s="1" t="s">
        <v>44</v>
      </c>
      <c r="F60" s="1" t="s">
        <v>65</v>
      </c>
      <c r="G60" s="1" t="s">
        <v>51</v>
      </c>
      <c r="H60" s="1" t="s">
        <v>52</v>
      </c>
      <c r="I60" s="1" t="s">
        <v>53</v>
      </c>
    </row>
    <row r="61" spans="1:9" x14ac:dyDescent="0.35">
      <c r="A61">
        <v>2020</v>
      </c>
      <c r="B61">
        <f t="shared" ref="B61:I61" si="9">B5</f>
        <v>0</v>
      </c>
      <c r="C61">
        <f>C5</f>
        <v>0</v>
      </c>
      <c r="D61">
        <f t="shared" si="9"/>
        <v>0</v>
      </c>
      <c r="E61">
        <f t="shared" si="9"/>
        <v>0</v>
      </c>
      <c r="F61">
        <f t="shared" si="9"/>
        <v>0</v>
      </c>
      <c r="G61">
        <f>G5</f>
        <v>0</v>
      </c>
      <c r="H61">
        <f t="shared" si="9"/>
        <v>0</v>
      </c>
      <c r="I61">
        <f t="shared" si="9"/>
        <v>0</v>
      </c>
    </row>
    <row r="62" spans="1:9" x14ac:dyDescent="0.35">
      <c r="A62">
        <v>2021</v>
      </c>
      <c r="B62">
        <f t="shared" ref="B62:B93" si="10">B6+B61</f>
        <v>0</v>
      </c>
      <c r="C62">
        <f t="shared" ref="C62:C93" si="11">C6+C61</f>
        <v>0</v>
      </c>
      <c r="D62">
        <f t="shared" ref="D62:D93" si="12">D6+D61</f>
        <v>0</v>
      </c>
      <c r="E62">
        <f t="shared" ref="E62:E93" si="13">E6+E61</f>
        <v>0</v>
      </c>
      <c r="F62">
        <f t="shared" ref="F62:F93" si="14">F6+F61</f>
        <v>0</v>
      </c>
      <c r="G62">
        <f t="shared" ref="G62:G93" si="15">G6+G61</f>
        <v>0</v>
      </c>
      <c r="H62">
        <f t="shared" ref="H62:H93" si="16">H6+H61</f>
        <v>0</v>
      </c>
      <c r="I62">
        <f t="shared" ref="I62:I93" si="17">I6+I61</f>
        <v>0</v>
      </c>
    </row>
    <row r="63" spans="1:9" x14ac:dyDescent="0.35">
      <c r="A63">
        <v>2022</v>
      </c>
      <c r="B63">
        <f t="shared" si="10"/>
        <v>0</v>
      </c>
      <c r="C63">
        <f t="shared" si="11"/>
        <v>0</v>
      </c>
      <c r="D63">
        <f t="shared" si="12"/>
        <v>0</v>
      </c>
      <c r="E63">
        <f t="shared" si="13"/>
        <v>0</v>
      </c>
      <c r="F63">
        <f t="shared" si="14"/>
        <v>0</v>
      </c>
      <c r="G63">
        <f t="shared" si="15"/>
        <v>0</v>
      </c>
      <c r="H63">
        <f t="shared" si="16"/>
        <v>0</v>
      </c>
      <c r="I63">
        <f t="shared" si="17"/>
        <v>0</v>
      </c>
    </row>
    <row r="64" spans="1:9" x14ac:dyDescent="0.35">
      <c r="A64">
        <v>2023</v>
      </c>
      <c r="B64">
        <f t="shared" si="10"/>
        <v>2769404.8683100422</v>
      </c>
      <c r="C64">
        <f t="shared" si="11"/>
        <v>2769404.8683100422</v>
      </c>
      <c r="D64">
        <f t="shared" si="12"/>
        <v>2769404.8683100422</v>
      </c>
      <c r="E64">
        <f t="shared" si="13"/>
        <v>2769404.8683100422</v>
      </c>
      <c r="F64">
        <f>F8+F63</f>
        <v>1996674.9190135032</v>
      </c>
      <c r="G64">
        <f t="shared" si="15"/>
        <v>1996674.9190135032</v>
      </c>
      <c r="H64">
        <f t="shared" si="16"/>
        <v>1996674.9190135032</v>
      </c>
      <c r="I64">
        <f t="shared" si="17"/>
        <v>1996674.9190135032</v>
      </c>
    </row>
    <row r="65" spans="1:9" x14ac:dyDescent="0.35">
      <c r="A65">
        <v>2024</v>
      </c>
      <c r="B65">
        <f t="shared" si="10"/>
        <v>5538809.7366200844</v>
      </c>
      <c r="C65">
        <f t="shared" si="11"/>
        <v>5538809.7366200844</v>
      </c>
      <c r="D65">
        <f t="shared" si="12"/>
        <v>5538809.7366200844</v>
      </c>
      <c r="E65">
        <f t="shared" si="13"/>
        <v>5538809.7366200844</v>
      </c>
      <c r="F65">
        <f>F9+F64</f>
        <v>3993349.8380270065</v>
      </c>
      <c r="G65">
        <f t="shared" si="15"/>
        <v>3993349.8380270065</v>
      </c>
      <c r="H65">
        <f t="shared" si="16"/>
        <v>3993349.8380270065</v>
      </c>
      <c r="I65">
        <f t="shared" si="17"/>
        <v>3993349.8380270065</v>
      </c>
    </row>
    <row r="66" spans="1:9" x14ac:dyDescent="0.35">
      <c r="A66">
        <v>2025</v>
      </c>
      <c r="B66">
        <f t="shared" si="10"/>
        <v>8308214.604930127</v>
      </c>
      <c r="C66">
        <f t="shared" si="11"/>
        <v>8308214.604930127</v>
      </c>
      <c r="D66">
        <f t="shared" si="12"/>
        <v>8308214.604930127</v>
      </c>
      <c r="E66">
        <f t="shared" si="13"/>
        <v>8308214.604930127</v>
      </c>
      <c r="F66">
        <f t="shared" si="14"/>
        <v>5990024.75704051</v>
      </c>
      <c r="G66">
        <f t="shared" si="15"/>
        <v>5990024.75704051</v>
      </c>
      <c r="H66">
        <f t="shared" si="16"/>
        <v>5990024.75704051</v>
      </c>
      <c r="I66">
        <f t="shared" si="17"/>
        <v>5990024.75704051</v>
      </c>
    </row>
    <row r="67" spans="1:9" x14ac:dyDescent="0.35">
      <c r="A67">
        <v>2026</v>
      </c>
      <c r="B67">
        <f t="shared" si="10"/>
        <v>11077619.473240169</v>
      </c>
      <c r="C67">
        <f t="shared" si="11"/>
        <v>11077619.473240169</v>
      </c>
      <c r="D67">
        <f t="shared" si="12"/>
        <v>11077619.473240169</v>
      </c>
      <c r="E67">
        <f t="shared" si="13"/>
        <v>11077619.473240169</v>
      </c>
      <c r="F67">
        <f t="shared" si="14"/>
        <v>7986699.676054013</v>
      </c>
      <c r="G67">
        <f t="shared" si="15"/>
        <v>7986699.676054013</v>
      </c>
      <c r="H67">
        <f t="shared" si="16"/>
        <v>7986699.676054013</v>
      </c>
      <c r="I67">
        <f t="shared" si="17"/>
        <v>7986699.676054013</v>
      </c>
    </row>
    <row r="68" spans="1:9" x14ac:dyDescent="0.35">
      <c r="A68">
        <v>2027</v>
      </c>
      <c r="B68">
        <f t="shared" si="10"/>
        <v>13847024.34155021</v>
      </c>
      <c r="C68">
        <f t="shared" si="11"/>
        <v>13847024.34155021</v>
      </c>
      <c r="D68">
        <f t="shared" si="12"/>
        <v>13847024.34155021</v>
      </c>
      <c r="E68">
        <f t="shared" si="13"/>
        <v>13847024.34155021</v>
      </c>
      <c r="F68">
        <f t="shared" si="14"/>
        <v>9983374.595067516</v>
      </c>
      <c r="G68">
        <f t="shared" si="15"/>
        <v>9983374.595067516</v>
      </c>
      <c r="H68">
        <f t="shared" si="16"/>
        <v>9983374.595067516</v>
      </c>
      <c r="I68">
        <f t="shared" si="17"/>
        <v>9983374.595067516</v>
      </c>
    </row>
    <row r="69" spans="1:9" x14ac:dyDescent="0.35">
      <c r="A69">
        <v>2028</v>
      </c>
      <c r="B69">
        <f t="shared" si="10"/>
        <v>16616429.209860252</v>
      </c>
      <c r="C69">
        <f t="shared" si="11"/>
        <v>16549989.610062269</v>
      </c>
      <c r="D69">
        <f t="shared" si="12"/>
        <v>14486875.354919447</v>
      </c>
      <c r="E69">
        <f t="shared" si="13"/>
        <v>14473962.864597293</v>
      </c>
      <c r="F69">
        <f t="shared" si="14"/>
        <v>11980049.51408102</v>
      </c>
      <c r="G69">
        <f t="shared" si="15"/>
        <v>11877683.132926349</v>
      </c>
      <c r="H69">
        <f t="shared" si="16"/>
        <v>11347351.228521721</v>
      </c>
      <c r="I69">
        <f t="shared" si="17"/>
        <v>11313666.033461416</v>
      </c>
    </row>
    <row r="70" spans="1:9" x14ac:dyDescent="0.35">
      <c r="A70">
        <v>2029</v>
      </c>
      <c r="B70">
        <f t="shared" si="10"/>
        <v>19385834.078170296</v>
      </c>
      <c r="C70">
        <f t="shared" si="11"/>
        <v>19252954.878574327</v>
      </c>
      <c r="D70">
        <f t="shared" si="12"/>
        <v>15126726.368288683</v>
      </c>
      <c r="E70">
        <f t="shared" si="13"/>
        <v>15100901.387644375</v>
      </c>
      <c r="F70">
        <f t="shared" si="14"/>
        <v>13976724.433094524</v>
      </c>
      <c r="G70">
        <f t="shared" si="15"/>
        <v>13771991.670785181</v>
      </c>
      <c r="H70">
        <f t="shared" si="16"/>
        <v>12711327.861975927</v>
      </c>
      <c r="I70">
        <f t="shared" si="17"/>
        <v>12643957.471855316</v>
      </c>
    </row>
    <row r="71" spans="1:9" x14ac:dyDescent="0.35">
      <c r="A71">
        <v>2030</v>
      </c>
      <c r="B71">
        <f t="shared" si="10"/>
        <v>22155238.946480338</v>
      </c>
      <c r="C71">
        <f t="shared" si="11"/>
        <v>21955920.147086386</v>
      </c>
      <c r="D71">
        <f t="shared" si="12"/>
        <v>15766577.381657919</v>
      </c>
      <c r="E71">
        <f t="shared" si="13"/>
        <v>15727839.910691457</v>
      </c>
      <c r="F71">
        <f t="shared" si="14"/>
        <v>15099834.172838693</v>
      </c>
      <c r="G71">
        <f t="shared" si="15"/>
        <v>14752120.083331766</v>
      </c>
      <c r="H71">
        <f t="shared" si="16"/>
        <v>13294092.029504141</v>
      </c>
      <c r="I71">
        <f t="shared" si="17"/>
        <v>13169553.063673865</v>
      </c>
    </row>
    <row r="72" spans="1:9" x14ac:dyDescent="0.35">
      <c r="A72">
        <v>2031</v>
      </c>
      <c r="B72">
        <f t="shared" si="10"/>
        <v>24924643.814790379</v>
      </c>
      <c r="C72">
        <f t="shared" si="11"/>
        <v>24658885.415598445</v>
      </c>
      <c r="D72">
        <f t="shared" si="12"/>
        <v>16406428.395027155</v>
      </c>
      <c r="E72">
        <f t="shared" si="13"/>
        <v>16354778.433738539</v>
      </c>
      <c r="F72">
        <f t="shared" si="14"/>
        <v>16222943.912582863</v>
      </c>
      <c r="G72">
        <f t="shared" si="15"/>
        <v>15732248.49587835</v>
      </c>
      <c r="H72">
        <f t="shared" si="16"/>
        <v>13876856.197032355</v>
      </c>
      <c r="I72">
        <f t="shared" si="17"/>
        <v>13695148.655492414</v>
      </c>
    </row>
    <row r="73" spans="1:9" x14ac:dyDescent="0.35">
      <c r="A73">
        <v>2032</v>
      </c>
      <c r="B73">
        <f t="shared" si="10"/>
        <v>27694048.683100421</v>
      </c>
      <c r="C73">
        <f t="shared" si="11"/>
        <v>27361850.684110504</v>
      </c>
      <c r="D73">
        <f t="shared" si="12"/>
        <v>17046279.408396393</v>
      </c>
      <c r="E73">
        <f t="shared" si="13"/>
        <v>16981716.956785619</v>
      </c>
      <c r="F73">
        <f t="shared" si="14"/>
        <v>17346053.652327035</v>
      </c>
      <c r="G73">
        <f t="shared" si="15"/>
        <v>16712376.908424934</v>
      </c>
      <c r="H73">
        <f t="shared" si="16"/>
        <v>14459620.364560569</v>
      </c>
      <c r="I73">
        <f t="shared" si="17"/>
        <v>14220744.247310963</v>
      </c>
    </row>
    <row r="74" spans="1:9" x14ac:dyDescent="0.35">
      <c r="A74">
        <v>2033</v>
      </c>
      <c r="B74">
        <f t="shared" si="10"/>
        <v>30463453.551410463</v>
      </c>
      <c r="C74">
        <f t="shared" si="11"/>
        <v>30064815.952622563</v>
      </c>
      <c r="D74">
        <f t="shared" si="12"/>
        <v>17686130.421765629</v>
      </c>
      <c r="E74">
        <f t="shared" si="13"/>
        <v>17608655.479832701</v>
      </c>
      <c r="F74">
        <f t="shared" si="14"/>
        <v>18469163.392071206</v>
      </c>
      <c r="G74">
        <f t="shared" si="15"/>
        <v>17692505.320971519</v>
      </c>
      <c r="H74">
        <f t="shared" si="16"/>
        <v>15042384.532088783</v>
      </c>
      <c r="I74">
        <f t="shared" si="17"/>
        <v>14746339.839129511</v>
      </c>
    </row>
    <row r="75" spans="1:9" x14ac:dyDescent="0.35">
      <c r="A75">
        <v>2034</v>
      </c>
      <c r="B75">
        <f t="shared" si="10"/>
        <v>33232858.419720504</v>
      </c>
      <c r="C75">
        <f t="shared" si="11"/>
        <v>32767781.221134622</v>
      </c>
      <c r="D75">
        <f t="shared" si="12"/>
        <v>18325981.435134865</v>
      </c>
      <c r="E75">
        <f t="shared" si="13"/>
        <v>18235594.002879784</v>
      </c>
      <c r="F75">
        <f t="shared" si="14"/>
        <v>19592273.131815378</v>
      </c>
      <c r="G75">
        <f t="shared" si="15"/>
        <v>18672633.733518105</v>
      </c>
      <c r="H75">
        <f t="shared" si="16"/>
        <v>15625148.699616997</v>
      </c>
      <c r="I75">
        <f t="shared" si="17"/>
        <v>15271935.43094806</v>
      </c>
    </row>
    <row r="76" spans="1:9" x14ac:dyDescent="0.35">
      <c r="A76">
        <v>2035</v>
      </c>
      <c r="B76">
        <f t="shared" si="10"/>
        <v>36002263.28803055</v>
      </c>
      <c r="C76">
        <f t="shared" si="11"/>
        <v>35470746.489646681</v>
      </c>
      <c r="D76">
        <f t="shared" si="12"/>
        <v>18965832.448504101</v>
      </c>
      <c r="E76">
        <f t="shared" si="13"/>
        <v>18862532.525926866</v>
      </c>
      <c r="F76">
        <f t="shared" si="14"/>
        <v>20715382.871559549</v>
      </c>
      <c r="G76">
        <f t="shared" si="15"/>
        <v>19652762.146064691</v>
      </c>
      <c r="H76">
        <f t="shared" si="16"/>
        <v>16207912.867145211</v>
      </c>
      <c r="I76">
        <f t="shared" si="17"/>
        <v>15797531.022766609</v>
      </c>
    </row>
    <row r="77" spans="1:9" x14ac:dyDescent="0.35">
      <c r="A77">
        <v>2036</v>
      </c>
      <c r="B77">
        <f t="shared" si="10"/>
        <v>38771668.156340592</v>
      </c>
      <c r="C77">
        <f t="shared" si="11"/>
        <v>38173711.758158743</v>
      </c>
      <c r="D77">
        <f t="shared" si="12"/>
        <v>19605683.461873338</v>
      </c>
      <c r="E77">
        <f t="shared" si="13"/>
        <v>19489471.048973948</v>
      </c>
      <c r="F77">
        <f t="shared" si="14"/>
        <v>21838492.611303721</v>
      </c>
      <c r="G77">
        <f t="shared" si="15"/>
        <v>20632890.558611277</v>
      </c>
      <c r="H77">
        <f t="shared" si="16"/>
        <v>16790677.034673426</v>
      </c>
      <c r="I77">
        <f t="shared" si="17"/>
        <v>16323126.614585157</v>
      </c>
    </row>
    <row r="78" spans="1:9" x14ac:dyDescent="0.35">
      <c r="A78">
        <v>2037</v>
      </c>
      <c r="B78">
        <f t="shared" si="10"/>
        <v>41541073.024650633</v>
      </c>
      <c r="C78">
        <f t="shared" si="11"/>
        <v>40876677.026670799</v>
      </c>
      <c r="D78">
        <f t="shared" si="12"/>
        <v>20245534.475242574</v>
      </c>
      <c r="E78">
        <f t="shared" si="13"/>
        <v>20116409.57202103</v>
      </c>
      <c r="F78">
        <f t="shared" si="14"/>
        <v>22961602.351047892</v>
      </c>
      <c r="G78">
        <f t="shared" si="15"/>
        <v>21613018.971157864</v>
      </c>
      <c r="H78">
        <f t="shared" si="16"/>
        <v>17373441.202201642</v>
      </c>
      <c r="I78">
        <f t="shared" si="17"/>
        <v>16848722.206403706</v>
      </c>
    </row>
    <row r="79" spans="1:9" x14ac:dyDescent="0.35">
      <c r="A79">
        <v>2038</v>
      </c>
      <c r="B79">
        <f t="shared" si="10"/>
        <v>44310477.892960675</v>
      </c>
      <c r="C79">
        <f t="shared" si="11"/>
        <v>43579642.295182854</v>
      </c>
      <c r="D79">
        <f t="shared" si="12"/>
        <v>20885385.48861181</v>
      </c>
      <c r="E79">
        <f t="shared" si="13"/>
        <v>20743348.095068112</v>
      </c>
      <c r="F79">
        <f t="shared" si="14"/>
        <v>24084712.090792064</v>
      </c>
      <c r="G79">
        <f t="shared" si="15"/>
        <v>22593147.38370445</v>
      </c>
      <c r="H79">
        <f t="shared" si="16"/>
        <v>17956205.369729858</v>
      </c>
      <c r="I79">
        <f t="shared" si="17"/>
        <v>17374317.798222255</v>
      </c>
    </row>
    <row r="80" spans="1:9" x14ac:dyDescent="0.35">
      <c r="A80">
        <v>2039</v>
      </c>
      <c r="B80">
        <f t="shared" si="10"/>
        <v>47079882.761270717</v>
      </c>
      <c r="C80">
        <f t="shared" si="11"/>
        <v>46282607.563694909</v>
      </c>
      <c r="D80">
        <f t="shared" si="12"/>
        <v>21525236.501981046</v>
      </c>
      <c r="E80">
        <f t="shared" si="13"/>
        <v>21370286.618115194</v>
      </c>
      <c r="F80">
        <f t="shared" si="14"/>
        <v>25207821.830536235</v>
      </c>
      <c r="G80">
        <f t="shared" si="15"/>
        <v>23573275.796251036</v>
      </c>
      <c r="H80">
        <f t="shared" si="16"/>
        <v>18538969.537258074</v>
      </c>
      <c r="I80">
        <f t="shared" si="17"/>
        <v>17899913.390040804</v>
      </c>
    </row>
    <row r="81" spans="1:11" x14ac:dyDescent="0.35">
      <c r="A81">
        <v>2040</v>
      </c>
      <c r="B81">
        <f t="shared" si="10"/>
        <v>49849287.629580759</v>
      </c>
      <c r="C81">
        <f t="shared" si="11"/>
        <v>48985572.832206964</v>
      </c>
      <c r="D81">
        <f t="shared" si="12"/>
        <v>22165087.515350282</v>
      </c>
      <c r="E81">
        <f t="shared" si="13"/>
        <v>21997225.141162276</v>
      </c>
      <c r="F81">
        <f t="shared" si="14"/>
        <v>25962016.421897873</v>
      </c>
      <c r="G81">
        <f t="shared" si="15"/>
        <v>24167336.970105693</v>
      </c>
      <c r="H81">
        <f t="shared" si="16"/>
        <v>18791820.013599068</v>
      </c>
      <c r="I81">
        <f t="shared" si="17"/>
        <v>18085678.028557785</v>
      </c>
    </row>
    <row r="82" spans="1:11" x14ac:dyDescent="0.35">
      <c r="A82">
        <v>2041</v>
      </c>
      <c r="B82">
        <f t="shared" si="10"/>
        <v>52618692.4978908</v>
      </c>
      <c r="C82">
        <f t="shared" si="11"/>
        <v>51688538.10071902</v>
      </c>
      <c r="D82">
        <f t="shared" si="12"/>
        <v>22804938.528719518</v>
      </c>
      <c r="E82">
        <f t="shared" si="13"/>
        <v>22624163.664209358</v>
      </c>
      <c r="F82">
        <f t="shared" si="14"/>
        <v>26716211.013259511</v>
      </c>
      <c r="G82">
        <f t="shared" si="15"/>
        <v>24761398.143960349</v>
      </c>
      <c r="H82">
        <f t="shared" si="16"/>
        <v>19044670.489940062</v>
      </c>
      <c r="I82">
        <f t="shared" si="17"/>
        <v>18271442.667074766</v>
      </c>
    </row>
    <row r="83" spans="1:11" x14ac:dyDescent="0.35">
      <c r="A83">
        <v>2042</v>
      </c>
      <c r="B83">
        <f t="shared" si="10"/>
        <v>55388097.366200842</v>
      </c>
      <c r="C83">
        <f t="shared" si="11"/>
        <v>54391503.369231075</v>
      </c>
      <c r="D83">
        <f t="shared" si="12"/>
        <v>23444789.542088754</v>
      </c>
      <c r="E83">
        <f t="shared" si="13"/>
        <v>23251102.187256441</v>
      </c>
      <c r="F83">
        <f t="shared" si="14"/>
        <v>27470405.60462115</v>
      </c>
      <c r="G83">
        <f t="shared" si="15"/>
        <v>25355459.317815006</v>
      </c>
      <c r="H83">
        <f t="shared" si="16"/>
        <v>19297520.966281056</v>
      </c>
      <c r="I83">
        <f t="shared" si="17"/>
        <v>18457207.305591747</v>
      </c>
    </row>
    <row r="84" spans="1:11" x14ac:dyDescent="0.35">
      <c r="A84">
        <v>2043</v>
      </c>
      <c r="B84">
        <f t="shared" si="10"/>
        <v>58157502.234510884</v>
      </c>
      <c r="C84">
        <f t="shared" si="11"/>
        <v>57094468.63774313</v>
      </c>
      <c r="D84">
        <f t="shared" si="12"/>
        <v>24084640.555457991</v>
      </c>
      <c r="E84">
        <f t="shared" si="13"/>
        <v>23878040.710303523</v>
      </c>
      <c r="F84">
        <f t="shared" si="14"/>
        <v>28224600.195982788</v>
      </c>
      <c r="G84">
        <f t="shared" si="15"/>
        <v>25949520.491669662</v>
      </c>
      <c r="H84">
        <f t="shared" si="16"/>
        <v>19550371.442622051</v>
      </c>
      <c r="I84">
        <f t="shared" si="17"/>
        <v>18642971.944108728</v>
      </c>
    </row>
    <row r="85" spans="1:11" x14ac:dyDescent="0.35">
      <c r="A85">
        <v>2044</v>
      </c>
      <c r="B85">
        <f t="shared" si="10"/>
        <v>60926907.102820925</v>
      </c>
      <c r="C85">
        <f t="shared" si="11"/>
        <v>59797433.906255186</v>
      </c>
      <c r="D85">
        <f t="shared" si="12"/>
        <v>24724491.568827227</v>
      </c>
      <c r="E85">
        <f t="shared" si="13"/>
        <v>24504979.233350605</v>
      </c>
      <c r="F85">
        <f t="shared" si="14"/>
        <v>28978794.787344426</v>
      </c>
      <c r="G85">
        <f t="shared" si="15"/>
        <v>26543581.665524319</v>
      </c>
      <c r="H85">
        <f t="shared" si="16"/>
        <v>19803221.918963045</v>
      </c>
      <c r="I85">
        <f t="shared" si="17"/>
        <v>18828736.582625709</v>
      </c>
    </row>
    <row r="86" spans="1:11" x14ac:dyDescent="0.35">
      <c r="A86">
        <v>2045</v>
      </c>
      <c r="B86">
        <f t="shared" si="10"/>
        <v>63696311.971130967</v>
      </c>
      <c r="C86">
        <f t="shared" si="11"/>
        <v>62500399.174767241</v>
      </c>
      <c r="D86">
        <f t="shared" si="12"/>
        <v>25364342.582196463</v>
      </c>
      <c r="E86">
        <f t="shared" si="13"/>
        <v>25131917.756397687</v>
      </c>
      <c r="F86">
        <f t="shared" si="14"/>
        <v>29732989.378706064</v>
      </c>
      <c r="G86">
        <f t="shared" si="15"/>
        <v>27137642.839378975</v>
      </c>
      <c r="H86">
        <f t="shared" si="16"/>
        <v>20056072.395304039</v>
      </c>
      <c r="I86">
        <f t="shared" si="17"/>
        <v>19014501.221142691</v>
      </c>
    </row>
    <row r="87" spans="1:11" x14ac:dyDescent="0.35">
      <c r="A87">
        <v>2046</v>
      </c>
      <c r="B87">
        <f t="shared" si="10"/>
        <v>66465716.839441009</v>
      </c>
      <c r="C87">
        <f t="shared" si="11"/>
        <v>65203364.443279296</v>
      </c>
      <c r="D87">
        <f t="shared" si="12"/>
        <v>26004193.595565699</v>
      </c>
      <c r="E87">
        <f t="shared" si="13"/>
        <v>25758856.279444769</v>
      </c>
      <c r="F87">
        <f t="shared" si="14"/>
        <v>30487183.970067702</v>
      </c>
      <c r="G87">
        <f t="shared" si="15"/>
        <v>27731704.013233632</v>
      </c>
      <c r="H87">
        <f t="shared" si="16"/>
        <v>20308922.871645033</v>
      </c>
      <c r="I87">
        <f t="shared" si="17"/>
        <v>19200265.859659672</v>
      </c>
    </row>
    <row r="88" spans="1:11" x14ac:dyDescent="0.35">
      <c r="A88">
        <v>2047</v>
      </c>
      <c r="B88">
        <f t="shared" si="10"/>
        <v>69235121.707751051</v>
      </c>
      <c r="C88">
        <f t="shared" si="11"/>
        <v>67906329.711791351</v>
      </c>
      <c r="D88">
        <f t="shared" si="12"/>
        <v>26644044.608934935</v>
      </c>
      <c r="E88">
        <f t="shared" si="13"/>
        <v>26385794.802491851</v>
      </c>
      <c r="F88">
        <f t="shared" si="14"/>
        <v>31241378.56142934</v>
      </c>
      <c r="G88">
        <f t="shared" si="15"/>
        <v>28325765.187088288</v>
      </c>
      <c r="H88">
        <f t="shared" si="16"/>
        <v>20561773.347986028</v>
      </c>
      <c r="I88">
        <f t="shared" si="17"/>
        <v>19386030.498176653</v>
      </c>
    </row>
    <row r="89" spans="1:11" x14ac:dyDescent="0.35">
      <c r="A89">
        <v>2048</v>
      </c>
      <c r="B89">
        <f t="shared" si="10"/>
        <v>72004526.5760611</v>
      </c>
      <c r="C89">
        <f t="shared" si="11"/>
        <v>70609294.980303407</v>
      </c>
      <c r="D89">
        <f t="shared" si="12"/>
        <v>27283895.622304171</v>
      </c>
      <c r="E89">
        <f t="shared" si="13"/>
        <v>27012733.325538933</v>
      </c>
      <c r="F89">
        <f t="shared" si="14"/>
        <v>31995573.152790979</v>
      </c>
      <c r="G89">
        <f t="shared" si="15"/>
        <v>28919826.360942945</v>
      </c>
      <c r="H89">
        <f t="shared" si="16"/>
        <v>20814623.824327022</v>
      </c>
      <c r="I89">
        <f t="shared" si="17"/>
        <v>19571795.136693634</v>
      </c>
    </row>
    <row r="90" spans="1:11" x14ac:dyDescent="0.35">
      <c r="A90">
        <v>2049</v>
      </c>
      <c r="B90">
        <f t="shared" si="10"/>
        <v>74773931.444371149</v>
      </c>
      <c r="C90">
        <f t="shared" si="11"/>
        <v>73312260.248815462</v>
      </c>
      <c r="D90">
        <f t="shared" si="12"/>
        <v>27923746.635673407</v>
      </c>
      <c r="E90">
        <f t="shared" si="13"/>
        <v>27639671.848586015</v>
      </c>
      <c r="F90">
        <f t="shared" si="14"/>
        <v>32749767.744152617</v>
      </c>
      <c r="G90">
        <f t="shared" si="15"/>
        <v>29513887.534797601</v>
      </c>
      <c r="H90">
        <f t="shared" si="16"/>
        <v>21067474.300668016</v>
      </c>
      <c r="I90">
        <f t="shared" si="17"/>
        <v>19757559.775210615</v>
      </c>
      <c r="K90" s="6">
        <f>F90-B90</f>
        <v>-42024163.700218529</v>
      </c>
    </row>
    <row r="91" spans="1:11" x14ac:dyDescent="0.35">
      <c r="A91">
        <v>2050</v>
      </c>
      <c r="B91">
        <f t="shared" si="10"/>
        <v>77543336.312681198</v>
      </c>
      <c r="C91">
        <f t="shared" si="11"/>
        <v>76015225.517327517</v>
      </c>
      <c r="D91">
        <f t="shared" si="12"/>
        <v>28563597.649042644</v>
      </c>
      <c r="E91">
        <f t="shared" si="13"/>
        <v>28266610.371633098</v>
      </c>
      <c r="F91">
        <f t="shared" si="14"/>
        <v>33222598.844601829</v>
      </c>
      <c r="G91">
        <f t="shared" si="15"/>
        <v>29813503.694720097</v>
      </c>
      <c r="H91">
        <f t="shared" si="16"/>
        <v>21068706.841938511</v>
      </c>
      <c r="I91">
        <f t="shared" si="17"/>
        <v>19684142.800393894</v>
      </c>
      <c r="K91" s="34">
        <f>K90/30</f>
        <v>-1400805.4566739509</v>
      </c>
    </row>
    <row r="92" spans="1:11" s="47" customFormat="1" x14ac:dyDescent="0.35">
      <c r="A92" s="47">
        <v>2051</v>
      </c>
      <c r="B92" s="47">
        <f t="shared" si="10"/>
        <v>80312741.180991247</v>
      </c>
      <c r="C92" s="47">
        <f t="shared" si="11"/>
        <v>78718190.785839573</v>
      </c>
      <c r="D92" s="47">
        <f t="shared" si="12"/>
        <v>29203448.66241188</v>
      </c>
      <c r="E92" s="47">
        <f t="shared" si="13"/>
        <v>28893548.89468018</v>
      </c>
      <c r="F92" s="47">
        <f t="shared" si="14"/>
        <v>33695429.945051044</v>
      </c>
      <c r="G92" s="47">
        <f t="shared" si="15"/>
        <v>30113119.854642592</v>
      </c>
      <c r="H92" s="47">
        <f t="shared" si="16"/>
        <v>21069939.383209005</v>
      </c>
      <c r="I92" s="47">
        <f t="shared" si="17"/>
        <v>19610725.825577173</v>
      </c>
    </row>
    <row r="93" spans="1:11" s="47" customFormat="1" x14ac:dyDescent="0.35">
      <c r="A93" s="47">
        <v>2052</v>
      </c>
      <c r="B93" s="47">
        <f t="shared" si="10"/>
        <v>83082146.049301296</v>
      </c>
      <c r="C93" s="47">
        <f t="shared" si="11"/>
        <v>81421156.054351628</v>
      </c>
      <c r="D93" s="47">
        <f t="shared" si="12"/>
        <v>29843299.675781116</v>
      </c>
      <c r="E93" s="47">
        <f t="shared" si="13"/>
        <v>29520487.417727262</v>
      </c>
      <c r="F93" s="47">
        <f t="shared" si="14"/>
        <v>34168261.045500256</v>
      </c>
      <c r="G93" s="47">
        <f t="shared" si="15"/>
        <v>30412736.014565088</v>
      </c>
      <c r="H93" s="47">
        <f t="shared" si="16"/>
        <v>21071171.924479499</v>
      </c>
      <c r="I93" s="47">
        <f t="shared" si="17"/>
        <v>19537308.850760452</v>
      </c>
    </row>
    <row r="94" spans="1:11" s="47" customFormat="1" x14ac:dyDescent="0.35">
      <c r="A94" s="47">
        <v>2053</v>
      </c>
      <c r="B94" s="47">
        <f t="shared" ref="B94:B110" si="18">B38+B93</f>
        <v>85851550.917611346</v>
      </c>
      <c r="C94" s="47">
        <f t="shared" ref="C94:C110" si="19">C38+C93</f>
        <v>84124121.322863683</v>
      </c>
      <c r="D94" s="47">
        <f t="shared" ref="D94:D110" si="20">D38+D93</f>
        <v>30483150.689150352</v>
      </c>
      <c r="E94" s="47">
        <f t="shared" ref="E94:E110" si="21">E38+E93</f>
        <v>30147425.940774344</v>
      </c>
      <c r="F94" s="47">
        <f t="shared" ref="F94:F110" si="22">F38+F93</f>
        <v>34641092.145949468</v>
      </c>
      <c r="G94" s="47">
        <f t="shared" ref="G94:G110" si="23">G38+G93</f>
        <v>30712352.174487583</v>
      </c>
      <c r="H94" s="47">
        <f t="shared" ref="H94:H110" si="24">H38+H93</f>
        <v>21072404.465749994</v>
      </c>
      <c r="I94" s="47">
        <f t="shared" ref="I94:I110" si="25">I38+I93</f>
        <v>19463891.875943732</v>
      </c>
    </row>
    <row r="95" spans="1:11" s="47" customFormat="1" x14ac:dyDescent="0.35">
      <c r="A95" s="47">
        <v>2054</v>
      </c>
      <c r="B95" s="47">
        <f t="shared" si="18"/>
        <v>88620955.785921395</v>
      </c>
      <c r="C95" s="47">
        <f t="shared" si="19"/>
        <v>86827086.591375738</v>
      </c>
      <c r="D95" s="47">
        <f t="shared" si="20"/>
        <v>31123001.702519588</v>
      </c>
      <c r="E95" s="47">
        <f t="shared" si="21"/>
        <v>30774364.463821426</v>
      </c>
      <c r="F95" s="47">
        <f t="shared" si="22"/>
        <v>35113923.24639868</v>
      </c>
      <c r="G95" s="47">
        <f t="shared" si="23"/>
        <v>31011968.334410079</v>
      </c>
      <c r="H95" s="47">
        <f t="shared" si="24"/>
        <v>21073637.007020488</v>
      </c>
      <c r="I95" s="47">
        <f t="shared" si="25"/>
        <v>19390474.901127011</v>
      </c>
    </row>
    <row r="96" spans="1:11" s="47" customFormat="1" x14ac:dyDescent="0.35">
      <c r="A96" s="47">
        <v>2055</v>
      </c>
      <c r="B96" s="47">
        <f t="shared" si="18"/>
        <v>91390360.654231444</v>
      </c>
      <c r="C96" s="47">
        <f t="shared" si="19"/>
        <v>89530051.859887794</v>
      </c>
      <c r="D96" s="47">
        <f t="shared" si="20"/>
        <v>31762852.715888824</v>
      </c>
      <c r="E96" s="47">
        <f t="shared" si="21"/>
        <v>31401302.986868508</v>
      </c>
      <c r="F96" s="47">
        <f t="shared" si="22"/>
        <v>35586754.346847892</v>
      </c>
      <c r="G96" s="47">
        <f t="shared" si="23"/>
        <v>31311584.494332574</v>
      </c>
      <c r="H96" s="47">
        <f t="shared" si="24"/>
        <v>21074869.548290983</v>
      </c>
      <c r="I96" s="47">
        <f t="shared" si="25"/>
        <v>19317057.92631029</v>
      </c>
    </row>
    <row r="97" spans="1:9" s="47" customFormat="1" x14ac:dyDescent="0.35">
      <c r="A97" s="47">
        <v>2056</v>
      </c>
      <c r="B97" s="47">
        <f t="shared" si="18"/>
        <v>94159765.522541493</v>
      </c>
      <c r="C97" s="47">
        <f t="shared" si="19"/>
        <v>92233017.128399849</v>
      </c>
      <c r="D97" s="47">
        <f t="shared" si="20"/>
        <v>32402703.72925806</v>
      </c>
      <c r="E97" s="47">
        <f t="shared" si="21"/>
        <v>32028241.50991559</v>
      </c>
      <c r="F97" s="47">
        <f t="shared" si="22"/>
        <v>36059585.447297104</v>
      </c>
      <c r="G97" s="47">
        <f t="shared" si="23"/>
        <v>31611200.65425507</v>
      </c>
      <c r="H97" s="47">
        <f t="shared" si="24"/>
        <v>21076102.089561477</v>
      </c>
      <c r="I97" s="47">
        <f t="shared" si="25"/>
        <v>19243640.951493569</v>
      </c>
    </row>
    <row r="98" spans="1:9" s="47" customFormat="1" x14ac:dyDescent="0.35">
      <c r="A98" s="47">
        <v>2057</v>
      </c>
      <c r="B98" s="47">
        <f t="shared" si="18"/>
        <v>96929170.390851542</v>
      </c>
      <c r="C98" s="47">
        <f t="shared" si="19"/>
        <v>94935982.396911904</v>
      </c>
      <c r="D98" s="47">
        <f t="shared" si="20"/>
        <v>33042554.742627297</v>
      </c>
      <c r="E98" s="47">
        <f t="shared" si="21"/>
        <v>32655180.032962672</v>
      </c>
      <c r="F98" s="47">
        <f t="shared" si="22"/>
        <v>36532416.547746316</v>
      </c>
      <c r="G98" s="47">
        <f t="shared" si="23"/>
        <v>31910816.814177565</v>
      </c>
      <c r="H98" s="47">
        <f t="shared" si="24"/>
        <v>21077334.630831972</v>
      </c>
      <c r="I98" s="47">
        <f t="shared" si="25"/>
        <v>19170223.976676848</v>
      </c>
    </row>
    <row r="99" spans="1:9" s="47" customFormat="1" x14ac:dyDescent="0.35">
      <c r="A99" s="47">
        <v>2058</v>
      </c>
      <c r="B99" s="47">
        <f t="shared" si="18"/>
        <v>99698575.259161592</v>
      </c>
      <c r="C99" s="47">
        <f t="shared" si="19"/>
        <v>97638947.665423959</v>
      </c>
      <c r="D99" s="47">
        <f t="shared" si="20"/>
        <v>33682405.755996533</v>
      </c>
      <c r="E99" s="47">
        <f t="shared" si="21"/>
        <v>33282118.556009755</v>
      </c>
      <c r="F99" s="47">
        <f t="shared" si="22"/>
        <v>37005247.648195527</v>
      </c>
      <c r="G99" s="47">
        <f t="shared" si="23"/>
        <v>32210432.974100061</v>
      </c>
      <c r="H99" s="47">
        <f t="shared" si="24"/>
        <v>21078567.172102466</v>
      </c>
      <c r="I99" s="47">
        <f t="shared" si="25"/>
        <v>19096807.001860127</v>
      </c>
    </row>
    <row r="100" spans="1:9" s="47" customFormat="1" x14ac:dyDescent="0.35">
      <c r="A100" s="47">
        <v>2059</v>
      </c>
      <c r="B100" s="47">
        <f t="shared" si="18"/>
        <v>102467980.12747164</v>
      </c>
      <c r="C100" s="47">
        <f t="shared" si="19"/>
        <v>100341912.93393601</v>
      </c>
      <c r="D100" s="47">
        <f t="shared" si="20"/>
        <v>34322256.769365773</v>
      </c>
      <c r="E100" s="47">
        <f t="shared" si="21"/>
        <v>33909057.079056837</v>
      </c>
      <c r="F100" s="47">
        <f t="shared" si="22"/>
        <v>37478078.748644739</v>
      </c>
      <c r="G100" s="47">
        <f t="shared" si="23"/>
        <v>32510049.134022556</v>
      </c>
      <c r="H100" s="47">
        <f t="shared" si="24"/>
        <v>21079799.713372961</v>
      </c>
      <c r="I100" s="47">
        <f t="shared" si="25"/>
        <v>19023390.027043406</v>
      </c>
    </row>
    <row r="101" spans="1:9" s="47" customFormat="1" x14ac:dyDescent="0.35">
      <c r="A101" s="47">
        <v>2060</v>
      </c>
      <c r="B101" s="47">
        <f t="shared" si="18"/>
        <v>105237384.99578169</v>
      </c>
      <c r="C101" s="47">
        <f t="shared" si="19"/>
        <v>103044878.20244807</v>
      </c>
      <c r="D101" s="47">
        <f t="shared" si="20"/>
        <v>34962107.782735005</v>
      </c>
      <c r="E101" s="47">
        <f t="shared" si="21"/>
        <v>34535995.602103919</v>
      </c>
      <c r="F101" s="47">
        <f t="shared" si="22"/>
        <v>37478078.748644739</v>
      </c>
      <c r="G101" s="47">
        <f t="shared" si="23"/>
        <v>32314850.705499876</v>
      </c>
      <c r="H101" s="47">
        <f t="shared" si="24"/>
        <v>20658188.534776568</v>
      </c>
      <c r="I101" s="47">
        <f t="shared" si="25"/>
        <v>18514418.577652298</v>
      </c>
    </row>
    <row r="102" spans="1:9" s="47" customFormat="1" x14ac:dyDescent="0.35">
      <c r="A102" s="47">
        <v>2061</v>
      </c>
      <c r="B102" s="47">
        <f t="shared" si="18"/>
        <v>108006789.86409174</v>
      </c>
      <c r="C102" s="47">
        <f t="shared" si="19"/>
        <v>105747843.47096013</v>
      </c>
      <c r="D102" s="47">
        <f t="shared" si="20"/>
        <v>35601958.796104237</v>
      </c>
      <c r="E102" s="47">
        <f t="shared" si="21"/>
        <v>35162934.125151001</v>
      </c>
      <c r="F102" s="47">
        <f t="shared" si="22"/>
        <v>37478078.748644739</v>
      </c>
      <c r="G102" s="47">
        <f t="shared" si="23"/>
        <v>32119652.276977196</v>
      </c>
      <c r="H102" s="47">
        <f t="shared" si="24"/>
        <v>20236577.356180176</v>
      </c>
      <c r="I102" s="47">
        <f t="shared" si="25"/>
        <v>18005447.12826119</v>
      </c>
    </row>
    <row r="103" spans="1:9" s="47" customFormat="1" x14ac:dyDescent="0.35">
      <c r="A103" s="47">
        <v>2062</v>
      </c>
      <c r="B103" s="47">
        <f t="shared" si="18"/>
        <v>110776194.73240179</v>
      </c>
      <c r="C103" s="47">
        <f t="shared" si="19"/>
        <v>108450808.73947218</v>
      </c>
      <c r="D103" s="47">
        <f t="shared" si="20"/>
        <v>36241809.80947347</v>
      </c>
      <c r="E103" s="47">
        <f t="shared" si="21"/>
        <v>35789872.648198083</v>
      </c>
      <c r="F103" s="47">
        <f t="shared" si="22"/>
        <v>37478078.748644739</v>
      </c>
      <c r="G103" s="47">
        <f t="shared" si="23"/>
        <v>31924453.848454516</v>
      </c>
      <c r="H103" s="47">
        <f t="shared" si="24"/>
        <v>19814966.177583784</v>
      </c>
      <c r="I103" s="47">
        <f t="shared" si="25"/>
        <v>17496475.678870082</v>
      </c>
    </row>
    <row r="104" spans="1:9" s="47" customFormat="1" x14ac:dyDescent="0.35">
      <c r="A104" s="47">
        <v>2063</v>
      </c>
      <c r="B104" s="47">
        <f t="shared" si="18"/>
        <v>113545599.60071184</v>
      </c>
      <c r="C104" s="47">
        <f t="shared" si="19"/>
        <v>111153774.00798424</v>
      </c>
      <c r="D104" s="47">
        <f t="shared" si="20"/>
        <v>36881660.822842702</v>
      </c>
      <c r="E104" s="47">
        <f t="shared" si="21"/>
        <v>36416811.171245165</v>
      </c>
      <c r="F104" s="47">
        <f t="shared" si="22"/>
        <v>37478078.748644739</v>
      </c>
      <c r="G104" s="47">
        <f t="shared" si="23"/>
        <v>31729255.419931836</v>
      </c>
      <c r="H104" s="47">
        <f t="shared" si="24"/>
        <v>19393354.998987392</v>
      </c>
      <c r="I104" s="47">
        <f t="shared" si="25"/>
        <v>16987504.229478974</v>
      </c>
    </row>
    <row r="105" spans="1:9" s="47" customFormat="1" x14ac:dyDescent="0.35">
      <c r="A105" s="47">
        <v>2064</v>
      </c>
      <c r="B105" s="47">
        <f t="shared" si="18"/>
        <v>116315004.46902189</v>
      </c>
      <c r="C105" s="47">
        <f t="shared" si="19"/>
        <v>113856739.27649629</v>
      </c>
      <c r="D105" s="47">
        <f t="shared" si="20"/>
        <v>37521511.836211935</v>
      </c>
      <c r="E105" s="47">
        <f t="shared" si="21"/>
        <v>37043749.694292247</v>
      </c>
      <c r="F105" s="47">
        <f t="shared" si="22"/>
        <v>37478078.748644739</v>
      </c>
      <c r="G105" s="47">
        <f t="shared" si="23"/>
        <v>31534056.991409156</v>
      </c>
      <c r="H105" s="47">
        <f t="shared" si="24"/>
        <v>18971743.820390999</v>
      </c>
      <c r="I105" s="47">
        <f t="shared" si="25"/>
        <v>16478532.780087866</v>
      </c>
    </row>
    <row r="106" spans="1:9" s="47" customFormat="1" x14ac:dyDescent="0.35">
      <c r="A106" s="47">
        <v>2065</v>
      </c>
      <c r="B106" s="47">
        <f t="shared" si="18"/>
        <v>119084409.33733194</v>
      </c>
      <c r="C106" s="47">
        <f t="shared" si="19"/>
        <v>116559704.54500835</v>
      </c>
      <c r="D106" s="47">
        <f t="shared" si="20"/>
        <v>38161362.849581167</v>
      </c>
      <c r="E106" s="47">
        <f t="shared" si="21"/>
        <v>37670688.217339329</v>
      </c>
      <c r="F106" s="47">
        <f t="shared" si="22"/>
        <v>37478078.748644739</v>
      </c>
      <c r="G106" s="47">
        <f t="shared" si="23"/>
        <v>31338858.562886477</v>
      </c>
      <c r="H106" s="47">
        <f t="shared" si="24"/>
        <v>18550132.641794607</v>
      </c>
      <c r="I106" s="47">
        <f t="shared" si="25"/>
        <v>15969561.330696758</v>
      </c>
    </row>
    <row r="107" spans="1:9" s="47" customFormat="1" x14ac:dyDescent="0.35">
      <c r="A107" s="47">
        <v>2066</v>
      </c>
      <c r="B107" s="47">
        <f t="shared" si="18"/>
        <v>121853814.20564198</v>
      </c>
      <c r="C107" s="47">
        <f t="shared" si="19"/>
        <v>119262669.8135204</v>
      </c>
      <c r="D107" s="47">
        <f t="shared" si="20"/>
        <v>38801213.8629504</v>
      </c>
      <c r="E107" s="47">
        <f t="shared" si="21"/>
        <v>38297626.740386412</v>
      </c>
      <c r="F107" s="47">
        <f t="shared" si="22"/>
        <v>37478078.748644739</v>
      </c>
      <c r="G107" s="47">
        <f t="shared" si="23"/>
        <v>31143660.134363797</v>
      </c>
      <c r="H107" s="47">
        <f t="shared" si="24"/>
        <v>18128521.463198215</v>
      </c>
      <c r="I107" s="47">
        <f t="shared" si="25"/>
        <v>15460589.88130565</v>
      </c>
    </row>
    <row r="108" spans="1:9" s="47" customFormat="1" x14ac:dyDescent="0.35">
      <c r="A108" s="47">
        <v>2067</v>
      </c>
      <c r="B108" s="47">
        <f t="shared" si="18"/>
        <v>124623219.07395203</v>
      </c>
      <c r="C108" s="47">
        <f t="shared" si="19"/>
        <v>121965635.08203246</v>
      </c>
      <c r="D108" s="47">
        <f t="shared" si="20"/>
        <v>39441064.876319632</v>
      </c>
      <c r="E108" s="47">
        <f t="shared" si="21"/>
        <v>38924565.263433494</v>
      </c>
      <c r="F108" s="47">
        <f t="shared" si="22"/>
        <v>37478078.748644739</v>
      </c>
      <c r="G108" s="47">
        <f t="shared" si="23"/>
        <v>30948461.705841117</v>
      </c>
      <c r="H108" s="47">
        <f t="shared" si="24"/>
        <v>17706910.284601822</v>
      </c>
      <c r="I108" s="47">
        <f t="shared" si="25"/>
        <v>14951618.431914542</v>
      </c>
    </row>
    <row r="109" spans="1:9" s="47" customFormat="1" x14ac:dyDescent="0.35">
      <c r="A109" s="47">
        <v>2068</v>
      </c>
      <c r="B109" s="47">
        <f t="shared" si="18"/>
        <v>127392623.94226208</v>
      </c>
      <c r="C109" s="47">
        <f t="shared" si="19"/>
        <v>124668600.35054451</v>
      </c>
      <c r="D109" s="47">
        <f t="shared" si="20"/>
        <v>40080915.889688864</v>
      </c>
      <c r="E109" s="47">
        <f t="shared" si="21"/>
        <v>39551503.786480576</v>
      </c>
      <c r="F109" s="47">
        <f t="shared" si="22"/>
        <v>37478078.748644739</v>
      </c>
      <c r="G109" s="47">
        <f t="shared" si="23"/>
        <v>30753263.277318437</v>
      </c>
      <c r="H109" s="47">
        <f t="shared" si="24"/>
        <v>17285299.10600543</v>
      </c>
      <c r="I109" s="47">
        <f t="shared" si="25"/>
        <v>14442646.982523434</v>
      </c>
    </row>
    <row r="110" spans="1:9" s="47" customFormat="1" x14ac:dyDescent="0.35">
      <c r="A110" s="47">
        <v>2069</v>
      </c>
      <c r="B110" s="47">
        <f t="shared" si="18"/>
        <v>130162028.81057213</v>
      </c>
      <c r="C110" s="47">
        <f t="shared" si="19"/>
        <v>127371565.61905657</v>
      </c>
      <c r="D110" s="47">
        <f t="shared" si="20"/>
        <v>40720766.903058097</v>
      </c>
      <c r="E110" s="47">
        <f t="shared" si="21"/>
        <v>40178442.309527658</v>
      </c>
      <c r="F110" s="47">
        <f t="shared" si="22"/>
        <v>37478078.748644739</v>
      </c>
      <c r="G110" s="47">
        <f t="shared" si="23"/>
        <v>30558064.848795757</v>
      </c>
      <c r="H110" s="47">
        <f t="shared" si="24"/>
        <v>16863687.927409038</v>
      </c>
      <c r="I110" s="47">
        <f t="shared" si="25"/>
        <v>13933675.533132326</v>
      </c>
    </row>
    <row r="111" spans="1:9" ht="58" x14ac:dyDescent="0.35">
      <c r="A111" s="13" t="s">
        <v>24</v>
      </c>
      <c r="C111" s="4">
        <f>($B$90-C90)/$B$90</f>
        <v>1.9547871394766939E-2</v>
      </c>
      <c r="D111" s="4">
        <f>($B$90-D90)/$B$90</f>
        <v>0.62655773079890054</v>
      </c>
      <c r="E111" s="4">
        <f>($B$90-E90)/$B$90</f>
        <v>0.6303568461001835</v>
      </c>
      <c r="F111" s="4">
        <f>($B$90-F90)/$B$90</f>
        <v>0.56201623866043271</v>
      </c>
      <c r="G111" s="31">
        <f>G91-$F$91</f>
        <v>-3409095.1498817317</v>
      </c>
      <c r="H111" s="31">
        <f>H91-$F$91</f>
        <v>-12153892.002663318</v>
      </c>
      <c r="I111" s="31">
        <f>I91-$F$91</f>
        <v>-13538456.044207934</v>
      </c>
    </row>
    <row r="112" spans="1:9" ht="72.5" x14ac:dyDescent="0.35">
      <c r="A112" s="13" t="s">
        <v>25</v>
      </c>
      <c r="G112" s="4">
        <f>($F$90-G90)/$F$90</f>
        <v>9.8806203287740049E-2</v>
      </c>
      <c r="H112" s="4">
        <f>($F$90-H90)/$F$90</f>
        <v>0.35671377991895659</v>
      </c>
      <c r="I112" s="4">
        <f>($F$90-I90)/$F$90</f>
        <v>0.3967114536640256</v>
      </c>
    </row>
    <row r="113" spans="1:9" s="20" customFormat="1" ht="58" x14ac:dyDescent="0.35">
      <c r="A113" s="22" t="s">
        <v>26</v>
      </c>
      <c r="C113" s="25">
        <f>($B$110-C110)/$B$110</f>
        <v>2.143838120083847E-2</v>
      </c>
      <c r="D113" s="25">
        <f>($B$110-D110)/$B$110</f>
        <v>0.6871532560212319</v>
      </c>
      <c r="E113" s="25">
        <f>($B$110-E110)/$B$110</f>
        <v>0.6913197905973002</v>
      </c>
      <c r="F113" s="25">
        <f>($B$110-F110)/$B$110</f>
        <v>0.71206596047156367</v>
      </c>
      <c r="G113" s="25"/>
      <c r="H113" s="25"/>
      <c r="I113" s="25"/>
    </row>
    <row r="114" spans="1:9" s="20" customFormat="1" ht="72.5" x14ac:dyDescent="0.35">
      <c r="A114" s="22" t="s">
        <v>27</v>
      </c>
      <c r="G114" s="25">
        <f>($F$110-G110)/$F$110</f>
        <v>0.18464163935028874</v>
      </c>
      <c r="H114" s="25">
        <f>($F$110-H110)/$F$110</f>
        <v>0.5500386228304498</v>
      </c>
      <c r="I114" s="25">
        <f>($F$110-I110)/$F$110</f>
        <v>0.62821798773139648</v>
      </c>
    </row>
    <row r="115" spans="1:9" x14ac:dyDescent="0.35">
      <c r="F115" s="6">
        <f>B110-F110</f>
        <v>92683950.061927393</v>
      </c>
    </row>
    <row r="116" spans="1:9" x14ac:dyDescent="0.35">
      <c r="F116" s="2">
        <f>F115/30</f>
        <v>3089465.0020642462</v>
      </c>
    </row>
  </sheetData>
  <mergeCells count="4">
    <mergeCell ref="B3:E3"/>
    <mergeCell ref="F3:I3"/>
    <mergeCell ref="B59:E59"/>
    <mergeCell ref="F59:I59"/>
  </mergeCells>
  <pageMargins left="0.7" right="0.7" top="0.75" bottom="0.75" header="0.3" footer="0.3"/>
  <pageSetup paperSize="9" orientation="portrait"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I99"/>
  <sheetViews>
    <sheetView zoomScale="85" zoomScaleNormal="85" workbookViewId="0">
      <selection activeCell="B1" sqref="B1"/>
    </sheetView>
  </sheetViews>
  <sheetFormatPr defaultRowHeight="14.5" x14ac:dyDescent="0.35"/>
  <cols>
    <col min="1" max="1" width="17" customWidth="1"/>
    <col min="2" max="2" width="18.1796875" customWidth="1"/>
    <col min="3" max="3" width="22" customWidth="1"/>
    <col min="4" max="4" width="11.1796875" customWidth="1"/>
    <col min="5" max="5" width="17.26953125" customWidth="1"/>
    <col min="8" max="8" width="10.54296875" customWidth="1"/>
    <col min="9" max="9" width="17.26953125" customWidth="1"/>
    <col min="13" max="13" width="11.54296875" bestFit="1" customWidth="1"/>
    <col min="14" max="15" width="12.26953125" bestFit="1" customWidth="1"/>
    <col min="17" max="17" width="11.54296875" customWidth="1"/>
    <col min="18" max="18" width="16" customWidth="1"/>
    <col min="23" max="23" width="12.26953125" bestFit="1" customWidth="1"/>
    <col min="24" max="24" width="11.1796875" customWidth="1"/>
    <col min="25" max="25" width="17.26953125" customWidth="1"/>
    <col min="34" max="34" width="16.81640625" bestFit="1" customWidth="1"/>
    <col min="35" max="35" width="16.7265625" bestFit="1" customWidth="1"/>
  </cols>
  <sheetData>
    <row r="1" spans="1:34" x14ac:dyDescent="0.35">
      <c r="A1" s="18"/>
      <c r="B1" s="1" t="s">
        <v>71</v>
      </c>
    </row>
    <row r="3" spans="1:34" x14ac:dyDescent="0.35">
      <c r="A3" s="30"/>
      <c r="B3" s="30" t="s">
        <v>35</v>
      </c>
      <c r="C3" s="30"/>
      <c r="AH3" t="s">
        <v>37</v>
      </c>
    </row>
    <row r="4" spans="1:34" x14ac:dyDescent="0.35">
      <c r="A4" s="28"/>
      <c r="B4" s="28">
        <v>81</v>
      </c>
      <c r="C4" t="s">
        <v>36</v>
      </c>
      <c r="AH4">
        <f>SUM(C4:AG4)</f>
        <v>0</v>
      </c>
    </row>
    <row r="5" spans="1:34" x14ac:dyDescent="0.35">
      <c r="B5">
        <v>80.842937946087503</v>
      </c>
      <c r="C5" s="28">
        <f>B5-B4</f>
        <v>-0.15706205391249739</v>
      </c>
      <c r="I5" s="1"/>
      <c r="R5" s="1"/>
      <c r="AH5">
        <f t="shared" ref="AH5:AH35" si="0">SUM(C5:AG5)</f>
        <v>-0.15706205391249739</v>
      </c>
    </row>
    <row r="6" spans="1:34" x14ac:dyDescent="0.35">
      <c r="A6" s="19"/>
      <c r="B6" s="19">
        <v>80.9424098880732</v>
      </c>
      <c r="C6" s="29">
        <f t="shared" ref="C6:C35" si="1">B6-B5</f>
        <v>9.9471941985697754E-2</v>
      </c>
      <c r="D6" s="29">
        <v>-0.15706205391249739</v>
      </c>
      <c r="J6" s="13"/>
      <c r="K6" s="13"/>
      <c r="L6" s="13"/>
      <c r="M6" s="13"/>
      <c r="N6" s="13"/>
      <c r="O6" s="13"/>
      <c r="R6" s="13"/>
      <c r="S6" s="13"/>
      <c r="T6" s="13"/>
      <c r="U6" s="13"/>
      <c r="V6" s="13"/>
      <c r="W6" s="13"/>
      <c r="AH6">
        <f t="shared" si="0"/>
        <v>-5.7590111926799636E-2</v>
      </c>
    </row>
    <row r="7" spans="1:34" x14ac:dyDescent="0.35">
      <c r="A7" s="19"/>
      <c r="B7" s="19">
        <v>81.339349100181394</v>
      </c>
      <c r="C7" s="29">
        <f t="shared" si="1"/>
        <v>0.39693921210819383</v>
      </c>
      <c r="D7" s="29">
        <v>9.9471941985697754E-2</v>
      </c>
      <c r="E7" s="29">
        <v>-0.15706205391249739</v>
      </c>
      <c r="J7" s="13"/>
      <c r="K7" s="13"/>
      <c r="L7" s="13"/>
      <c r="M7" s="13"/>
      <c r="N7" s="13"/>
      <c r="O7" s="13"/>
      <c r="S7" s="13"/>
      <c r="T7" s="13"/>
      <c r="U7" s="13"/>
      <c r="V7" s="13"/>
      <c r="W7" s="13"/>
      <c r="AH7">
        <f t="shared" si="0"/>
        <v>0.33934910018139419</v>
      </c>
    </row>
    <row r="8" spans="1:34" x14ac:dyDescent="0.35">
      <c r="A8" s="19"/>
      <c r="B8" s="19">
        <v>82.061726442516104</v>
      </c>
      <c r="C8" s="29">
        <f t="shared" si="1"/>
        <v>0.72237734233470974</v>
      </c>
      <c r="D8" s="29">
        <v>0.39693921210819383</v>
      </c>
      <c r="E8" s="29">
        <v>9.9471941985697754E-2</v>
      </c>
      <c r="F8" s="29">
        <v>-0.15706205391249739</v>
      </c>
      <c r="K8" s="13"/>
      <c r="L8" s="13"/>
      <c r="M8" s="13"/>
      <c r="N8" s="13"/>
      <c r="O8" s="13"/>
      <c r="T8" s="13"/>
      <c r="U8" s="13"/>
      <c r="V8" s="13"/>
      <c r="W8" s="13"/>
      <c r="AH8">
        <f t="shared" si="0"/>
        <v>1.0617264425161039</v>
      </c>
    </row>
    <row r="9" spans="1:34" x14ac:dyDescent="0.35">
      <c r="A9" s="19"/>
      <c r="B9" s="19">
        <v>83.129700686771599</v>
      </c>
      <c r="C9" s="29">
        <f t="shared" si="1"/>
        <v>1.0679742442554954</v>
      </c>
      <c r="D9" s="29">
        <v>0.72237734233470974</v>
      </c>
      <c r="E9" s="29">
        <v>0.39693921210819383</v>
      </c>
      <c r="F9" s="29">
        <v>9.9471941985697754E-2</v>
      </c>
      <c r="G9" s="29">
        <v>-0.15706205391249739</v>
      </c>
      <c r="K9" s="13"/>
      <c r="L9" s="13"/>
      <c r="M9" s="13"/>
      <c r="N9" s="13"/>
      <c r="O9" s="13"/>
      <c r="T9" s="13"/>
      <c r="U9" s="13"/>
      <c r="V9" s="13"/>
      <c r="W9" s="13"/>
      <c r="AH9">
        <f t="shared" si="0"/>
        <v>2.1297006867715993</v>
      </c>
    </row>
    <row r="10" spans="1:34" x14ac:dyDescent="0.35">
      <c r="A10" s="19"/>
      <c r="B10" s="19">
        <v>84.557310851913897</v>
      </c>
      <c r="C10" s="29">
        <f t="shared" si="1"/>
        <v>1.4276101651422977</v>
      </c>
      <c r="D10" s="29">
        <v>1.0679742442554954</v>
      </c>
      <c r="E10" s="29">
        <v>0.72237734233470974</v>
      </c>
      <c r="F10" s="29">
        <v>0.39693921210819383</v>
      </c>
      <c r="G10" s="29">
        <v>9.9471941985697754E-2</v>
      </c>
      <c r="H10" s="29">
        <v>-0.15706205391249739</v>
      </c>
      <c r="K10" s="13"/>
      <c r="L10" s="13"/>
      <c r="M10" s="13"/>
      <c r="N10" s="13"/>
      <c r="O10" s="13"/>
      <c r="T10" s="13"/>
      <c r="U10" s="13"/>
      <c r="V10" s="13"/>
      <c r="W10" s="13"/>
      <c r="AH10">
        <f t="shared" si="0"/>
        <v>3.557310851913897</v>
      </c>
    </row>
    <row r="11" spans="1:34" x14ac:dyDescent="0.35">
      <c r="A11" s="19"/>
      <c r="B11" s="19">
        <v>86.353374864973105</v>
      </c>
      <c r="C11" s="29">
        <f t="shared" si="1"/>
        <v>1.7960640130592083</v>
      </c>
      <c r="D11" s="29">
        <v>1.4276101651422977</v>
      </c>
      <c r="E11" s="29">
        <v>1.0679742442554954</v>
      </c>
      <c r="F11" s="29">
        <v>0.72237734233470974</v>
      </c>
      <c r="G11" s="29">
        <v>0.39693921210819383</v>
      </c>
      <c r="H11" s="29">
        <v>9.9471941985697754E-2</v>
      </c>
      <c r="I11" s="29">
        <v>-0.15706205391249739</v>
      </c>
      <c r="K11" s="13"/>
      <c r="L11" s="13"/>
      <c r="M11" s="13"/>
      <c r="N11" s="13"/>
      <c r="O11" s="13"/>
      <c r="T11" s="13"/>
      <c r="U11" s="13"/>
      <c r="V11" s="13"/>
      <c r="W11" s="13"/>
      <c r="AH11">
        <f t="shared" si="0"/>
        <v>5.3533748649731052</v>
      </c>
    </row>
    <row r="12" spans="1:34" x14ac:dyDescent="0.35">
      <c r="A12" s="19"/>
      <c r="B12" s="19">
        <v>88.522115821126405</v>
      </c>
      <c r="C12" s="29">
        <f t="shared" si="1"/>
        <v>2.1687409561533002</v>
      </c>
      <c r="D12" s="29">
        <v>1.7960640130592083</v>
      </c>
      <c r="E12" s="29">
        <v>1.4276101651422977</v>
      </c>
      <c r="F12" s="29">
        <v>1.0679742442554954</v>
      </c>
      <c r="G12" s="29">
        <v>0.72237734233470974</v>
      </c>
      <c r="H12" s="29">
        <v>0.39693921210819383</v>
      </c>
      <c r="I12" s="29">
        <v>9.9471941985697754E-2</v>
      </c>
      <c r="J12" s="29">
        <v>-0.15706205391249739</v>
      </c>
      <c r="K12" s="13"/>
      <c r="L12" s="13"/>
      <c r="M12" s="13"/>
      <c r="N12" s="13"/>
      <c r="O12" s="13"/>
      <c r="T12" s="13"/>
      <c r="U12" s="13"/>
      <c r="V12" s="13"/>
      <c r="W12" s="13"/>
      <c r="AH12">
        <f t="shared" si="0"/>
        <v>7.5221158211264054</v>
      </c>
    </row>
    <row r="13" spans="1:34" x14ac:dyDescent="0.35">
      <c r="A13" s="19"/>
      <c r="B13" s="19">
        <v>91.063650791268699</v>
      </c>
      <c r="C13" s="29">
        <f t="shared" si="1"/>
        <v>2.541534970142294</v>
      </c>
      <c r="D13" s="29">
        <v>2.1687409561533002</v>
      </c>
      <c r="E13" s="29">
        <v>1.7960640130592083</v>
      </c>
      <c r="F13" s="29">
        <v>1.4276101651422977</v>
      </c>
      <c r="G13" s="29">
        <v>1.0679742442554954</v>
      </c>
      <c r="H13" s="29">
        <v>0.72237734233470974</v>
      </c>
      <c r="I13" s="29">
        <v>0.39693921210819383</v>
      </c>
      <c r="J13" s="29">
        <v>9.9471941985697754E-2</v>
      </c>
      <c r="K13" s="29">
        <v>-0.15706205391249739</v>
      </c>
      <c r="L13" s="13"/>
      <c r="M13" s="13"/>
      <c r="N13" s="13"/>
      <c r="O13" s="13"/>
      <c r="T13" s="13"/>
      <c r="U13" s="13"/>
      <c r="V13" s="13"/>
      <c r="W13" s="13"/>
      <c r="AH13">
        <f t="shared" si="0"/>
        <v>10.063650791268699</v>
      </c>
    </row>
    <row r="14" spans="1:34" x14ac:dyDescent="0.35">
      <c r="A14" s="19"/>
      <c r="B14" s="19">
        <v>93.974464524078101</v>
      </c>
      <c r="C14" s="29">
        <f t="shared" si="1"/>
        <v>2.9108137328094017</v>
      </c>
      <c r="D14" s="29">
        <v>2.541534970142294</v>
      </c>
      <c r="E14" s="29">
        <v>2.1687409561533002</v>
      </c>
      <c r="F14" s="29">
        <v>1.7960640130592083</v>
      </c>
      <c r="G14" s="29">
        <v>1.4276101651422977</v>
      </c>
      <c r="H14" s="29">
        <v>1.0679742442554954</v>
      </c>
      <c r="I14" s="29">
        <v>0.72237734233470974</v>
      </c>
      <c r="J14" s="29">
        <v>0.39693921210819383</v>
      </c>
      <c r="K14" s="29">
        <v>9.9471941985697754E-2</v>
      </c>
      <c r="L14" s="29">
        <v>-0.15706205391249739</v>
      </c>
      <c r="M14" s="13"/>
      <c r="N14" s="13"/>
      <c r="O14" s="13"/>
      <c r="T14" s="13"/>
      <c r="U14" s="13"/>
      <c r="V14" s="13"/>
      <c r="W14" s="13"/>
      <c r="AH14">
        <f t="shared" si="0"/>
        <v>12.974464524078101</v>
      </c>
    </row>
    <row r="15" spans="1:34" x14ac:dyDescent="0.35">
      <c r="A15" s="19"/>
      <c r="B15" s="19">
        <v>97.247829059997699</v>
      </c>
      <c r="C15" s="29">
        <f t="shared" si="1"/>
        <v>3.2733645359195975</v>
      </c>
      <c r="D15" s="29">
        <v>2.9108137328094017</v>
      </c>
      <c r="E15" s="29">
        <v>2.541534970142294</v>
      </c>
      <c r="F15" s="29">
        <v>2.1687409561533002</v>
      </c>
      <c r="G15" s="29">
        <v>1.7960640130592083</v>
      </c>
      <c r="H15" s="29">
        <v>1.4276101651422977</v>
      </c>
      <c r="I15" s="29">
        <v>1.0679742442554954</v>
      </c>
      <c r="J15" s="29">
        <v>0.72237734233470974</v>
      </c>
      <c r="K15" s="29">
        <v>0.39693921210819383</v>
      </c>
      <c r="L15" s="29">
        <v>9.9471941985697754E-2</v>
      </c>
      <c r="M15" s="29">
        <v>-0.15706205391249739</v>
      </c>
      <c r="N15" s="13"/>
      <c r="O15" s="13"/>
      <c r="T15" s="13"/>
      <c r="U15" s="13"/>
      <c r="V15" s="13"/>
      <c r="W15" s="13"/>
      <c r="AH15">
        <f t="shared" si="0"/>
        <v>16.247829059997699</v>
      </c>
    </row>
    <row r="16" spans="1:34" x14ac:dyDescent="0.35">
      <c r="A16" s="19"/>
      <c r="B16" s="19">
        <v>100.874258151611</v>
      </c>
      <c r="C16" s="29">
        <f t="shared" si="1"/>
        <v>3.6264290916133035</v>
      </c>
      <c r="D16" s="29">
        <v>3.2733645359195975</v>
      </c>
      <c r="E16" s="29">
        <v>2.9108137328094017</v>
      </c>
      <c r="F16" s="29">
        <v>2.541534970142294</v>
      </c>
      <c r="G16" s="29">
        <v>2.1687409561533002</v>
      </c>
      <c r="H16" s="29">
        <v>1.7960640130592083</v>
      </c>
      <c r="I16" s="29">
        <v>1.4276101651422977</v>
      </c>
      <c r="J16" s="29">
        <v>1.0679742442554954</v>
      </c>
      <c r="K16" s="29">
        <v>0.72237734233470974</v>
      </c>
      <c r="L16" s="29">
        <v>0.39693921210819383</v>
      </c>
      <c r="M16" s="29">
        <v>9.9471941985697754E-2</v>
      </c>
      <c r="N16" s="29">
        <v>-0.15706205391249739</v>
      </c>
      <c r="O16" s="13"/>
      <c r="T16" s="13"/>
      <c r="U16" s="13"/>
      <c r="V16" s="13"/>
      <c r="W16" s="13"/>
      <c r="AH16">
        <f t="shared" si="0"/>
        <v>19.874258151611002</v>
      </c>
    </row>
    <row r="17" spans="1:34" x14ac:dyDescent="0.35">
      <c r="A17" s="19"/>
      <c r="B17" s="19">
        <v>104.84189314530801</v>
      </c>
      <c r="C17" s="29">
        <f t="shared" si="1"/>
        <v>3.9676349936970041</v>
      </c>
      <c r="D17" s="29">
        <v>3.6264290916133035</v>
      </c>
      <c r="E17" s="29">
        <v>3.2733645359195975</v>
      </c>
      <c r="F17" s="29">
        <v>2.9108137328094017</v>
      </c>
      <c r="G17" s="29">
        <v>2.541534970142294</v>
      </c>
      <c r="H17" s="29">
        <v>2.1687409561533002</v>
      </c>
      <c r="I17" s="29">
        <v>1.7960640130592083</v>
      </c>
      <c r="J17" s="29">
        <v>1.4276101651422977</v>
      </c>
      <c r="K17" s="29">
        <v>1.0679742442554954</v>
      </c>
      <c r="L17" s="29">
        <v>0.72237734233470974</v>
      </c>
      <c r="M17" s="29">
        <v>0.39693921210819383</v>
      </c>
      <c r="N17" s="29">
        <v>9.9471941985697754E-2</v>
      </c>
      <c r="O17" s="29">
        <v>-0.15706205391249739</v>
      </c>
      <c r="T17" s="13"/>
      <c r="U17" s="13"/>
      <c r="V17" s="13"/>
      <c r="W17" s="13"/>
      <c r="AH17">
        <f t="shared" si="0"/>
        <v>23.841893145308006</v>
      </c>
    </row>
    <row r="18" spans="1:34" x14ac:dyDescent="0.35">
      <c r="A18" s="19"/>
      <c r="B18" s="19">
        <v>109.136881851566</v>
      </c>
      <c r="C18" s="29">
        <f t="shared" si="1"/>
        <v>4.2949887062579961</v>
      </c>
      <c r="D18" s="29">
        <v>3.9676349936970041</v>
      </c>
      <c r="E18" s="29">
        <v>3.6264290916133035</v>
      </c>
      <c r="F18" s="29">
        <v>3.2733645359195975</v>
      </c>
      <c r="G18" s="29">
        <v>2.9108137328094017</v>
      </c>
      <c r="H18" s="29">
        <v>2.541534970142294</v>
      </c>
      <c r="I18" s="29">
        <v>2.1687409561533002</v>
      </c>
      <c r="J18" s="29">
        <v>1.7960640130592083</v>
      </c>
      <c r="K18" s="29">
        <v>1.4276101651422977</v>
      </c>
      <c r="L18" s="29">
        <v>1.0679742442554954</v>
      </c>
      <c r="M18" s="29">
        <v>0.72237734233470974</v>
      </c>
      <c r="N18" s="29">
        <v>0.39693921210819383</v>
      </c>
      <c r="O18" s="29">
        <v>9.9471941985697754E-2</v>
      </c>
      <c r="P18" s="29">
        <v>-0.15706205391249739</v>
      </c>
      <c r="T18" s="13"/>
      <c r="U18" s="13"/>
      <c r="V18" s="13"/>
      <c r="W18" s="13"/>
      <c r="AH18">
        <f t="shared" si="0"/>
        <v>28.136881851566002</v>
      </c>
    </row>
    <row r="19" spans="1:34" x14ac:dyDescent="0.35">
      <c r="A19" s="19"/>
      <c r="B19" s="19">
        <v>113.74372468593</v>
      </c>
      <c r="C19" s="29">
        <f t="shared" si="1"/>
        <v>4.6068428343640022</v>
      </c>
      <c r="D19" s="29">
        <v>4.2949887062579961</v>
      </c>
      <c r="E19" s="29">
        <v>3.9676349936970041</v>
      </c>
      <c r="F19" s="29">
        <v>3.6264290916133035</v>
      </c>
      <c r="G19" s="29">
        <v>3.2733645359195975</v>
      </c>
      <c r="H19" s="29">
        <v>2.9108137328094017</v>
      </c>
      <c r="I19" s="29">
        <v>2.541534970142294</v>
      </c>
      <c r="J19" s="29">
        <v>2.1687409561533002</v>
      </c>
      <c r="K19" s="29">
        <v>1.7960640130592083</v>
      </c>
      <c r="L19" s="29">
        <v>1.4276101651422977</v>
      </c>
      <c r="M19" s="29">
        <v>1.0679742442554954</v>
      </c>
      <c r="N19" s="29">
        <v>0.72237734233470974</v>
      </c>
      <c r="O19" s="29">
        <v>0.39693921210819383</v>
      </c>
      <c r="P19" s="29">
        <v>9.9471941985697754E-2</v>
      </c>
      <c r="Q19" s="29">
        <v>-0.15706205391249739</v>
      </c>
      <c r="T19" s="13"/>
      <c r="U19" s="13"/>
      <c r="V19" s="13"/>
      <c r="W19" s="13"/>
      <c r="AH19">
        <f t="shared" si="0"/>
        <v>32.743724685930005</v>
      </c>
    </row>
    <row r="20" spans="1:34" x14ac:dyDescent="0.35">
      <c r="A20" s="19"/>
      <c r="B20" s="19">
        <v>118.645525994848</v>
      </c>
      <c r="C20" s="29">
        <f t="shared" si="1"/>
        <v>4.9018013089179959</v>
      </c>
      <c r="D20" s="29">
        <v>4.6068428343640022</v>
      </c>
      <c r="E20" s="29">
        <v>4.2949887062579961</v>
      </c>
      <c r="F20" s="29">
        <v>3.9676349936970041</v>
      </c>
      <c r="G20" s="29">
        <v>3.6264290916133035</v>
      </c>
      <c r="H20" s="29">
        <v>3.2733645359195975</v>
      </c>
      <c r="I20" s="29">
        <v>2.9108137328094017</v>
      </c>
      <c r="J20" s="29">
        <v>2.541534970142294</v>
      </c>
      <c r="K20" s="29">
        <v>2.1687409561533002</v>
      </c>
      <c r="L20" s="29">
        <v>1.7960640130592083</v>
      </c>
      <c r="M20" s="29">
        <v>1.4276101651422977</v>
      </c>
      <c r="N20" s="29">
        <v>1.0679742442554954</v>
      </c>
      <c r="O20" s="29">
        <v>0.72237734233470974</v>
      </c>
      <c r="P20" s="29">
        <v>0.39693921210819383</v>
      </c>
      <c r="Q20" s="29">
        <v>9.9471941985697754E-2</v>
      </c>
      <c r="R20" s="29">
        <v>-0.15706205391249739</v>
      </c>
      <c r="T20" s="13"/>
      <c r="U20" s="13"/>
      <c r="V20" s="13"/>
      <c r="W20" s="13"/>
      <c r="AH20">
        <f t="shared" si="0"/>
        <v>37.645525994848001</v>
      </c>
    </row>
    <row r="21" spans="1:34" x14ac:dyDescent="0.35">
      <c r="A21" s="19"/>
      <c r="B21" s="19">
        <v>123.824263147525</v>
      </c>
      <c r="C21" s="29">
        <f t="shared" si="1"/>
        <v>5.1787371526770016</v>
      </c>
      <c r="D21" s="29">
        <v>4.9018013089179959</v>
      </c>
      <c r="E21" s="29">
        <v>4.6068428343640022</v>
      </c>
      <c r="F21" s="29">
        <v>4.2949887062579961</v>
      </c>
      <c r="G21" s="29">
        <v>3.9676349936970041</v>
      </c>
      <c r="H21" s="29">
        <v>3.6264290916133035</v>
      </c>
      <c r="I21" s="29">
        <v>3.2733645359195975</v>
      </c>
      <c r="J21" s="29">
        <v>2.9108137328094017</v>
      </c>
      <c r="K21" s="29">
        <v>2.541534970142294</v>
      </c>
      <c r="L21" s="29">
        <v>2.1687409561533002</v>
      </c>
      <c r="M21" s="29">
        <v>1.7960640130592083</v>
      </c>
      <c r="N21" s="29">
        <v>1.4276101651422977</v>
      </c>
      <c r="O21" s="29">
        <v>1.0679742442554954</v>
      </c>
      <c r="P21" s="29">
        <v>0.72237734233470974</v>
      </c>
      <c r="Q21" s="29">
        <v>0.39693921210819383</v>
      </c>
      <c r="R21" s="29">
        <v>9.9471941985697754E-2</v>
      </c>
      <c r="S21" s="29">
        <v>-0.15706205391249739</v>
      </c>
      <c r="T21" s="13"/>
      <c r="U21" s="13"/>
      <c r="V21" s="13"/>
      <c r="W21" s="13"/>
      <c r="AH21">
        <f t="shared" si="0"/>
        <v>42.824263147525002</v>
      </c>
    </row>
    <row r="22" spans="1:34" x14ac:dyDescent="0.35">
      <c r="A22" s="19"/>
      <c r="B22" s="19">
        <v>129.260986280618</v>
      </c>
      <c r="C22" s="29">
        <f t="shared" si="1"/>
        <v>5.4367231330929968</v>
      </c>
      <c r="D22" s="29">
        <v>5.1787371526770016</v>
      </c>
      <c r="E22" s="29">
        <v>4.9018013089179959</v>
      </c>
      <c r="F22" s="29">
        <v>4.6068428343640022</v>
      </c>
      <c r="G22" s="29">
        <v>4.2949887062579961</v>
      </c>
      <c r="H22" s="29">
        <v>3.9676349936970041</v>
      </c>
      <c r="I22" s="29">
        <v>3.6264290916133035</v>
      </c>
      <c r="J22" s="29">
        <v>3.2733645359195975</v>
      </c>
      <c r="K22" s="29">
        <v>2.9108137328094017</v>
      </c>
      <c r="L22" s="29">
        <v>2.541534970142294</v>
      </c>
      <c r="M22" s="29">
        <v>2.1687409561533002</v>
      </c>
      <c r="N22" s="29">
        <v>1.7960640130592083</v>
      </c>
      <c r="O22" s="29">
        <v>1.4276101651422977</v>
      </c>
      <c r="P22" s="29">
        <v>1.0679742442554954</v>
      </c>
      <c r="Q22" s="29">
        <v>0.72237734233470974</v>
      </c>
      <c r="R22" s="29">
        <v>0.39693921210819383</v>
      </c>
      <c r="S22" s="29">
        <v>9.9471941985697754E-2</v>
      </c>
      <c r="T22" s="29">
        <v>-0.15706205391249739</v>
      </c>
      <c r="U22" s="13"/>
      <c r="V22" s="13"/>
      <c r="W22" s="13"/>
      <c r="AH22">
        <f t="shared" si="0"/>
        <v>48.260986280617999</v>
      </c>
    </row>
    <row r="23" spans="1:34" x14ac:dyDescent="0.35">
      <c r="A23" s="19"/>
      <c r="B23" s="19">
        <v>134.935955123441</v>
      </c>
      <c r="C23" s="29">
        <f t="shared" si="1"/>
        <v>5.6749688428230058</v>
      </c>
      <c r="D23" s="29">
        <v>5.4367231330929968</v>
      </c>
      <c r="E23" s="29">
        <v>5.1787371526770016</v>
      </c>
      <c r="F23" s="29">
        <v>4.9018013089179959</v>
      </c>
      <c r="G23" s="29">
        <v>4.6068428343640022</v>
      </c>
      <c r="H23" s="29">
        <v>4.2949887062579961</v>
      </c>
      <c r="I23" s="29">
        <v>3.9676349936970041</v>
      </c>
      <c r="J23" s="29">
        <v>3.6264290916133035</v>
      </c>
      <c r="K23" s="29">
        <v>3.2733645359195975</v>
      </c>
      <c r="L23" s="29">
        <v>2.9108137328094017</v>
      </c>
      <c r="M23" s="29">
        <v>2.541534970142294</v>
      </c>
      <c r="N23" s="29">
        <v>2.1687409561533002</v>
      </c>
      <c r="O23" s="29">
        <v>1.7960640130592083</v>
      </c>
      <c r="P23" s="29">
        <v>1.4276101651422977</v>
      </c>
      <c r="Q23" s="29">
        <v>1.0679742442554954</v>
      </c>
      <c r="R23" s="29">
        <v>0.72237734233470974</v>
      </c>
      <c r="S23" s="29">
        <v>0.39693921210819383</v>
      </c>
      <c r="T23" s="29">
        <v>9.9471941985697754E-2</v>
      </c>
      <c r="U23" s="29">
        <v>-0.15706205391249739</v>
      </c>
      <c r="V23" s="13"/>
      <c r="W23" s="13"/>
      <c r="AH23">
        <f t="shared" si="0"/>
        <v>53.935955123441005</v>
      </c>
    </row>
    <row r="24" spans="1:34" x14ac:dyDescent="0.35">
      <c r="A24" s="19"/>
      <c r="B24" s="19">
        <v>138.961365465949</v>
      </c>
      <c r="C24" s="29">
        <f t="shared" si="1"/>
        <v>4.0254103425079961</v>
      </c>
      <c r="D24" s="29">
        <v>5.6749688428230058</v>
      </c>
      <c r="E24" s="29">
        <v>5.4367231330929968</v>
      </c>
      <c r="F24" s="29">
        <v>5.1787371526770016</v>
      </c>
      <c r="G24" s="29">
        <v>4.9018013089179959</v>
      </c>
      <c r="H24" s="29">
        <v>4.6068428343640022</v>
      </c>
      <c r="I24" s="29">
        <v>4.2949887062579961</v>
      </c>
      <c r="J24" s="29">
        <v>3.9676349936970041</v>
      </c>
      <c r="K24" s="29">
        <v>3.6264290916133035</v>
      </c>
      <c r="L24" s="29">
        <v>3.2733645359195975</v>
      </c>
      <c r="M24" s="29">
        <v>2.9108137328094017</v>
      </c>
      <c r="N24" s="29">
        <v>2.541534970142294</v>
      </c>
      <c r="O24" s="29">
        <v>2.1687409561533002</v>
      </c>
      <c r="P24" s="29">
        <v>1.7960640130592083</v>
      </c>
      <c r="Q24" s="29">
        <v>1.4276101651422977</v>
      </c>
      <c r="R24" s="29">
        <v>1.0679742442554954</v>
      </c>
      <c r="S24" s="29">
        <v>0.72237734233470974</v>
      </c>
      <c r="T24" s="29">
        <v>0.39693921210819383</v>
      </c>
      <c r="U24" s="29">
        <v>9.9471941985697754E-2</v>
      </c>
      <c r="V24" s="29">
        <v>-0.15706205391249739</v>
      </c>
      <c r="W24" s="13"/>
      <c r="AH24">
        <f t="shared" si="0"/>
        <v>57.961365465949001</v>
      </c>
    </row>
    <row r="25" spans="1:34" x14ac:dyDescent="0.35">
      <c r="A25" s="19"/>
      <c r="B25" s="19">
        <v>143.70190791889601</v>
      </c>
      <c r="C25" s="29">
        <f t="shared" si="1"/>
        <v>4.740542452947011</v>
      </c>
      <c r="D25" s="29">
        <v>4.0254103425079961</v>
      </c>
      <c r="E25" s="29">
        <v>5.6749688428230058</v>
      </c>
      <c r="F25" s="29">
        <v>5.4367231330929968</v>
      </c>
      <c r="G25" s="29">
        <v>5.1787371526770016</v>
      </c>
      <c r="H25" s="29">
        <v>4.9018013089179959</v>
      </c>
      <c r="I25" s="29">
        <v>4.6068428343640022</v>
      </c>
      <c r="J25" s="29">
        <v>4.2949887062579961</v>
      </c>
      <c r="K25" s="29">
        <v>3.9676349936970041</v>
      </c>
      <c r="L25" s="29">
        <v>3.6264290916133035</v>
      </c>
      <c r="M25" s="29">
        <v>3.2733645359195975</v>
      </c>
      <c r="N25" s="29">
        <v>2.9108137328094017</v>
      </c>
      <c r="O25" s="29">
        <v>2.541534970142294</v>
      </c>
      <c r="P25" s="29">
        <v>2.1687409561533002</v>
      </c>
      <c r="Q25" s="29">
        <v>1.7960640130592083</v>
      </c>
      <c r="R25" s="29">
        <v>1.4276101651422977</v>
      </c>
      <c r="S25" s="29">
        <v>1.0679742442554954</v>
      </c>
      <c r="T25" s="29">
        <v>0.72237734233470974</v>
      </c>
      <c r="U25" s="29">
        <v>0.39693921210819383</v>
      </c>
      <c r="V25" s="29">
        <v>9.9471941985697754E-2</v>
      </c>
      <c r="W25" s="29">
        <v>-0.15706205391249739</v>
      </c>
      <c r="AH25">
        <f t="shared" si="0"/>
        <v>62.701907918896012</v>
      </c>
    </row>
    <row r="26" spans="1:34" x14ac:dyDescent="0.35">
      <c r="A26" s="19"/>
      <c r="B26" s="19">
        <v>148.50570180153201</v>
      </c>
      <c r="C26" s="29">
        <f t="shared" si="1"/>
        <v>4.8037938826360005</v>
      </c>
      <c r="D26" s="29">
        <v>4.740542452947011</v>
      </c>
      <c r="E26" s="29">
        <v>4.0254103425079961</v>
      </c>
      <c r="F26" s="29">
        <v>5.6749688428230058</v>
      </c>
      <c r="G26" s="29">
        <v>5.4367231330929968</v>
      </c>
      <c r="H26" s="29">
        <v>5.1787371526770016</v>
      </c>
      <c r="I26" s="29">
        <v>4.9018013089179959</v>
      </c>
      <c r="J26" s="29">
        <v>4.6068428343640022</v>
      </c>
      <c r="K26" s="29">
        <v>4.2949887062579961</v>
      </c>
      <c r="L26" s="29">
        <v>3.9676349936970041</v>
      </c>
      <c r="M26" s="29">
        <v>3.6264290916133035</v>
      </c>
      <c r="N26" s="29">
        <v>3.2733645359195975</v>
      </c>
      <c r="O26" s="29">
        <v>2.9108137328094017</v>
      </c>
      <c r="P26" s="29">
        <v>2.541534970142294</v>
      </c>
      <c r="Q26" s="29">
        <v>2.1687409561533002</v>
      </c>
      <c r="R26" s="29">
        <v>1.7960640130592083</v>
      </c>
      <c r="S26" s="29">
        <v>1.4276101651422977</v>
      </c>
      <c r="T26" s="29">
        <v>1.0679742442554954</v>
      </c>
      <c r="U26" s="29">
        <v>0.72237734233470974</v>
      </c>
      <c r="V26" s="29">
        <v>0.39693921210819383</v>
      </c>
      <c r="W26" s="29">
        <v>9.9471941985697754E-2</v>
      </c>
      <c r="X26" s="29">
        <v>-0.15706205391249739</v>
      </c>
      <c r="AH26">
        <f t="shared" si="0"/>
        <v>67.505701801532012</v>
      </c>
    </row>
    <row r="27" spans="1:34" x14ac:dyDescent="0.35">
      <c r="A27" s="19"/>
      <c r="B27" s="19">
        <v>153.351867485936</v>
      </c>
      <c r="C27" s="29">
        <f t="shared" si="1"/>
        <v>4.8461656844039851</v>
      </c>
      <c r="D27" s="29">
        <v>4.8037938826360005</v>
      </c>
      <c r="E27" s="29">
        <v>4.740542452947011</v>
      </c>
      <c r="F27" s="29">
        <v>4.0254103425079961</v>
      </c>
      <c r="G27" s="29">
        <v>5.6749688428230058</v>
      </c>
      <c r="H27" s="29">
        <v>5.4367231330929968</v>
      </c>
      <c r="I27" s="29">
        <v>5.1787371526770016</v>
      </c>
      <c r="J27" s="29">
        <v>4.9018013089179959</v>
      </c>
      <c r="K27" s="29">
        <v>4.6068428343640022</v>
      </c>
      <c r="L27" s="29">
        <v>4.2949887062579961</v>
      </c>
      <c r="M27" s="29">
        <v>3.9676349936970041</v>
      </c>
      <c r="N27" s="29">
        <v>3.6264290916133035</v>
      </c>
      <c r="O27" s="29">
        <v>3.2733645359195975</v>
      </c>
      <c r="P27" s="29">
        <v>2.9108137328094017</v>
      </c>
      <c r="Q27" s="29">
        <v>2.541534970142294</v>
      </c>
      <c r="R27" s="29">
        <v>2.1687409561533002</v>
      </c>
      <c r="S27" s="29">
        <v>1.7960640130592083</v>
      </c>
      <c r="T27" s="29">
        <v>1.4276101651422977</v>
      </c>
      <c r="U27" s="29">
        <v>1.0679742442554954</v>
      </c>
      <c r="V27" s="29">
        <v>0.72237734233470974</v>
      </c>
      <c r="W27" s="29">
        <v>0.39693921210819383</v>
      </c>
      <c r="X27" s="29">
        <v>9.9471941985697754E-2</v>
      </c>
      <c r="Y27" s="29">
        <v>-0.15706205391249739</v>
      </c>
      <c r="AH27">
        <f t="shared" si="0"/>
        <v>72.351867485935998</v>
      </c>
    </row>
    <row r="28" spans="1:34" x14ac:dyDescent="0.35">
      <c r="A28" s="19"/>
      <c r="B28" s="19">
        <v>159.69199848313701</v>
      </c>
      <c r="C28" s="29">
        <f t="shared" si="1"/>
        <v>6.3401309972010154</v>
      </c>
      <c r="D28" s="29">
        <v>4.8461656844039851</v>
      </c>
      <c r="E28" s="29">
        <v>4.8037938826360005</v>
      </c>
      <c r="F28" s="29">
        <v>4.740542452947011</v>
      </c>
      <c r="G28" s="29">
        <v>4.0254103425079961</v>
      </c>
      <c r="H28" s="29">
        <v>5.6749688428230058</v>
      </c>
      <c r="I28" s="29">
        <v>5.4367231330929968</v>
      </c>
      <c r="J28" s="29">
        <v>5.1787371526770016</v>
      </c>
      <c r="K28" s="29">
        <v>4.9018013089179959</v>
      </c>
      <c r="L28" s="29">
        <v>4.6068428343640022</v>
      </c>
      <c r="M28" s="29">
        <v>4.2949887062579961</v>
      </c>
      <c r="N28" s="29">
        <v>3.9676349936970041</v>
      </c>
      <c r="O28" s="29">
        <v>3.6264290916133035</v>
      </c>
      <c r="P28" s="29">
        <v>3.2733645359195975</v>
      </c>
      <c r="Q28" s="29">
        <v>2.9108137328094017</v>
      </c>
      <c r="R28" s="29">
        <v>2.541534970142294</v>
      </c>
      <c r="S28" s="29">
        <v>2.1687409561533002</v>
      </c>
      <c r="T28" s="29">
        <v>1.7960640130592083</v>
      </c>
      <c r="U28" s="29">
        <v>1.4276101651422977</v>
      </c>
      <c r="V28" s="29">
        <v>1.0679742442554954</v>
      </c>
      <c r="W28" s="29">
        <v>0.72237734233470974</v>
      </c>
      <c r="X28" s="29">
        <v>0.39693921210819383</v>
      </c>
      <c r="Y28" s="29">
        <v>9.9471941985697754E-2</v>
      </c>
      <c r="Z28" s="29">
        <v>-0.15706205391249739</v>
      </c>
      <c r="AH28">
        <f t="shared" si="0"/>
        <v>78.691998483137013</v>
      </c>
    </row>
    <row r="29" spans="1:34" x14ac:dyDescent="0.35">
      <c r="A29" s="19"/>
      <c r="B29" s="19">
        <v>165.83216608057899</v>
      </c>
      <c r="C29" s="29">
        <f t="shared" si="1"/>
        <v>6.1401675974419732</v>
      </c>
      <c r="D29" s="29">
        <v>6.3401309972010154</v>
      </c>
      <c r="E29" s="29">
        <v>4.8461656844039851</v>
      </c>
      <c r="F29" s="29">
        <v>4.8037938826360005</v>
      </c>
      <c r="G29" s="29">
        <v>4.740542452947011</v>
      </c>
      <c r="H29" s="29">
        <v>4.0254103425079961</v>
      </c>
      <c r="I29" s="29">
        <v>5.6749688428230058</v>
      </c>
      <c r="J29" s="29">
        <v>5.4367231330929968</v>
      </c>
      <c r="K29" s="29">
        <v>5.1787371526770016</v>
      </c>
      <c r="L29" s="29">
        <v>4.9018013089179959</v>
      </c>
      <c r="M29" s="29">
        <v>4.6068428343640022</v>
      </c>
      <c r="N29" s="29">
        <v>4.2949887062579961</v>
      </c>
      <c r="O29" s="29">
        <v>3.9676349936970041</v>
      </c>
      <c r="P29" s="29">
        <v>3.6264290916133035</v>
      </c>
      <c r="Q29" s="29">
        <v>3.2733645359195975</v>
      </c>
      <c r="R29" s="29">
        <v>2.9108137328094017</v>
      </c>
      <c r="S29" s="29">
        <v>2.541534970142294</v>
      </c>
      <c r="T29" s="29">
        <v>2.1687409561533002</v>
      </c>
      <c r="U29" s="29">
        <v>1.7960640130592083</v>
      </c>
      <c r="V29" s="29">
        <v>1.4276101651422977</v>
      </c>
      <c r="W29" s="29">
        <v>1.0679742442554954</v>
      </c>
      <c r="X29" s="29">
        <v>0.72237734233470974</v>
      </c>
      <c r="Y29" s="29">
        <v>0.39693921210819383</v>
      </c>
      <c r="Z29" s="29">
        <v>9.9471941985697754E-2</v>
      </c>
      <c r="AA29" s="29">
        <v>-0.15706205391249739</v>
      </c>
      <c r="AH29">
        <f t="shared" si="0"/>
        <v>84.832166080578986</v>
      </c>
    </row>
    <row r="30" spans="1:34" x14ac:dyDescent="0.35">
      <c r="A30" s="19"/>
      <c r="B30" s="19">
        <v>175.45460977085</v>
      </c>
      <c r="C30" s="29">
        <f t="shared" si="1"/>
        <v>9.6224436902710124</v>
      </c>
      <c r="D30" s="29">
        <v>6.1401675974419732</v>
      </c>
      <c r="E30" s="29">
        <v>6.3401309972010154</v>
      </c>
      <c r="F30" s="29">
        <v>4.8461656844039851</v>
      </c>
      <c r="G30" s="29">
        <v>4.8037938826360005</v>
      </c>
      <c r="H30" s="29">
        <v>4.740542452947011</v>
      </c>
      <c r="I30" s="29">
        <v>4.0254103425079961</v>
      </c>
      <c r="J30" s="29">
        <v>5.6749688428230058</v>
      </c>
      <c r="K30" s="29">
        <v>5.4367231330929968</v>
      </c>
      <c r="L30" s="29">
        <v>5.1787371526770016</v>
      </c>
      <c r="M30" s="29">
        <v>4.9018013089179959</v>
      </c>
      <c r="N30" s="29">
        <v>4.6068428343640022</v>
      </c>
      <c r="O30" s="29">
        <v>4.2949887062579961</v>
      </c>
      <c r="P30" s="29">
        <v>3.9676349936970041</v>
      </c>
      <c r="Q30" s="29">
        <v>3.6264290916133035</v>
      </c>
      <c r="R30" s="29">
        <v>3.2733645359195975</v>
      </c>
      <c r="S30" s="29">
        <v>2.9108137328094017</v>
      </c>
      <c r="T30" s="29">
        <v>2.541534970142294</v>
      </c>
      <c r="U30" s="29">
        <v>2.1687409561533002</v>
      </c>
      <c r="V30" s="29">
        <v>1.7960640130592083</v>
      </c>
      <c r="W30" s="29">
        <v>1.4276101651422977</v>
      </c>
      <c r="X30" s="29">
        <v>1.0679742442554954</v>
      </c>
      <c r="Y30" s="29">
        <v>0.72237734233470974</v>
      </c>
      <c r="Z30" s="29">
        <v>0.39693921210819383</v>
      </c>
      <c r="AA30" s="29">
        <v>9.9471941985697754E-2</v>
      </c>
      <c r="AB30" s="29">
        <v>-0.15706205391249739</v>
      </c>
      <c r="AH30">
        <f t="shared" si="0"/>
        <v>94.454609770849999</v>
      </c>
    </row>
    <row r="31" spans="1:34" x14ac:dyDescent="0.35">
      <c r="A31" s="19"/>
      <c r="B31" s="19">
        <v>184.96710145179199</v>
      </c>
      <c r="C31" s="29">
        <f t="shared" si="1"/>
        <v>9.5124916809419915</v>
      </c>
      <c r="D31" s="29">
        <v>9.6224436902710124</v>
      </c>
      <c r="E31" s="29">
        <v>6.1401675974419732</v>
      </c>
      <c r="F31" s="29">
        <v>6.3401309972010154</v>
      </c>
      <c r="G31" s="29">
        <v>4.8461656844039851</v>
      </c>
      <c r="H31" s="29">
        <v>4.8037938826360005</v>
      </c>
      <c r="I31" s="29">
        <v>4.740542452947011</v>
      </c>
      <c r="J31" s="29">
        <v>4.0254103425079961</v>
      </c>
      <c r="K31" s="29">
        <v>5.6749688428230058</v>
      </c>
      <c r="L31" s="29">
        <v>5.4367231330929968</v>
      </c>
      <c r="M31" s="29">
        <v>5.1787371526770016</v>
      </c>
      <c r="N31" s="29">
        <v>4.9018013089179959</v>
      </c>
      <c r="O31" s="29">
        <v>4.6068428343640022</v>
      </c>
      <c r="P31" s="29">
        <v>4.2949887062579961</v>
      </c>
      <c r="Q31" s="29">
        <v>3.9676349936970041</v>
      </c>
      <c r="R31" s="29">
        <v>3.6264290916133035</v>
      </c>
      <c r="S31" s="29">
        <v>3.2733645359195975</v>
      </c>
      <c r="T31" s="29">
        <v>2.9108137328094017</v>
      </c>
      <c r="U31" s="29">
        <v>2.541534970142294</v>
      </c>
      <c r="V31" s="29">
        <v>2.1687409561533002</v>
      </c>
      <c r="W31" s="29">
        <v>1.7960640130592083</v>
      </c>
      <c r="X31" s="29">
        <v>1.4276101651422977</v>
      </c>
      <c r="Y31" s="29">
        <v>1.0679742442554954</v>
      </c>
      <c r="Z31" s="29">
        <v>0.72237734233470974</v>
      </c>
      <c r="AA31" s="29">
        <v>0.39693921210819383</v>
      </c>
      <c r="AB31" s="29">
        <v>9.9471941985697754E-2</v>
      </c>
      <c r="AC31" s="29">
        <v>-0.15706205391249739</v>
      </c>
      <c r="AH31">
        <f t="shared" si="0"/>
        <v>103.96710145179199</v>
      </c>
    </row>
    <row r="32" spans="1:34" x14ac:dyDescent="0.35">
      <c r="A32" s="19"/>
      <c r="B32" s="19">
        <v>194.39023962253299</v>
      </c>
      <c r="C32" s="29">
        <f t="shared" si="1"/>
        <v>9.423138170740998</v>
      </c>
      <c r="D32" s="29">
        <v>9.5124916809419915</v>
      </c>
      <c r="E32" s="29">
        <v>9.6224436902710124</v>
      </c>
      <c r="F32" s="29">
        <v>6.1401675974419732</v>
      </c>
      <c r="G32" s="29">
        <v>6.3401309972010154</v>
      </c>
      <c r="H32" s="29">
        <v>4.8461656844039851</v>
      </c>
      <c r="I32" s="29">
        <v>4.8037938826360005</v>
      </c>
      <c r="J32" s="29">
        <v>4.740542452947011</v>
      </c>
      <c r="K32" s="29">
        <v>4.0254103425079961</v>
      </c>
      <c r="L32" s="29">
        <v>5.6749688428230058</v>
      </c>
      <c r="M32" s="29">
        <v>5.4367231330929968</v>
      </c>
      <c r="N32" s="29">
        <v>5.1787371526770016</v>
      </c>
      <c r="O32" s="29">
        <v>4.9018013089179959</v>
      </c>
      <c r="P32" s="29">
        <v>4.6068428343640022</v>
      </c>
      <c r="Q32" s="29">
        <v>4.2949887062579961</v>
      </c>
      <c r="R32" s="29">
        <v>3.9676349936970041</v>
      </c>
      <c r="S32" s="29">
        <v>3.6264290916133035</v>
      </c>
      <c r="T32" s="29">
        <v>3.2733645359195975</v>
      </c>
      <c r="U32" s="29">
        <v>2.9108137328094017</v>
      </c>
      <c r="V32" s="29">
        <v>2.541534970142294</v>
      </c>
      <c r="W32" s="29">
        <v>2.1687409561533002</v>
      </c>
      <c r="X32" s="29">
        <v>1.7960640130592083</v>
      </c>
      <c r="Y32" s="29">
        <v>1.4276101651422977</v>
      </c>
      <c r="Z32" s="29">
        <v>1.0679742442554954</v>
      </c>
      <c r="AA32" s="29">
        <v>0.72237734233470974</v>
      </c>
      <c r="AB32" s="29">
        <v>0.39693921210819383</v>
      </c>
      <c r="AC32" s="29">
        <v>9.9471941985697754E-2</v>
      </c>
      <c r="AD32" s="29">
        <v>-0.15706205391249739</v>
      </c>
      <c r="AH32">
        <f t="shared" si="0"/>
        <v>113.39023962253299</v>
      </c>
    </row>
    <row r="33" spans="1:35" x14ac:dyDescent="0.35">
      <c r="A33" s="19"/>
      <c r="B33" s="19">
        <v>203.73944482001701</v>
      </c>
      <c r="C33" s="29">
        <f t="shared" si="1"/>
        <v>9.3492051974840251</v>
      </c>
      <c r="D33" s="29">
        <v>9.423138170740998</v>
      </c>
      <c r="E33" s="29">
        <v>9.5124916809419915</v>
      </c>
      <c r="F33" s="29">
        <v>9.6224436902710124</v>
      </c>
      <c r="G33" s="29">
        <v>6.1401675974419732</v>
      </c>
      <c r="H33" s="29">
        <v>6.3401309972010154</v>
      </c>
      <c r="I33" s="29">
        <v>4.8461656844039851</v>
      </c>
      <c r="J33" s="29">
        <v>4.8037938826360005</v>
      </c>
      <c r="K33" s="29">
        <v>4.740542452947011</v>
      </c>
      <c r="L33" s="29">
        <v>4.0254103425079961</v>
      </c>
      <c r="M33" s="29">
        <v>5.6749688428230058</v>
      </c>
      <c r="N33" s="29">
        <v>5.4367231330929968</v>
      </c>
      <c r="O33" s="29">
        <v>5.1787371526770016</v>
      </c>
      <c r="P33" s="29">
        <v>4.9018013089179959</v>
      </c>
      <c r="Q33" s="29">
        <v>4.6068428343640022</v>
      </c>
      <c r="R33" s="29">
        <v>4.2949887062579961</v>
      </c>
      <c r="S33" s="29">
        <v>3.9676349936970041</v>
      </c>
      <c r="T33" s="29">
        <v>3.6264290916133035</v>
      </c>
      <c r="U33" s="29">
        <v>3.2733645359195975</v>
      </c>
      <c r="V33" s="29">
        <v>2.9108137328094017</v>
      </c>
      <c r="W33" s="29">
        <v>2.541534970142294</v>
      </c>
      <c r="X33" s="29">
        <v>2.1687409561533002</v>
      </c>
      <c r="Y33" s="29">
        <v>1.7960640130592083</v>
      </c>
      <c r="Z33" s="29">
        <v>1.4276101651422977</v>
      </c>
      <c r="AA33" s="29">
        <v>1.0679742442554954</v>
      </c>
      <c r="AB33" s="29">
        <v>0.72237734233470974</v>
      </c>
      <c r="AC33" s="29">
        <v>0.39693921210819383</v>
      </c>
      <c r="AD33" s="29">
        <v>9.9471941985697754E-2</v>
      </c>
      <c r="AE33" s="29">
        <v>-0.15706205391249739</v>
      </c>
      <c r="AH33">
        <f t="shared" si="0"/>
        <v>122.73944482001701</v>
      </c>
    </row>
    <row r="34" spans="1:35" x14ac:dyDescent="0.35">
      <c r="A34" s="19"/>
      <c r="B34" s="19">
        <v>213.02668470951701</v>
      </c>
      <c r="C34" s="29">
        <f t="shared" si="1"/>
        <v>9.2872398895000003</v>
      </c>
      <c r="D34" s="29">
        <v>9.3492051974840251</v>
      </c>
      <c r="E34" s="29">
        <v>9.423138170740998</v>
      </c>
      <c r="F34" s="29">
        <v>9.5124916809419915</v>
      </c>
      <c r="G34" s="29">
        <v>9.6224436902710124</v>
      </c>
      <c r="H34" s="29">
        <v>6.1401675974419732</v>
      </c>
      <c r="I34" s="29">
        <v>6.3401309972010154</v>
      </c>
      <c r="J34" s="29">
        <v>4.8461656844039851</v>
      </c>
      <c r="K34" s="29">
        <v>4.8037938826360005</v>
      </c>
      <c r="L34" s="29">
        <v>4.740542452947011</v>
      </c>
      <c r="M34" s="29">
        <v>4.0254103425079961</v>
      </c>
      <c r="N34" s="29">
        <v>5.6749688428230058</v>
      </c>
      <c r="O34" s="29">
        <v>5.4367231330929968</v>
      </c>
      <c r="P34" s="29">
        <v>5.1787371526770016</v>
      </c>
      <c r="Q34" s="29">
        <v>4.9018013089179959</v>
      </c>
      <c r="R34" s="29">
        <v>4.6068428343640022</v>
      </c>
      <c r="S34" s="29">
        <v>4.2949887062579961</v>
      </c>
      <c r="T34" s="29">
        <v>3.9676349936970041</v>
      </c>
      <c r="U34" s="29">
        <v>3.6264290916133035</v>
      </c>
      <c r="V34" s="29">
        <v>3.2733645359195975</v>
      </c>
      <c r="W34" s="29">
        <v>2.9108137328094017</v>
      </c>
      <c r="X34" s="29">
        <v>2.541534970142294</v>
      </c>
      <c r="Y34" s="29">
        <v>2.1687409561533002</v>
      </c>
      <c r="Z34" s="29">
        <v>1.7960640130592083</v>
      </c>
      <c r="AA34" s="29">
        <v>1.4276101651422977</v>
      </c>
      <c r="AB34" s="29">
        <v>1.0679742442554954</v>
      </c>
      <c r="AC34" s="29">
        <v>0.72237734233470974</v>
      </c>
      <c r="AD34" s="29">
        <v>0.39693921210819383</v>
      </c>
      <c r="AE34" s="29">
        <v>9.9471941985697754E-2</v>
      </c>
      <c r="AF34" s="29">
        <v>-0.15706205391249739</v>
      </c>
      <c r="AH34">
        <f t="shared" si="0"/>
        <v>132.02668470951699</v>
      </c>
    </row>
    <row r="35" spans="1:35" x14ac:dyDescent="0.35">
      <c r="A35" s="19"/>
      <c r="B35" s="19">
        <v>219.105445851219</v>
      </c>
      <c r="C35" s="29">
        <f t="shared" si="1"/>
        <v>6.0787611417019889</v>
      </c>
      <c r="D35" s="29">
        <v>9.2872398895000003</v>
      </c>
      <c r="E35" s="29">
        <v>9.3492051974840251</v>
      </c>
      <c r="F35" s="29">
        <v>9.423138170740998</v>
      </c>
      <c r="G35" s="29">
        <v>9.5124916809419915</v>
      </c>
      <c r="H35" s="29">
        <v>9.6224436902710124</v>
      </c>
      <c r="I35" s="29">
        <v>6.1401675974419732</v>
      </c>
      <c r="J35" s="29">
        <v>6.3401309972010154</v>
      </c>
      <c r="K35" s="29">
        <v>4.8461656844039851</v>
      </c>
      <c r="L35" s="29">
        <v>4.8037938826360005</v>
      </c>
      <c r="M35" s="29">
        <v>4.740542452947011</v>
      </c>
      <c r="N35" s="29">
        <v>4.0254103425079961</v>
      </c>
      <c r="O35" s="29">
        <v>5.6749688428230058</v>
      </c>
      <c r="P35" s="29">
        <v>5.4367231330929968</v>
      </c>
      <c r="Q35" s="29">
        <v>5.1787371526770016</v>
      </c>
      <c r="R35" s="29">
        <v>4.9018013089179959</v>
      </c>
      <c r="S35" s="29">
        <v>4.6068428343640022</v>
      </c>
      <c r="T35" s="29">
        <v>4.2949887062579961</v>
      </c>
      <c r="U35" s="29">
        <v>3.9676349936970041</v>
      </c>
      <c r="V35" s="29">
        <v>3.6264290916133035</v>
      </c>
      <c r="W35" s="29">
        <v>3.2733645359195975</v>
      </c>
      <c r="X35" s="29">
        <v>2.9108137328094017</v>
      </c>
      <c r="Y35" s="29">
        <v>2.541534970142294</v>
      </c>
      <c r="Z35" s="29">
        <v>2.1687409561533002</v>
      </c>
      <c r="AA35" s="29">
        <v>1.7960640130592083</v>
      </c>
      <c r="AB35" s="29">
        <v>1.4276101651422977</v>
      </c>
      <c r="AC35" s="29">
        <v>1.0679742442554954</v>
      </c>
      <c r="AD35" s="29">
        <v>0.72237734233470974</v>
      </c>
      <c r="AE35" s="29">
        <v>0.39693921210819383</v>
      </c>
      <c r="AF35" s="29">
        <v>9.9471941985697754E-2</v>
      </c>
      <c r="AG35" s="29">
        <v>-0.15706205391249739</v>
      </c>
      <c r="AH35">
        <f t="shared" si="0"/>
        <v>138.10544585121897</v>
      </c>
    </row>
    <row r="36" spans="1:35" x14ac:dyDescent="0.35">
      <c r="A36" s="19"/>
      <c r="B36" s="19"/>
      <c r="C36" s="19"/>
      <c r="D36" s="29"/>
      <c r="E36" s="29"/>
      <c r="F36" s="29"/>
      <c r="G36" s="29"/>
      <c r="H36" s="29"/>
      <c r="I36" s="29"/>
      <c r="J36" s="29"/>
      <c r="K36" s="29"/>
      <c r="L36" s="29"/>
      <c r="M36" s="29"/>
      <c r="N36" s="29"/>
      <c r="O36" s="29"/>
      <c r="P36" s="29"/>
      <c r="Q36" s="29"/>
      <c r="R36" s="29"/>
      <c r="S36" s="29"/>
      <c r="T36" s="29"/>
      <c r="U36" s="29"/>
      <c r="V36" s="29"/>
      <c r="W36" s="29"/>
      <c r="X36" s="29"/>
      <c r="Y36" s="29"/>
      <c r="Z36" s="29"/>
      <c r="AA36" s="29"/>
      <c r="AB36" s="29"/>
      <c r="AC36" s="29"/>
      <c r="AD36" s="29"/>
      <c r="AE36" s="29"/>
      <c r="AF36" s="29"/>
      <c r="AG36" s="29" t="s">
        <v>39</v>
      </c>
      <c r="AH36">
        <f>SUM(AH5:AH35)</f>
        <v>1475.0268918197919</v>
      </c>
    </row>
    <row r="37" spans="1:35" x14ac:dyDescent="0.35">
      <c r="A37" s="19"/>
      <c r="B37" s="30" t="s">
        <v>35</v>
      </c>
      <c r="C37" s="30" t="s">
        <v>40</v>
      </c>
      <c r="E37" s="29"/>
      <c r="F37" s="29"/>
      <c r="G37" s="29"/>
      <c r="H37" s="29"/>
      <c r="I37" s="29"/>
      <c r="J37" s="29"/>
      <c r="K37" s="29"/>
      <c r="L37" s="29"/>
      <c r="M37" s="29"/>
      <c r="N37" s="29"/>
      <c r="O37" s="29"/>
      <c r="P37" s="29"/>
      <c r="Q37" s="29"/>
      <c r="R37" s="29"/>
      <c r="S37" s="29"/>
      <c r="T37" s="29"/>
      <c r="U37" s="29"/>
      <c r="V37" s="29"/>
      <c r="W37" s="29"/>
      <c r="X37" s="29"/>
      <c r="Y37" s="29"/>
      <c r="Z37" s="29"/>
      <c r="AA37" s="29"/>
      <c r="AB37" s="29"/>
      <c r="AC37" s="29"/>
      <c r="AD37" s="29"/>
      <c r="AE37" s="29"/>
      <c r="AF37" s="29"/>
      <c r="AG37" s="29" t="s">
        <v>38</v>
      </c>
      <c r="AH37" s="6">
        <f>AH36*30000*44/12</f>
        <v>162252958.10017714</v>
      </c>
    </row>
    <row r="38" spans="1:35" ht="58" x14ac:dyDescent="0.35">
      <c r="B38" s="29">
        <v>81</v>
      </c>
      <c r="C38" s="19"/>
      <c r="F38" s="29"/>
      <c r="G38" s="29"/>
      <c r="H38" s="29"/>
      <c r="I38" s="29"/>
      <c r="J38" s="29"/>
      <c r="K38" s="29"/>
      <c r="L38" s="29"/>
      <c r="M38" s="29"/>
      <c r="N38" s="29"/>
      <c r="O38" s="29"/>
      <c r="P38" s="29"/>
      <c r="Q38" s="29"/>
      <c r="R38" s="29"/>
      <c r="S38" s="29"/>
      <c r="T38" s="29"/>
      <c r="U38" s="29"/>
      <c r="V38" s="29"/>
      <c r="W38" s="29"/>
      <c r="X38" s="29"/>
      <c r="Y38" s="29"/>
      <c r="Z38" s="29"/>
      <c r="AA38" s="29"/>
      <c r="AB38" s="29"/>
      <c r="AC38" s="29"/>
      <c r="AD38" s="29"/>
      <c r="AE38" s="29"/>
      <c r="AG38" s="29"/>
      <c r="AI38" s="53" t="s">
        <v>72</v>
      </c>
    </row>
    <row r="39" spans="1:35" x14ac:dyDescent="0.35">
      <c r="A39" s="33">
        <v>2020</v>
      </c>
      <c r="B39">
        <v>80.842937946087503</v>
      </c>
      <c r="C39" s="32">
        <f t="shared" ref="C39:C69" si="2">B39-$B$38</f>
        <v>-0.15706205391249739</v>
      </c>
      <c r="G39" s="29"/>
      <c r="H39" s="29"/>
      <c r="I39" s="29"/>
      <c r="J39" s="29"/>
      <c r="K39" s="29"/>
      <c r="L39" s="29"/>
      <c r="M39" s="29"/>
      <c r="N39" s="29"/>
      <c r="O39" s="29"/>
      <c r="P39" s="29"/>
      <c r="Q39" s="29"/>
      <c r="R39" s="29"/>
      <c r="S39" s="29"/>
      <c r="T39" s="29"/>
      <c r="U39" s="29"/>
      <c r="V39" s="29"/>
      <c r="W39" s="29"/>
      <c r="X39" s="29"/>
      <c r="Y39" s="29"/>
      <c r="Z39" s="29"/>
      <c r="AA39" s="29"/>
      <c r="AB39" s="29"/>
      <c r="AC39" s="29"/>
      <c r="AD39" s="29"/>
      <c r="AE39" s="29"/>
      <c r="AF39" s="29"/>
      <c r="AG39" s="29"/>
      <c r="AI39">
        <v>30000</v>
      </c>
    </row>
    <row r="40" spans="1:35" x14ac:dyDescent="0.35">
      <c r="A40" s="33">
        <v>2021</v>
      </c>
      <c r="B40" s="19">
        <v>80.9424098880732</v>
      </c>
      <c r="C40" s="32">
        <f t="shared" si="2"/>
        <v>-5.7590111926799636E-2</v>
      </c>
      <c r="D40" s="32">
        <v>-0.15706205391249739</v>
      </c>
      <c r="H40" s="29"/>
      <c r="I40" s="29"/>
      <c r="J40" s="29"/>
      <c r="K40" s="29"/>
      <c r="L40" s="29"/>
      <c r="M40" s="29"/>
      <c r="N40" s="29"/>
      <c r="O40" s="29"/>
      <c r="P40" s="29"/>
      <c r="Q40" s="29"/>
      <c r="R40" s="29"/>
      <c r="S40" s="29"/>
      <c r="T40" s="29"/>
      <c r="U40" s="29"/>
      <c r="V40" s="29"/>
      <c r="W40" s="29"/>
      <c r="X40" s="29"/>
      <c r="Y40" s="29"/>
      <c r="Z40" s="29"/>
      <c r="AA40" s="29"/>
      <c r="AB40" s="29"/>
      <c r="AC40" s="29"/>
      <c r="AD40" s="29"/>
      <c r="AE40" s="29"/>
      <c r="AF40" s="29"/>
      <c r="AG40" s="29"/>
      <c r="AH40">
        <f t="shared" ref="AH40:AH69" si="3">SUM(C40:AG40)</f>
        <v>-0.21465216583929703</v>
      </c>
      <c r="AI40" s="31">
        <f>-AH40*$AI$39*44/12</f>
        <v>23611.73824232267</v>
      </c>
    </row>
    <row r="41" spans="1:35" x14ac:dyDescent="0.35">
      <c r="A41" s="33">
        <v>2022</v>
      </c>
      <c r="B41" s="19">
        <v>81.339349100181394</v>
      </c>
      <c r="C41" s="32">
        <f t="shared" si="2"/>
        <v>0.33934910018139419</v>
      </c>
      <c r="D41" s="32">
        <v>-5.7590111926799636E-2</v>
      </c>
      <c r="E41" s="32">
        <v>-0.15706205391249739</v>
      </c>
      <c r="I41" s="29"/>
      <c r="J41" s="29"/>
      <c r="K41" s="29"/>
      <c r="L41" s="29"/>
      <c r="M41" s="29"/>
      <c r="N41" s="29"/>
      <c r="O41" s="29"/>
      <c r="P41" s="29"/>
      <c r="Q41" s="29"/>
      <c r="R41" s="29"/>
      <c r="S41" s="29"/>
      <c r="T41" s="29"/>
      <c r="U41" s="29"/>
      <c r="V41" s="29"/>
      <c r="W41" s="29"/>
      <c r="X41" s="29"/>
      <c r="Y41" s="29"/>
      <c r="Z41" s="29"/>
      <c r="AA41" s="29"/>
      <c r="AB41" s="29"/>
      <c r="AC41" s="29"/>
      <c r="AD41" s="29"/>
      <c r="AE41" s="29"/>
      <c r="AF41" s="29"/>
      <c r="AG41" s="29"/>
      <c r="AH41">
        <f t="shared" si="3"/>
        <v>0.12469693434209717</v>
      </c>
      <c r="AI41" s="31">
        <f t="shared" ref="AI41:AI69" si="4">-AH41*$AI$39*44/12</f>
        <v>-13716.662777630687</v>
      </c>
    </row>
    <row r="42" spans="1:35" x14ac:dyDescent="0.35">
      <c r="A42" s="33">
        <v>2023</v>
      </c>
      <c r="B42" s="19">
        <v>82.061726442516104</v>
      </c>
      <c r="C42" s="32">
        <f t="shared" si="2"/>
        <v>1.0617264425161039</v>
      </c>
      <c r="D42" s="32">
        <v>0.33934910018139419</v>
      </c>
      <c r="E42" s="32">
        <v>-5.7590111926799636E-2</v>
      </c>
      <c r="F42" s="32">
        <v>-0.15706205391249739</v>
      </c>
      <c r="J42" s="29"/>
      <c r="K42" s="29"/>
      <c r="L42" s="29"/>
      <c r="M42" s="29"/>
      <c r="N42" s="29"/>
      <c r="O42" s="29"/>
      <c r="P42" s="29"/>
      <c r="Q42" s="29"/>
      <c r="R42" s="29"/>
      <c r="S42" s="29"/>
      <c r="T42" s="29"/>
      <c r="U42" s="29"/>
      <c r="V42" s="29"/>
      <c r="W42" s="29"/>
      <c r="X42" s="29"/>
      <c r="Y42" s="29"/>
      <c r="Z42" s="29"/>
      <c r="AA42" s="29"/>
      <c r="AB42" s="29"/>
      <c r="AC42" s="29"/>
      <c r="AD42" s="29"/>
      <c r="AE42" s="29"/>
      <c r="AF42" s="29"/>
      <c r="AG42" s="29"/>
      <c r="AH42">
        <f t="shared" si="3"/>
        <v>1.1864233768582011</v>
      </c>
      <c r="AI42" s="31">
        <f t="shared" si="4"/>
        <v>-130506.57145440213</v>
      </c>
    </row>
    <row r="43" spans="1:35" x14ac:dyDescent="0.35">
      <c r="A43" s="33">
        <v>2024</v>
      </c>
      <c r="B43" s="19">
        <v>83.129700686771599</v>
      </c>
      <c r="C43" s="32">
        <f t="shared" si="2"/>
        <v>2.1297006867715993</v>
      </c>
      <c r="D43" s="32">
        <v>1.0617264425161039</v>
      </c>
      <c r="E43" s="32">
        <v>0.33934910018139419</v>
      </c>
      <c r="F43" s="32">
        <v>-5.7590111926799636E-2</v>
      </c>
      <c r="G43" s="32">
        <v>-0.15706205391249739</v>
      </c>
      <c r="K43" s="29"/>
      <c r="L43" s="29"/>
      <c r="M43" s="29"/>
      <c r="N43" s="29"/>
      <c r="O43" s="29"/>
      <c r="P43" s="29"/>
      <c r="Q43" s="29"/>
      <c r="R43" s="29"/>
      <c r="S43" s="29"/>
      <c r="T43" s="29"/>
      <c r="U43" s="29"/>
      <c r="V43" s="29"/>
      <c r="W43" s="29"/>
      <c r="X43" s="29"/>
      <c r="Y43" s="29"/>
      <c r="Z43" s="29"/>
      <c r="AA43" s="29"/>
      <c r="AB43" s="29"/>
      <c r="AC43" s="29"/>
      <c r="AD43" s="29"/>
      <c r="AE43" s="29"/>
      <c r="AF43" s="29"/>
      <c r="AG43" s="29"/>
      <c r="AH43">
        <f t="shared" si="3"/>
        <v>3.3161240636298004</v>
      </c>
      <c r="AI43" s="31">
        <f t="shared" si="4"/>
        <v>-364773.64699927811</v>
      </c>
    </row>
    <row r="44" spans="1:35" x14ac:dyDescent="0.35">
      <c r="A44" s="33">
        <v>2025</v>
      </c>
      <c r="B44" s="19">
        <v>84.557310851913897</v>
      </c>
      <c r="C44" s="32">
        <f t="shared" si="2"/>
        <v>3.557310851913897</v>
      </c>
      <c r="D44" s="32">
        <v>2.1297006867715993</v>
      </c>
      <c r="E44" s="32">
        <v>1.0617264425161039</v>
      </c>
      <c r="F44" s="32">
        <v>0.33934910018139419</v>
      </c>
      <c r="G44" s="32">
        <v>-5.7590111926799636E-2</v>
      </c>
      <c r="H44" s="32">
        <v>-0.15706205391249739</v>
      </c>
      <c r="K44" s="13"/>
      <c r="L44" s="29"/>
      <c r="M44" s="29"/>
      <c r="N44" s="29"/>
      <c r="O44" s="29"/>
      <c r="P44" s="29"/>
      <c r="Q44" s="29"/>
      <c r="R44" s="29"/>
      <c r="S44" s="29"/>
      <c r="T44" s="29"/>
      <c r="U44" s="29"/>
      <c r="V44" s="29"/>
      <c r="W44" s="29"/>
      <c r="X44" s="29"/>
      <c r="Y44" s="29"/>
      <c r="Z44" s="29"/>
      <c r="AA44" s="29"/>
      <c r="AB44" s="29"/>
      <c r="AC44" s="29"/>
      <c r="AD44" s="29"/>
      <c r="AE44" s="29"/>
      <c r="AF44" s="29"/>
      <c r="AG44" s="29"/>
      <c r="AH44">
        <f t="shared" si="3"/>
        <v>6.8734349155436973</v>
      </c>
      <c r="AI44" s="31">
        <f t="shared" si="4"/>
        <v>-756077.84070980677</v>
      </c>
    </row>
    <row r="45" spans="1:35" x14ac:dyDescent="0.35">
      <c r="A45" s="33">
        <v>2026</v>
      </c>
      <c r="B45" s="19">
        <v>86.353374864973105</v>
      </c>
      <c r="C45" s="32">
        <f t="shared" si="2"/>
        <v>5.3533748649731052</v>
      </c>
      <c r="D45" s="32">
        <v>3.557310851913897</v>
      </c>
      <c r="E45" s="32">
        <v>2.1297006867715993</v>
      </c>
      <c r="F45" s="32">
        <v>1.0617264425161039</v>
      </c>
      <c r="G45" s="32">
        <v>0.33934910018139419</v>
      </c>
      <c r="H45" s="32">
        <v>-5.7590111926799636E-2</v>
      </c>
      <c r="I45" s="32">
        <v>-0.15706205391249739</v>
      </c>
      <c r="K45" s="13"/>
      <c r="L45" s="13"/>
      <c r="M45" s="29"/>
      <c r="N45" s="29"/>
      <c r="O45" s="29"/>
      <c r="P45" s="29"/>
      <c r="Q45" s="29"/>
      <c r="R45" s="29"/>
      <c r="S45" s="29"/>
      <c r="T45" s="29"/>
      <c r="U45" s="29"/>
      <c r="V45" s="29"/>
      <c r="W45" s="29"/>
      <c r="X45" s="29"/>
      <c r="Y45" s="29"/>
      <c r="Z45" s="29"/>
      <c r="AA45" s="29"/>
      <c r="AB45" s="29"/>
      <c r="AC45" s="29"/>
      <c r="AD45" s="29"/>
      <c r="AE45" s="29"/>
      <c r="AF45" s="29"/>
      <c r="AG45" s="29"/>
      <c r="AH45">
        <f t="shared" si="3"/>
        <v>12.226809780516803</v>
      </c>
      <c r="AI45" s="31">
        <f t="shared" si="4"/>
        <v>-1344949.0758568484</v>
      </c>
    </row>
    <row r="46" spans="1:35" x14ac:dyDescent="0.35">
      <c r="A46" s="33">
        <v>2027</v>
      </c>
      <c r="B46" s="19">
        <v>88.522115821126405</v>
      </c>
      <c r="C46" s="32">
        <f t="shared" si="2"/>
        <v>7.5221158211264054</v>
      </c>
      <c r="D46" s="32">
        <v>5.3533748649731052</v>
      </c>
      <c r="E46" s="32">
        <v>3.557310851913897</v>
      </c>
      <c r="F46" s="32">
        <v>2.1297006867715993</v>
      </c>
      <c r="G46" s="32">
        <v>1.0617264425161039</v>
      </c>
      <c r="H46" s="32">
        <v>0.33934910018139419</v>
      </c>
      <c r="I46" s="32">
        <v>-5.7590111926799636E-2</v>
      </c>
      <c r="J46" s="32">
        <v>-0.15706205391249739</v>
      </c>
      <c r="K46" s="13"/>
      <c r="L46" s="13"/>
      <c r="M46" s="13"/>
      <c r="N46" s="29"/>
      <c r="O46" s="29"/>
      <c r="P46" s="29"/>
      <c r="Q46" s="29"/>
      <c r="R46" s="29"/>
      <c r="S46" s="29"/>
      <c r="T46" s="29"/>
      <c r="U46" s="29"/>
      <c r="V46" s="29"/>
      <c r="W46" s="29"/>
      <c r="X46" s="29"/>
      <c r="Y46" s="29"/>
      <c r="Z46" s="29"/>
      <c r="AA46" s="29"/>
      <c r="AB46" s="29"/>
      <c r="AC46" s="29"/>
      <c r="AD46" s="29"/>
      <c r="AE46" s="29"/>
      <c r="AF46" s="29"/>
      <c r="AG46" s="29"/>
      <c r="AH46">
        <f t="shared" si="3"/>
        <v>19.748925601643208</v>
      </c>
      <c r="AI46" s="31">
        <f t="shared" si="4"/>
        <v>-2172381.8161807531</v>
      </c>
    </row>
    <row r="47" spans="1:35" x14ac:dyDescent="0.35">
      <c r="A47" s="33">
        <v>2028</v>
      </c>
      <c r="B47" s="19">
        <v>91.063650791268699</v>
      </c>
      <c r="C47" s="32">
        <f t="shared" si="2"/>
        <v>10.063650791268699</v>
      </c>
      <c r="D47" s="32">
        <v>7.5221158211264054</v>
      </c>
      <c r="E47" s="32">
        <v>5.3533748649731052</v>
      </c>
      <c r="F47" s="32">
        <v>3.557310851913897</v>
      </c>
      <c r="G47" s="32">
        <v>2.1297006867715993</v>
      </c>
      <c r="H47" s="32">
        <v>1.0617264425161039</v>
      </c>
      <c r="I47" s="32">
        <v>0.33934910018139419</v>
      </c>
      <c r="J47" s="32">
        <v>-5.7590111926799636E-2</v>
      </c>
      <c r="K47" s="32">
        <v>-0.15706205391249739</v>
      </c>
      <c r="L47" s="13"/>
      <c r="M47" s="13"/>
      <c r="N47" s="13"/>
      <c r="O47" s="29"/>
      <c r="P47" s="29"/>
      <c r="Q47" s="29"/>
      <c r="R47" s="29"/>
      <c r="S47" s="29"/>
      <c r="T47" s="29"/>
      <c r="U47" s="29"/>
      <c r="V47" s="29"/>
      <c r="W47" s="29"/>
      <c r="X47" s="29"/>
      <c r="Y47" s="29"/>
      <c r="Z47" s="29"/>
      <c r="AA47" s="29"/>
      <c r="AB47" s="29"/>
      <c r="AC47" s="29"/>
      <c r="AD47" s="29"/>
      <c r="AE47" s="29"/>
      <c r="AF47" s="29"/>
      <c r="AG47" s="29"/>
      <c r="AH47">
        <f t="shared" si="3"/>
        <v>29.812576392911907</v>
      </c>
      <c r="AI47" s="31">
        <f t="shared" si="4"/>
        <v>-3279383.4032203094</v>
      </c>
    </row>
    <row r="48" spans="1:35" x14ac:dyDescent="0.35">
      <c r="A48" s="33">
        <v>2029</v>
      </c>
      <c r="B48" s="19">
        <v>93.974464524078101</v>
      </c>
      <c r="C48" s="32">
        <f t="shared" si="2"/>
        <v>12.974464524078101</v>
      </c>
      <c r="D48" s="32">
        <v>10.063650791268699</v>
      </c>
      <c r="E48" s="32">
        <v>7.5221158211264054</v>
      </c>
      <c r="F48" s="32">
        <v>5.3533748649731052</v>
      </c>
      <c r="G48" s="32">
        <v>3.557310851913897</v>
      </c>
      <c r="H48" s="32">
        <v>2.1297006867715993</v>
      </c>
      <c r="I48" s="32">
        <v>1.0617264425161039</v>
      </c>
      <c r="J48" s="32">
        <v>0.33934910018139419</v>
      </c>
      <c r="K48" s="32">
        <v>-5.7590111926799636E-2</v>
      </c>
      <c r="L48" s="32">
        <v>-0.15706205391249739</v>
      </c>
      <c r="M48" s="13"/>
      <c r="N48" s="13"/>
      <c r="O48" s="13"/>
      <c r="P48" s="29"/>
      <c r="Q48" s="29"/>
      <c r="R48" s="29"/>
      <c r="S48" s="29"/>
      <c r="T48" s="29"/>
      <c r="U48" s="29"/>
      <c r="V48" s="29"/>
      <c r="W48" s="29"/>
      <c r="X48" s="29"/>
      <c r="Y48" s="29"/>
      <c r="Z48" s="29"/>
      <c r="AA48" s="29"/>
      <c r="AB48" s="29"/>
      <c r="AC48" s="29"/>
      <c r="AD48" s="29"/>
      <c r="AE48" s="29"/>
      <c r="AF48" s="29"/>
      <c r="AG48" s="29"/>
      <c r="AH48">
        <f t="shared" si="3"/>
        <v>42.787040916990009</v>
      </c>
      <c r="AI48" s="31">
        <f t="shared" si="4"/>
        <v>-4706574.5008689007</v>
      </c>
    </row>
    <row r="49" spans="1:35" x14ac:dyDescent="0.35">
      <c r="A49" s="33">
        <v>2030</v>
      </c>
      <c r="B49" s="19">
        <v>97.247829059997699</v>
      </c>
      <c r="C49" s="32">
        <f t="shared" si="2"/>
        <v>16.247829059997699</v>
      </c>
      <c r="D49" s="32">
        <v>12.974464524078101</v>
      </c>
      <c r="E49" s="32">
        <v>10.063650791268699</v>
      </c>
      <c r="F49" s="32">
        <v>7.5221158211264054</v>
      </c>
      <c r="G49" s="32">
        <v>5.3533748649731052</v>
      </c>
      <c r="H49" s="32">
        <v>3.557310851913897</v>
      </c>
      <c r="I49" s="32">
        <v>2.1297006867715993</v>
      </c>
      <c r="J49" s="32">
        <v>1.0617264425161039</v>
      </c>
      <c r="K49" s="32">
        <v>0.33934910018139419</v>
      </c>
      <c r="L49" s="32">
        <v>-5.7590111926799636E-2</v>
      </c>
      <c r="M49" s="32">
        <v>-0.15706205391249739</v>
      </c>
      <c r="N49" s="13"/>
      <c r="O49" s="13"/>
      <c r="Q49" s="29"/>
      <c r="R49" s="29"/>
      <c r="S49" s="29"/>
      <c r="T49" s="29"/>
      <c r="U49" s="29"/>
      <c r="V49" s="29"/>
      <c r="W49" s="29"/>
      <c r="X49" s="29"/>
      <c r="Y49" s="29"/>
      <c r="Z49" s="29"/>
      <c r="AA49" s="29"/>
      <c r="AB49" s="29"/>
      <c r="AC49" s="29"/>
      <c r="AD49" s="29"/>
      <c r="AE49" s="29"/>
      <c r="AF49" s="29"/>
      <c r="AG49" s="29"/>
      <c r="AH49">
        <f t="shared" si="3"/>
        <v>59.034869976987707</v>
      </c>
      <c r="AI49" s="31">
        <f t="shared" si="4"/>
        <v>-6493835.6974686468</v>
      </c>
    </row>
    <row r="50" spans="1:35" x14ac:dyDescent="0.35">
      <c r="A50" s="33">
        <v>2031</v>
      </c>
      <c r="B50" s="19">
        <v>100.874258151611</v>
      </c>
      <c r="C50" s="32">
        <f t="shared" si="2"/>
        <v>19.874258151611002</v>
      </c>
      <c r="D50" s="32">
        <v>16.247829059997699</v>
      </c>
      <c r="E50" s="32">
        <v>12.974464524078101</v>
      </c>
      <c r="F50" s="32">
        <v>10.063650791268699</v>
      </c>
      <c r="G50" s="32">
        <v>7.5221158211264054</v>
      </c>
      <c r="H50" s="32">
        <v>5.3533748649731052</v>
      </c>
      <c r="I50" s="32">
        <v>3.557310851913897</v>
      </c>
      <c r="J50" s="32">
        <v>2.1297006867715993</v>
      </c>
      <c r="K50" s="32">
        <v>1.0617264425161039</v>
      </c>
      <c r="L50" s="32">
        <v>0.33934910018139419</v>
      </c>
      <c r="M50" s="32">
        <v>-5.7590111926799636E-2</v>
      </c>
      <c r="N50" s="32">
        <v>-0.15706205391249739</v>
      </c>
      <c r="O50" s="13"/>
      <c r="R50" s="29"/>
      <c r="S50" s="29"/>
      <c r="T50" s="29"/>
      <c r="U50" s="29"/>
      <c r="V50" s="29"/>
      <c r="W50" s="29"/>
      <c r="X50" s="29"/>
      <c r="Y50" s="29"/>
      <c r="Z50" s="29"/>
      <c r="AA50" s="29"/>
      <c r="AB50" s="29"/>
      <c r="AC50" s="29"/>
      <c r="AD50" s="29"/>
      <c r="AE50" s="29"/>
      <c r="AF50" s="29"/>
      <c r="AG50" s="29"/>
      <c r="AH50">
        <f t="shared" si="3"/>
        <v>78.909128128598709</v>
      </c>
      <c r="AI50" s="31">
        <f t="shared" si="4"/>
        <v>-8680004.0941458587</v>
      </c>
    </row>
    <row r="51" spans="1:35" x14ac:dyDescent="0.35">
      <c r="A51" s="33">
        <v>2032</v>
      </c>
      <c r="B51" s="19">
        <v>104.84189314530801</v>
      </c>
      <c r="C51" s="32">
        <f t="shared" si="2"/>
        <v>23.841893145308006</v>
      </c>
      <c r="D51" s="32">
        <v>19.874258151611002</v>
      </c>
      <c r="E51" s="32">
        <v>16.247829059997699</v>
      </c>
      <c r="F51" s="32">
        <v>12.974464524078101</v>
      </c>
      <c r="G51" s="32">
        <v>10.063650791268699</v>
      </c>
      <c r="H51" s="32">
        <v>7.5221158211264054</v>
      </c>
      <c r="I51" s="32">
        <v>5.3533748649731052</v>
      </c>
      <c r="J51" s="32">
        <v>3.557310851913897</v>
      </c>
      <c r="K51" s="32">
        <v>2.1297006867715993</v>
      </c>
      <c r="L51" s="32">
        <v>1.0617264425161039</v>
      </c>
      <c r="M51" s="32">
        <v>0.33934910018139419</v>
      </c>
      <c r="N51" s="32">
        <v>-5.7590111926799636E-2</v>
      </c>
      <c r="O51" s="32">
        <v>-0.15706205391249739</v>
      </c>
      <c r="S51" s="29"/>
      <c r="T51" s="29"/>
      <c r="U51" s="29"/>
      <c r="V51" s="29"/>
      <c r="W51" s="29"/>
      <c r="X51" s="29"/>
      <c r="Y51" s="29"/>
      <c r="Z51" s="29"/>
      <c r="AA51" s="29"/>
      <c r="AB51" s="29"/>
      <c r="AC51" s="29"/>
      <c r="AD51" s="29"/>
      <c r="AE51" s="29"/>
      <c r="AF51" s="29"/>
      <c r="AG51" s="29"/>
      <c r="AH51">
        <f t="shared" si="3"/>
        <v>102.75102127390672</v>
      </c>
      <c r="AI51" s="31">
        <f t="shared" si="4"/>
        <v>-11302612.340129739</v>
      </c>
    </row>
    <row r="52" spans="1:35" x14ac:dyDescent="0.35">
      <c r="A52" s="33">
        <v>2033</v>
      </c>
      <c r="B52" s="19">
        <v>109.136881851566</v>
      </c>
      <c r="C52" s="32">
        <f t="shared" si="2"/>
        <v>28.136881851566002</v>
      </c>
      <c r="D52" s="32">
        <v>23.841893145308006</v>
      </c>
      <c r="E52" s="32">
        <v>19.874258151611002</v>
      </c>
      <c r="F52" s="32">
        <v>16.247829059997699</v>
      </c>
      <c r="G52" s="32">
        <v>12.974464524078101</v>
      </c>
      <c r="H52" s="32">
        <v>10.063650791268699</v>
      </c>
      <c r="I52" s="32">
        <v>7.5221158211264054</v>
      </c>
      <c r="J52" s="32">
        <v>5.3533748649731052</v>
      </c>
      <c r="K52" s="32">
        <v>3.557310851913897</v>
      </c>
      <c r="L52" s="32">
        <v>2.1297006867715993</v>
      </c>
      <c r="M52" s="32">
        <v>1.0617264425161039</v>
      </c>
      <c r="N52" s="32">
        <v>0.33934910018139419</v>
      </c>
      <c r="O52" s="32">
        <v>-5.7590111926799636E-2</v>
      </c>
      <c r="P52" s="32">
        <v>-0.15706205391249739</v>
      </c>
      <c r="T52" s="29"/>
      <c r="U52" s="29"/>
      <c r="V52" s="29"/>
      <c r="W52" s="29"/>
      <c r="X52" s="29"/>
      <c r="Y52" s="29"/>
      <c r="Z52" s="29"/>
      <c r="AA52" s="29"/>
      <c r="AB52" s="29"/>
      <c r="AC52" s="29"/>
      <c r="AD52" s="29"/>
      <c r="AE52" s="29"/>
      <c r="AF52" s="29"/>
      <c r="AG52" s="29"/>
      <c r="AH52">
        <f t="shared" si="3"/>
        <v>130.88790312547269</v>
      </c>
      <c r="AI52" s="31">
        <f t="shared" si="4"/>
        <v>-14397669.343801996</v>
      </c>
    </row>
    <row r="53" spans="1:35" x14ac:dyDescent="0.35">
      <c r="A53" s="33">
        <v>2034</v>
      </c>
      <c r="B53" s="19">
        <v>113.74372468593</v>
      </c>
      <c r="C53" s="32">
        <f t="shared" si="2"/>
        <v>32.743724685930005</v>
      </c>
      <c r="D53" s="32">
        <v>28.136881851566002</v>
      </c>
      <c r="E53" s="32">
        <v>23.841893145308006</v>
      </c>
      <c r="F53" s="32">
        <v>19.874258151611002</v>
      </c>
      <c r="G53" s="32">
        <v>16.247829059997699</v>
      </c>
      <c r="H53" s="32">
        <v>12.974464524078101</v>
      </c>
      <c r="I53" s="32">
        <v>10.063650791268699</v>
      </c>
      <c r="J53" s="32">
        <v>7.5221158211264054</v>
      </c>
      <c r="K53" s="32">
        <v>5.3533748649731052</v>
      </c>
      <c r="L53" s="32">
        <v>3.557310851913897</v>
      </c>
      <c r="M53" s="32">
        <v>2.1297006867715993</v>
      </c>
      <c r="N53" s="32">
        <v>1.0617264425161039</v>
      </c>
      <c r="O53" s="32">
        <v>0.33934910018139419</v>
      </c>
      <c r="P53" s="32">
        <v>-5.7590111926799636E-2</v>
      </c>
      <c r="Q53" s="32">
        <v>-0.15706205391249739</v>
      </c>
      <c r="T53" s="13"/>
      <c r="U53" s="29"/>
      <c r="V53" s="29"/>
      <c r="W53" s="29"/>
      <c r="X53" s="29"/>
      <c r="Y53" s="29"/>
      <c r="Z53" s="29"/>
      <c r="AA53" s="29"/>
      <c r="AB53" s="29"/>
      <c r="AC53" s="29"/>
      <c r="AD53" s="29"/>
      <c r="AE53" s="29"/>
      <c r="AF53" s="29"/>
      <c r="AG53" s="29"/>
      <c r="AH53">
        <f t="shared" si="3"/>
        <v>163.63162781140267</v>
      </c>
      <c r="AI53" s="31">
        <f t="shared" si="4"/>
        <v>-17999479.059254292</v>
      </c>
    </row>
    <row r="54" spans="1:35" x14ac:dyDescent="0.35">
      <c r="A54" s="33">
        <v>2035</v>
      </c>
      <c r="B54" s="19">
        <v>118.645525994848</v>
      </c>
      <c r="C54" s="32">
        <f t="shared" si="2"/>
        <v>37.645525994848001</v>
      </c>
      <c r="D54" s="32">
        <v>32.743724685930005</v>
      </c>
      <c r="E54" s="32">
        <v>28.136881851566002</v>
      </c>
      <c r="F54" s="32">
        <v>23.841893145308006</v>
      </c>
      <c r="G54" s="32">
        <v>19.874258151611002</v>
      </c>
      <c r="H54" s="32">
        <v>16.247829059997699</v>
      </c>
      <c r="I54" s="32">
        <v>12.974464524078101</v>
      </c>
      <c r="J54" s="32">
        <v>10.063650791268699</v>
      </c>
      <c r="K54" s="32">
        <v>7.5221158211264054</v>
      </c>
      <c r="L54" s="32">
        <v>5.3533748649731052</v>
      </c>
      <c r="M54" s="32">
        <v>3.557310851913897</v>
      </c>
      <c r="N54" s="32">
        <v>2.1297006867715993</v>
      </c>
      <c r="O54" s="32">
        <v>1.0617264425161039</v>
      </c>
      <c r="P54" s="32">
        <v>0.33934910018139419</v>
      </c>
      <c r="Q54" s="32">
        <v>-5.7590111926799636E-2</v>
      </c>
      <c r="R54" s="32">
        <v>-0.15706205391249739</v>
      </c>
      <c r="T54" s="13"/>
      <c r="U54" s="13"/>
      <c r="V54" s="29"/>
      <c r="W54" s="29"/>
      <c r="X54" s="29"/>
      <c r="Y54" s="29"/>
      <c r="Z54" s="29"/>
      <c r="AA54" s="29"/>
      <c r="AB54" s="29"/>
      <c r="AC54" s="29"/>
      <c r="AD54" s="29"/>
      <c r="AE54" s="29"/>
      <c r="AF54" s="29"/>
      <c r="AG54" s="29"/>
      <c r="AH54">
        <f t="shared" si="3"/>
        <v>201.27715380625068</v>
      </c>
      <c r="AI54" s="31">
        <f t="shared" si="4"/>
        <v>-22140486.918687571</v>
      </c>
    </row>
    <row r="55" spans="1:35" x14ac:dyDescent="0.35">
      <c r="A55" s="33">
        <v>2036</v>
      </c>
      <c r="B55" s="19">
        <v>123.824263147525</v>
      </c>
      <c r="C55" s="32">
        <f t="shared" si="2"/>
        <v>42.824263147525002</v>
      </c>
      <c r="D55" s="32">
        <v>37.645525994848001</v>
      </c>
      <c r="E55" s="32">
        <v>32.743724685930005</v>
      </c>
      <c r="F55" s="32">
        <v>28.136881851566002</v>
      </c>
      <c r="G55" s="32">
        <v>23.841893145308006</v>
      </c>
      <c r="H55" s="32">
        <v>19.874258151611002</v>
      </c>
      <c r="I55" s="32">
        <v>16.247829059997699</v>
      </c>
      <c r="J55" s="32">
        <v>12.974464524078101</v>
      </c>
      <c r="K55" s="32">
        <v>10.063650791268699</v>
      </c>
      <c r="L55" s="32">
        <v>7.5221158211264054</v>
      </c>
      <c r="M55" s="32">
        <v>5.3533748649731052</v>
      </c>
      <c r="N55" s="32">
        <v>3.557310851913897</v>
      </c>
      <c r="O55" s="32">
        <v>2.1297006867715993</v>
      </c>
      <c r="P55" s="32">
        <v>1.0617264425161039</v>
      </c>
      <c r="Q55" s="32">
        <v>0.33934910018139419</v>
      </c>
      <c r="R55" s="32">
        <v>-5.7590111926799636E-2</v>
      </c>
      <c r="S55" s="32">
        <v>-0.15706205391249739</v>
      </c>
      <c r="T55" s="13"/>
      <c r="U55" s="13"/>
      <c r="V55" s="13"/>
      <c r="W55" s="29"/>
      <c r="X55" s="29"/>
      <c r="Y55" s="29"/>
      <c r="Z55" s="29"/>
      <c r="AA55" s="29"/>
      <c r="AB55" s="29"/>
      <c r="AC55" s="29"/>
      <c r="AD55" s="29"/>
      <c r="AE55" s="29"/>
      <c r="AF55" s="29"/>
      <c r="AG55" s="29"/>
      <c r="AH55">
        <f t="shared" si="3"/>
        <v>244.10141695377564</v>
      </c>
      <c r="AI55" s="31">
        <f t="shared" si="4"/>
        <v>-26851155.864915323</v>
      </c>
    </row>
    <row r="56" spans="1:35" x14ac:dyDescent="0.35">
      <c r="A56" s="33">
        <v>2037</v>
      </c>
      <c r="B56" s="19">
        <v>129.260986280618</v>
      </c>
      <c r="C56" s="32">
        <f t="shared" si="2"/>
        <v>48.260986280617999</v>
      </c>
      <c r="D56" s="32">
        <v>42.824263147525002</v>
      </c>
      <c r="E56" s="32">
        <v>37.645525994848001</v>
      </c>
      <c r="F56" s="32">
        <v>32.743724685930005</v>
      </c>
      <c r="G56" s="32">
        <v>28.136881851566002</v>
      </c>
      <c r="H56" s="32">
        <v>23.841893145308006</v>
      </c>
      <c r="I56" s="32">
        <v>19.874258151611002</v>
      </c>
      <c r="J56" s="32">
        <v>16.247829059997699</v>
      </c>
      <c r="K56" s="32">
        <v>12.974464524078101</v>
      </c>
      <c r="L56" s="32">
        <v>10.063650791268699</v>
      </c>
      <c r="M56" s="32">
        <v>7.5221158211264054</v>
      </c>
      <c r="N56" s="32">
        <v>5.3533748649731052</v>
      </c>
      <c r="O56" s="32">
        <v>3.557310851913897</v>
      </c>
      <c r="P56" s="32">
        <v>2.1297006867715993</v>
      </c>
      <c r="Q56" s="32">
        <v>1.0617264425161039</v>
      </c>
      <c r="R56" s="32">
        <v>0.33934910018139419</v>
      </c>
      <c r="S56" s="32">
        <v>-5.7590111926799636E-2</v>
      </c>
      <c r="T56" s="32">
        <v>-0.15706205391249739</v>
      </c>
      <c r="U56" s="13"/>
      <c r="V56" s="13"/>
      <c r="W56" s="13"/>
      <c r="X56" s="29"/>
      <c r="Y56" s="29"/>
      <c r="Z56" s="29"/>
      <c r="AA56" s="29"/>
      <c r="AB56" s="29"/>
      <c r="AC56" s="29"/>
      <c r="AD56" s="29"/>
      <c r="AE56" s="29"/>
      <c r="AF56" s="29"/>
      <c r="AG56" s="29"/>
      <c r="AH56">
        <f t="shared" si="3"/>
        <v>292.36240323439364</v>
      </c>
      <c r="AI56" s="31">
        <f t="shared" si="4"/>
        <v>-32159864.355783302</v>
      </c>
    </row>
    <row r="57" spans="1:35" x14ac:dyDescent="0.35">
      <c r="A57" s="33">
        <v>2038</v>
      </c>
      <c r="B57" s="19">
        <v>134.935955123441</v>
      </c>
      <c r="C57" s="32">
        <f t="shared" si="2"/>
        <v>53.935955123441005</v>
      </c>
      <c r="D57" s="32">
        <v>48.260986280617999</v>
      </c>
      <c r="E57" s="32">
        <v>42.824263147525002</v>
      </c>
      <c r="F57" s="32">
        <v>37.645525994848001</v>
      </c>
      <c r="G57" s="32">
        <v>32.743724685930005</v>
      </c>
      <c r="H57" s="32">
        <v>28.136881851566002</v>
      </c>
      <c r="I57" s="32">
        <v>23.841893145308006</v>
      </c>
      <c r="J57" s="32">
        <v>19.874258151611002</v>
      </c>
      <c r="K57" s="32">
        <v>16.247829059997699</v>
      </c>
      <c r="L57" s="32">
        <v>12.974464524078101</v>
      </c>
      <c r="M57" s="32">
        <v>10.063650791268699</v>
      </c>
      <c r="N57" s="32">
        <v>7.5221158211264054</v>
      </c>
      <c r="O57" s="32">
        <v>5.3533748649731052</v>
      </c>
      <c r="P57" s="32">
        <v>3.557310851913897</v>
      </c>
      <c r="Q57" s="32">
        <v>2.1297006867715993</v>
      </c>
      <c r="R57" s="32">
        <v>1.0617264425161039</v>
      </c>
      <c r="S57" s="32">
        <v>0.33934910018139419</v>
      </c>
      <c r="T57" s="32">
        <v>-5.7590111926799636E-2</v>
      </c>
      <c r="U57" s="32">
        <v>-0.15706205391249739</v>
      </c>
      <c r="Y57" s="29"/>
      <c r="Z57" s="29"/>
      <c r="AA57" s="29"/>
      <c r="AB57" s="29"/>
      <c r="AC57" s="29"/>
      <c r="AD57" s="29"/>
      <c r="AE57" s="29"/>
      <c r="AF57" s="29"/>
      <c r="AG57" s="29"/>
      <c r="AH57">
        <f t="shared" si="3"/>
        <v>346.29835835783462</v>
      </c>
      <c r="AI57" s="31">
        <f t="shared" si="4"/>
        <v>-38092819.419361807</v>
      </c>
    </row>
    <row r="58" spans="1:35" x14ac:dyDescent="0.35">
      <c r="A58" s="33">
        <v>2039</v>
      </c>
      <c r="B58" s="19">
        <v>138.961365465949</v>
      </c>
      <c r="C58" s="32">
        <f t="shared" si="2"/>
        <v>57.961365465949001</v>
      </c>
      <c r="D58" s="32">
        <v>53.935955123441005</v>
      </c>
      <c r="E58" s="32">
        <v>48.260986280617999</v>
      </c>
      <c r="F58" s="32">
        <v>42.824263147525002</v>
      </c>
      <c r="G58" s="32">
        <v>37.645525994848001</v>
      </c>
      <c r="H58" s="32">
        <v>32.743724685930005</v>
      </c>
      <c r="I58" s="32">
        <v>28.136881851566002</v>
      </c>
      <c r="J58" s="32">
        <v>23.841893145308006</v>
      </c>
      <c r="K58" s="32">
        <v>19.874258151611002</v>
      </c>
      <c r="L58" s="32">
        <v>16.247829059997699</v>
      </c>
      <c r="M58" s="32">
        <v>12.974464524078101</v>
      </c>
      <c r="N58" s="32">
        <v>10.063650791268699</v>
      </c>
      <c r="O58" s="32">
        <v>7.5221158211264054</v>
      </c>
      <c r="P58" s="32">
        <v>5.3533748649731052</v>
      </c>
      <c r="Q58" s="32">
        <v>3.557310851913897</v>
      </c>
      <c r="R58" s="32">
        <v>2.1297006867715993</v>
      </c>
      <c r="S58" s="32">
        <v>1.0617264425161039</v>
      </c>
      <c r="T58" s="32">
        <v>0.33934910018139419</v>
      </c>
      <c r="U58" s="32">
        <v>-5.7590111926799636E-2</v>
      </c>
      <c r="V58" s="32">
        <v>-0.15706205391249739</v>
      </c>
      <c r="Z58" s="29"/>
      <c r="AA58" s="29"/>
      <c r="AB58" s="29"/>
      <c r="AC58" s="29"/>
      <c r="AD58" s="29"/>
      <c r="AE58" s="29"/>
      <c r="AF58" s="29"/>
      <c r="AG58" s="29"/>
      <c r="AH58">
        <f t="shared" si="3"/>
        <v>404.25972382378365</v>
      </c>
      <c r="AI58" s="31">
        <f t="shared" si="4"/>
        <v>-44468569.620616205</v>
      </c>
    </row>
    <row r="59" spans="1:35" x14ac:dyDescent="0.35">
      <c r="A59" s="33">
        <v>2040</v>
      </c>
      <c r="B59" s="19">
        <v>143.70190791889601</v>
      </c>
      <c r="C59" s="32">
        <f t="shared" si="2"/>
        <v>62.701907918896012</v>
      </c>
      <c r="D59" s="32">
        <v>57.961365465949001</v>
      </c>
      <c r="E59" s="32">
        <v>53.935955123441005</v>
      </c>
      <c r="F59" s="32">
        <v>48.260986280617999</v>
      </c>
      <c r="G59" s="32">
        <v>42.824263147525002</v>
      </c>
      <c r="H59" s="32">
        <v>37.645525994848001</v>
      </c>
      <c r="I59" s="32">
        <v>32.743724685930005</v>
      </c>
      <c r="J59" s="32">
        <v>28.136881851566002</v>
      </c>
      <c r="K59" s="32">
        <v>23.841893145308006</v>
      </c>
      <c r="L59" s="32">
        <v>19.874258151611002</v>
      </c>
      <c r="M59" s="32">
        <v>16.247829059997699</v>
      </c>
      <c r="N59" s="32">
        <v>12.974464524078101</v>
      </c>
      <c r="O59" s="32">
        <v>10.063650791268699</v>
      </c>
      <c r="P59" s="32">
        <v>7.5221158211264054</v>
      </c>
      <c r="Q59" s="32">
        <v>5.3533748649731052</v>
      </c>
      <c r="R59" s="32">
        <v>3.557310851913897</v>
      </c>
      <c r="S59" s="32">
        <v>2.1297006867715993</v>
      </c>
      <c r="T59" s="32">
        <v>1.0617264425161039</v>
      </c>
      <c r="U59" s="32">
        <v>0.33934910018139419</v>
      </c>
      <c r="V59" s="32">
        <v>-5.7590111926799636E-2</v>
      </c>
      <c r="W59" s="32">
        <v>-0.15706205391249739</v>
      </c>
      <c r="AA59" s="29"/>
      <c r="AB59" s="29"/>
      <c r="AC59" s="29"/>
      <c r="AD59" s="29"/>
      <c r="AE59" s="29"/>
      <c r="AF59" s="29"/>
      <c r="AG59" s="29"/>
      <c r="AH59">
        <f t="shared" si="3"/>
        <v>466.96163174267969</v>
      </c>
      <c r="AI59" s="31">
        <f t="shared" si="4"/>
        <v>-51365779.491694771</v>
      </c>
    </row>
    <row r="60" spans="1:35" x14ac:dyDescent="0.35">
      <c r="A60" s="33">
        <v>2041</v>
      </c>
      <c r="B60" s="19">
        <v>148.50570180153201</v>
      </c>
      <c r="C60" s="32">
        <f t="shared" si="2"/>
        <v>67.505701801532012</v>
      </c>
      <c r="D60" s="32">
        <v>62.701907918896012</v>
      </c>
      <c r="E60" s="32">
        <v>57.961365465949001</v>
      </c>
      <c r="F60" s="32">
        <v>53.935955123441005</v>
      </c>
      <c r="G60" s="32">
        <v>48.260986280617999</v>
      </c>
      <c r="H60" s="32">
        <v>42.824263147525002</v>
      </c>
      <c r="I60" s="32">
        <v>37.645525994848001</v>
      </c>
      <c r="J60" s="32">
        <v>32.743724685930005</v>
      </c>
      <c r="K60" s="32">
        <v>28.136881851566002</v>
      </c>
      <c r="L60" s="32">
        <v>23.841893145308006</v>
      </c>
      <c r="M60" s="32">
        <v>19.874258151611002</v>
      </c>
      <c r="N60" s="32">
        <v>16.247829059997699</v>
      </c>
      <c r="O60" s="32">
        <v>12.974464524078101</v>
      </c>
      <c r="P60" s="32">
        <v>10.063650791268699</v>
      </c>
      <c r="Q60" s="32">
        <v>7.5221158211264054</v>
      </c>
      <c r="R60" s="32">
        <v>5.3533748649731052</v>
      </c>
      <c r="S60" s="32">
        <v>3.557310851913897</v>
      </c>
      <c r="T60" s="32">
        <v>2.1297006867715993</v>
      </c>
      <c r="U60" s="32">
        <v>1.0617264425161039</v>
      </c>
      <c r="V60" s="32">
        <v>0.33934910018139419</v>
      </c>
      <c r="W60" s="32">
        <v>-5.7590111926799636E-2</v>
      </c>
      <c r="X60" s="32">
        <v>-0.15706205391249739</v>
      </c>
      <c r="AB60" s="29"/>
      <c r="AC60" s="29"/>
      <c r="AD60" s="29"/>
      <c r="AE60" s="29"/>
      <c r="AF60" s="29"/>
      <c r="AG60" s="29"/>
      <c r="AH60">
        <f t="shared" si="3"/>
        <v>534.46733354421178</v>
      </c>
      <c r="AI60" s="31">
        <f t="shared" si="4"/>
        <v>-58791406.689863294</v>
      </c>
    </row>
    <row r="61" spans="1:35" x14ac:dyDescent="0.35">
      <c r="A61" s="33">
        <v>2042</v>
      </c>
      <c r="B61" s="19">
        <v>153.351867485936</v>
      </c>
      <c r="C61" s="32">
        <f t="shared" si="2"/>
        <v>72.351867485935998</v>
      </c>
      <c r="D61" s="32">
        <v>67.505701801532012</v>
      </c>
      <c r="E61" s="32">
        <v>62.701907918896012</v>
      </c>
      <c r="F61" s="32">
        <v>57.961365465949001</v>
      </c>
      <c r="G61" s="32">
        <v>53.935955123441005</v>
      </c>
      <c r="H61" s="32">
        <v>48.260986280617999</v>
      </c>
      <c r="I61" s="32">
        <v>42.824263147525002</v>
      </c>
      <c r="J61" s="32">
        <v>37.645525994848001</v>
      </c>
      <c r="K61" s="32">
        <v>32.743724685930005</v>
      </c>
      <c r="L61" s="32">
        <v>28.136881851566002</v>
      </c>
      <c r="M61" s="32">
        <v>23.841893145308006</v>
      </c>
      <c r="N61" s="32">
        <v>19.874258151611002</v>
      </c>
      <c r="O61" s="32">
        <v>16.247829059997699</v>
      </c>
      <c r="P61" s="32">
        <v>12.974464524078101</v>
      </c>
      <c r="Q61" s="32">
        <v>10.063650791268699</v>
      </c>
      <c r="R61" s="32">
        <v>7.5221158211264054</v>
      </c>
      <c r="S61" s="32">
        <v>5.3533748649731052</v>
      </c>
      <c r="T61" s="32">
        <v>3.557310851913897</v>
      </c>
      <c r="U61" s="32">
        <v>2.1297006867715993</v>
      </c>
      <c r="V61" s="32">
        <v>1.0617264425161039</v>
      </c>
      <c r="W61" s="32">
        <v>0.33934910018139419</v>
      </c>
      <c r="X61" s="32">
        <v>-5.7590111926799636E-2</v>
      </c>
      <c r="Y61" s="32">
        <v>-0.15706205391249739</v>
      </c>
      <c r="AC61" s="29"/>
      <c r="AD61" s="29"/>
      <c r="AE61" s="29"/>
      <c r="AF61" s="29"/>
      <c r="AG61" s="29"/>
      <c r="AH61">
        <f t="shared" si="3"/>
        <v>606.81920103014784</v>
      </c>
      <c r="AI61" s="31">
        <f t="shared" si="4"/>
        <v>-66750112.11331626</v>
      </c>
    </row>
    <row r="62" spans="1:35" x14ac:dyDescent="0.35">
      <c r="A62" s="33">
        <v>2043</v>
      </c>
      <c r="B62" s="19">
        <v>159.69199848313701</v>
      </c>
      <c r="C62" s="32">
        <f t="shared" si="2"/>
        <v>78.691998483137013</v>
      </c>
      <c r="D62" s="32">
        <v>72.351867485935998</v>
      </c>
      <c r="E62" s="32">
        <v>67.505701801532012</v>
      </c>
      <c r="F62" s="32">
        <v>62.701907918896012</v>
      </c>
      <c r="G62" s="32">
        <v>57.961365465949001</v>
      </c>
      <c r="H62" s="32">
        <v>53.935955123441005</v>
      </c>
      <c r="I62" s="32">
        <v>48.260986280617999</v>
      </c>
      <c r="J62" s="32">
        <v>42.824263147525002</v>
      </c>
      <c r="K62" s="32">
        <v>37.645525994848001</v>
      </c>
      <c r="L62" s="32">
        <v>32.743724685930005</v>
      </c>
      <c r="M62" s="32">
        <v>28.136881851566002</v>
      </c>
      <c r="N62" s="32">
        <v>23.841893145308006</v>
      </c>
      <c r="O62" s="32">
        <v>19.874258151611002</v>
      </c>
      <c r="P62" s="32">
        <v>16.247829059997699</v>
      </c>
      <c r="Q62" s="32">
        <v>12.974464524078101</v>
      </c>
      <c r="R62" s="32">
        <v>10.063650791268699</v>
      </c>
      <c r="S62" s="32">
        <v>7.5221158211264054</v>
      </c>
      <c r="T62" s="32">
        <v>5.3533748649731052</v>
      </c>
      <c r="U62" s="32">
        <v>3.557310851913897</v>
      </c>
      <c r="V62" s="32">
        <v>2.1297006867715993</v>
      </c>
      <c r="W62" s="32">
        <v>1.0617264425161039</v>
      </c>
      <c r="X62" s="32">
        <v>0.33934910018139419</v>
      </c>
      <c r="Y62" s="32">
        <v>-5.7590111926799636E-2</v>
      </c>
      <c r="Z62" s="32">
        <v>-0.15706205391249739</v>
      </c>
      <c r="AD62" s="29"/>
      <c r="AE62" s="29"/>
      <c r="AF62" s="29"/>
      <c r="AG62" s="29"/>
      <c r="AH62">
        <f t="shared" si="3"/>
        <v>685.51119951328485</v>
      </c>
      <c r="AI62" s="31">
        <f t="shared" si="4"/>
        <v>-75406231.946461335</v>
      </c>
    </row>
    <row r="63" spans="1:35" x14ac:dyDescent="0.35">
      <c r="A63" s="33">
        <v>2044</v>
      </c>
      <c r="B63" s="19">
        <v>165.83216608057899</v>
      </c>
      <c r="C63" s="32">
        <f t="shared" si="2"/>
        <v>84.832166080578986</v>
      </c>
      <c r="D63" s="32">
        <v>78.691998483137013</v>
      </c>
      <c r="E63" s="32">
        <v>72.351867485935998</v>
      </c>
      <c r="F63" s="32">
        <v>67.505701801532012</v>
      </c>
      <c r="G63" s="32">
        <v>62.701907918896012</v>
      </c>
      <c r="H63" s="32">
        <v>57.961365465949001</v>
      </c>
      <c r="I63" s="32">
        <v>53.935955123441005</v>
      </c>
      <c r="J63" s="32">
        <v>48.260986280617999</v>
      </c>
      <c r="K63" s="32">
        <v>42.824263147525002</v>
      </c>
      <c r="L63" s="32">
        <v>37.645525994848001</v>
      </c>
      <c r="M63" s="32">
        <v>32.743724685930005</v>
      </c>
      <c r="N63" s="32">
        <v>28.136881851566002</v>
      </c>
      <c r="O63" s="32">
        <v>23.841893145308006</v>
      </c>
      <c r="P63" s="32">
        <v>19.874258151611002</v>
      </c>
      <c r="Q63" s="32">
        <v>16.247829059997699</v>
      </c>
      <c r="R63" s="32">
        <v>12.974464524078101</v>
      </c>
      <c r="S63" s="32">
        <v>10.063650791268699</v>
      </c>
      <c r="T63" s="32">
        <v>7.5221158211264054</v>
      </c>
      <c r="U63" s="32">
        <v>5.3533748649731052</v>
      </c>
      <c r="V63" s="32">
        <v>3.557310851913897</v>
      </c>
      <c r="W63" s="32">
        <v>2.1297006867715993</v>
      </c>
      <c r="X63" s="32">
        <v>1.0617264425161039</v>
      </c>
      <c r="Y63" s="32">
        <v>0.33934910018139419</v>
      </c>
      <c r="Z63" s="32">
        <v>-5.7590111926799636E-2</v>
      </c>
      <c r="AA63" s="32">
        <v>-0.15706205391249739</v>
      </c>
      <c r="AE63" s="29"/>
      <c r="AF63" s="29"/>
      <c r="AG63" s="29"/>
      <c r="AH63">
        <f t="shared" si="3"/>
        <v>770.34336559386395</v>
      </c>
      <c r="AI63" s="31">
        <f t="shared" si="4"/>
        <v>-84737770.215325028</v>
      </c>
    </row>
    <row r="64" spans="1:35" x14ac:dyDescent="0.35">
      <c r="A64" s="33">
        <v>2045</v>
      </c>
      <c r="B64" s="19">
        <v>175.45460977085</v>
      </c>
      <c r="C64" s="32">
        <f t="shared" si="2"/>
        <v>94.454609770849999</v>
      </c>
      <c r="D64" s="32">
        <v>84.832166080578986</v>
      </c>
      <c r="E64" s="32">
        <v>78.691998483137013</v>
      </c>
      <c r="F64" s="32">
        <v>72.351867485935998</v>
      </c>
      <c r="G64" s="32">
        <v>67.505701801532012</v>
      </c>
      <c r="H64" s="32">
        <v>62.701907918896012</v>
      </c>
      <c r="I64" s="32">
        <v>57.961365465949001</v>
      </c>
      <c r="J64" s="32">
        <v>53.935955123441005</v>
      </c>
      <c r="K64" s="32">
        <v>48.260986280617999</v>
      </c>
      <c r="L64" s="32">
        <v>42.824263147525002</v>
      </c>
      <c r="M64" s="32">
        <v>37.645525994848001</v>
      </c>
      <c r="N64" s="32">
        <v>32.743724685930005</v>
      </c>
      <c r="O64" s="32">
        <v>28.136881851566002</v>
      </c>
      <c r="P64" s="32">
        <v>23.841893145308006</v>
      </c>
      <c r="Q64" s="32">
        <v>19.874258151611002</v>
      </c>
      <c r="R64" s="32">
        <v>16.247829059997699</v>
      </c>
      <c r="S64" s="32">
        <v>12.974464524078101</v>
      </c>
      <c r="T64" s="32">
        <v>10.063650791268699</v>
      </c>
      <c r="U64" s="32">
        <v>7.5221158211264054</v>
      </c>
      <c r="V64" s="32">
        <v>5.3533748649731052</v>
      </c>
      <c r="W64" s="32">
        <v>3.557310851913897</v>
      </c>
      <c r="X64" s="32">
        <v>2.1297006867715993</v>
      </c>
      <c r="Y64" s="32">
        <v>1.0617264425161039</v>
      </c>
      <c r="Z64" s="32">
        <v>0.33934910018139419</v>
      </c>
      <c r="AA64" s="32">
        <v>-5.7590111926799636E-2</v>
      </c>
      <c r="AB64" s="32">
        <v>-0.15706205391249739</v>
      </c>
      <c r="AF64" s="29"/>
      <c r="AG64" s="29"/>
      <c r="AH64">
        <f t="shared" si="3"/>
        <v>864.79797536471381</v>
      </c>
      <c r="AI64" s="31">
        <f t="shared" si="4"/>
        <v>-95127777.29011853</v>
      </c>
    </row>
    <row r="65" spans="1:35" x14ac:dyDescent="0.35">
      <c r="A65" s="33">
        <v>2046</v>
      </c>
      <c r="B65" s="19">
        <v>184.96710145179199</v>
      </c>
      <c r="C65" s="32">
        <f t="shared" si="2"/>
        <v>103.96710145179199</v>
      </c>
      <c r="D65" s="32">
        <v>94.454609770849999</v>
      </c>
      <c r="E65" s="32">
        <v>84.832166080578986</v>
      </c>
      <c r="F65" s="32">
        <v>78.691998483137013</v>
      </c>
      <c r="G65" s="32">
        <v>72.351867485935998</v>
      </c>
      <c r="H65" s="32">
        <v>67.505701801532012</v>
      </c>
      <c r="I65" s="32">
        <v>62.701907918896012</v>
      </c>
      <c r="J65" s="32">
        <v>57.961365465949001</v>
      </c>
      <c r="K65" s="32">
        <v>53.935955123441005</v>
      </c>
      <c r="L65" s="32">
        <v>48.260986280617999</v>
      </c>
      <c r="M65" s="32">
        <v>42.824263147525002</v>
      </c>
      <c r="N65" s="32">
        <v>37.645525994848001</v>
      </c>
      <c r="O65" s="32">
        <v>32.743724685930005</v>
      </c>
      <c r="P65" s="32">
        <v>28.136881851566002</v>
      </c>
      <c r="Q65" s="32">
        <v>23.841893145308006</v>
      </c>
      <c r="R65" s="32">
        <v>19.874258151611002</v>
      </c>
      <c r="S65" s="32">
        <v>16.247829059997699</v>
      </c>
      <c r="T65" s="32">
        <v>12.974464524078101</v>
      </c>
      <c r="U65" s="32">
        <v>10.063650791268699</v>
      </c>
      <c r="V65" s="32">
        <v>7.5221158211264054</v>
      </c>
      <c r="W65" s="32">
        <v>5.3533748649731052</v>
      </c>
      <c r="X65" s="32">
        <v>3.557310851913897</v>
      </c>
      <c r="Y65" s="32">
        <v>2.1297006867715993</v>
      </c>
      <c r="Z65" s="32">
        <v>1.0617264425161039</v>
      </c>
      <c r="AA65" s="32">
        <v>0.33934910018139419</v>
      </c>
      <c r="AB65" s="32">
        <v>-5.7590111926799636E-2</v>
      </c>
      <c r="AC65" s="32">
        <v>-0.15706205391249739</v>
      </c>
      <c r="AG65" s="29"/>
      <c r="AH65">
        <f t="shared" si="3"/>
        <v>968.76507681650594</v>
      </c>
      <c r="AI65" s="31">
        <f t="shared" si="4"/>
        <v>-106564158.44981565</v>
      </c>
    </row>
    <row r="66" spans="1:35" x14ac:dyDescent="0.35">
      <c r="A66" s="33">
        <v>2047</v>
      </c>
      <c r="B66" s="19">
        <v>194.39023962253299</v>
      </c>
      <c r="C66" s="32">
        <f t="shared" si="2"/>
        <v>113.39023962253299</v>
      </c>
      <c r="D66" s="32">
        <v>103.96710145179199</v>
      </c>
      <c r="E66" s="32">
        <v>94.454609770849999</v>
      </c>
      <c r="F66" s="32">
        <v>84.832166080578986</v>
      </c>
      <c r="G66" s="32">
        <v>78.691998483137013</v>
      </c>
      <c r="H66" s="32">
        <v>72.351867485935998</v>
      </c>
      <c r="I66" s="32">
        <v>67.505701801532012</v>
      </c>
      <c r="J66" s="32">
        <v>62.701907918896012</v>
      </c>
      <c r="K66" s="32">
        <v>57.961365465949001</v>
      </c>
      <c r="L66" s="32">
        <v>53.935955123441005</v>
      </c>
      <c r="M66" s="32">
        <v>48.260986280617999</v>
      </c>
      <c r="N66" s="32">
        <v>42.824263147525002</v>
      </c>
      <c r="O66" s="32">
        <v>37.645525994848001</v>
      </c>
      <c r="P66" s="32">
        <v>32.743724685930005</v>
      </c>
      <c r="Q66" s="32">
        <v>28.136881851566002</v>
      </c>
      <c r="R66" s="32">
        <v>23.841893145308006</v>
      </c>
      <c r="S66" s="32">
        <v>19.874258151611002</v>
      </c>
      <c r="T66" s="32">
        <v>16.247829059997699</v>
      </c>
      <c r="U66" s="32">
        <v>12.974464524078101</v>
      </c>
      <c r="V66" s="32">
        <v>10.063650791268699</v>
      </c>
      <c r="W66" s="32">
        <v>7.5221158211264054</v>
      </c>
      <c r="X66" s="32">
        <v>5.3533748649731052</v>
      </c>
      <c r="Y66" s="32">
        <v>3.557310851913897</v>
      </c>
      <c r="Z66" s="32">
        <v>2.1297006867715993</v>
      </c>
      <c r="AA66" s="32">
        <v>1.0617264425161039</v>
      </c>
      <c r="AB66" s="32">
        <v>0.33934910018139419</v>
      </c>
      <c r="AC66" s="32">
        <v>-5.7590111926799636E-2</v>
      </c>
      <c r="AD66" s="32">
        <v>-0.15706205391249739</v>
      </c>
      <c r="AH66">
        <f t="shared" si="3"/>
        <v>1082.1553164390386</v>
      </c>
      <c r="AI66" s="31">
        <f t="shared" si="4"/>
        <v>-119037084.80829425</v>
      </c>
    </row>
    <row r="67" spans="1:35" x14ac:dyDescent="0.35">
      <c r="A67" s="33">
        <v>2048</v>
      </c>
      <c r="B67" s="19">
        <v>203.73944482001701</v>
      </c>
      <c r="C67" s="32">
        <f t="shared" si="2"/>
        <v>122.73944482001701</v>
      </c>
      <c r="D67" s="32">
        <v>113.39023962253299</v>
      </c>
      <c r="E67" s="32">
        <v>103.96710145179199</v>
      </c>
      <c r="F67" s="32">
        <v>94.454609770849999</v>
      </c>
      <c r="G67" s="32">
        <v>84.832166080578986</v>
      </c>
      <c r="H67" s="32">
        <v>78.691998483137013</v>
      </c>
      <c r="I67" s="32">
        <v>72.351867485935998</v>
      </c>
      <c r="J67" s="32">
        <v>67.505701801532012</v>
      </c>
      <c r="K67" s="32">
        <v>62.701907918896012</v>
      </c>
      <c r="L67" s="32">
        <v>57.961365465949001</v>
      </c>
      <c r="M67" s="32">
        <v>53.935955123441005</v>
      </c>
      <c r="N67" s="32">
        <v>48.260986280617999</v>
      </c>
      <c r="O67" s="32">
        <v>42.824263147525002</v>
      </c>
      <c r="P67" s="32">
        <v>37.645525994848001</v>
      </c>
      <c r="Q67" s="32">
        <v>32.743724685930005</v>
      </c>
      <c r="R67" s="32">
        <v>28.136881851566002</v>
      </c>
      <c r="S67" s="32">
        <v>23.841893145308006</v>
      </c>
      <c r="T67" s="32">
        <v>19.874258151611002</v>
      </c>
      <c r="U67" s="32">
        <v>16.247829059997699</v>
      </c>
      <c r="V67" s="32">
        <v>12.974464524078101</v>
      </c>
      <c r="W67" s="32">
        <v>10.063650791268699</v>
      </c>
      <c r="X67" s="32">
        <v>7.5221158211264054</v>
      </c>
      <c r="Y67" s="32">
        <v>5.3533748649731052</v>
      </c>
      <c r="Z67" s="32">
        <v>3.557310851913897</v>
      </c>
      <c r="AA67" s="32">
        <v>2.1297006867715993</v>
      </c>
      <c r="AB67" s="32">
        <v>1.0617264425161039</v>
      </c>
      <c r="AC67" s="32">
        <v>0.33934910018139419</v>
      </c>
      <c r="AD67" s="32">
        <v>-5.7590111926799636E-2</v>
      </c>
      <c r="AE67" s="32">
        <v>-0.15706205391249739</v>
      </c>
      <c r="AH67">
        <f t="shared" si="3"/>
        <v>1204.8947612590555</v>
      </c>
      <c r="AI67" s="31">
        <f t="shared" si="4"/>
        <v>-132538423.73849608</v>
      </c>
    </row>
    <row r="68" spans="1:35" x14ac:dyDescent="0.35">
      <c r="A68" s="33">
        <v>2049</v>
      </c>
      <c r="B68" s="19">
        <v>213.02668470951701</v>
      </c>
      <c r="C68" s="32">
        <f t="shared" si="2"/>
        <v>132.02668470951701</v>
      </c>
      <c r="D68" s="32">
        <v>122.73944482001701</v>
      </c>
      <c r="E68" s="32">
        <v>113.39023962253299</v>
      </c>
      <c r="F68" s="32">
        <v>103.96710145179199</v>
      </c>
      <c r="G68" s="32">
        <v>94.454609770849999</v>
      </c>
      <c r="H68" s="32">
        <v>84.832166080578986</v>
      </c>
      <c r="I68" s="32">
        <v>78.691998483137013</v>
      </c>
      <c r="J68" s="32">
        <v>72.351867485935998</v>
      </c>
      <c r="K68" s="32">
        <v>67.505701801532012</v>
      </c>
      <c r="L68" s="32">
        <v>62.701907918896012</v>
      </c>
      <c r="M68" s="32">
        <v>57.961365465949001</v>
      </c>
      <c r="N68" s="32">
        <v>53.935955123441005</v>
      </c>
      <c r="O68" s="32">
        <v>48.260986280617999</v>
      </c>
      <c r="P68" s="32">
        <v>42.824263147525002</v>
      </c>
      <c r="Q68" s="32">
        <v>37.645525994848001</v>
      </c>
      <c r="R68" s="32">
        <v>32.743724685930005</v>
      </c>
      <c r="S68" s="32">
        <v>28.136881851566002</v>
      </c>
      <c r="T68" s="32">
        <v>23.841893145308006</v>
      </c>
      <c r="U68" s="32">
        <v>19.874258151611002</v>
      </c>
      <c r="V68" s="32">
        <v>16.247829059997699</v>
      </c>
      <c r="W68" s="32">
        <v>12.974464524078101</v>
      </c>
      <c r="X68" s="32">
        <v>10.063650791268699</v>
      </c>
      <c r="Y68" s="32">
        <v>7.5221158211264054</v>
      </c>
      <c r="Z68" s="32">
        <v>5.3533748649731052</v>
      </c>
      <c r="AA68" s="32">
        <v>3.557310851913897</v>
      </c>
      <c r="AB68" s="32">
        <v>2.1297006867715993</v>
      </c>
      <c r="AC68" s="32">
        <v>1.0617264425161039</v>
      </c>
      <c r="AD68" s="32">
        <v>0.33934910018139419</v>
      </c>
      <c r="AE68" s="32">
        <v>-5.7590111926799636E-2</v>
      </c>
      <c r="AF68" s="32">
        <v>-0.15706205391249739</v>
      </c>
      <c r="AH68">
        <f t="shared" si="3"/>
        <v>1336.9214459685725</v>
      </c>
      <c r="AI68" s="31">
        <f t="shared" si="4"/>
        <v>-147061359.05654296</v>
      </c>
    </row>
    <row r="69" spans="1:35" x14ac:dyDescent="0.35">
      <c r="A69" s="33">
        <v>2050</v>
      </c>
      <c r="B69" s="19">
        <v>219.105445851219</v>
      </c>
      <c r="C69" s="32">
        <f t="shared" si="2"/>
        <v>138.105445851219</v>
      </c>
      <c r="D69" s="32">
        <v>132.02668470951701</v>
      </c>
      <c r="E69" s="32">
        <v>122.73944482001701</v>
      </c>
      <c r="F69" s="32">
        <v>113.39023962253299</v>
      </c>
      <c r="G69" s="32">
        <v>103.96710145179199</v>
      </c>
      <c r="H69" s="32">
        <v>94.454609770849999</v>
      </c>
      <c r="I69" s="32">
        <v>84.832166080578986</v>
      </c>
      <c r="J69" s="32">
        <v>78.691998483137013</v>
      </c>
      <c r="K69" s="32">
        <v>72.351867485935998</v>
      </c>
      <c r="L69" s="32">
        <v>67.505701801532012</v>
      </c>
      <c r="M69" s="32">
        <v>62.701907918896012</v>
      </c>
      <c r="N69" s="32">
        <v>57.961365465949001</v>
      </c>
      <c r="O69" s="32">
        <v>53.935955123441005</v>
      </c>
      <c r="P69" s="32">
        <v>48.260986280617999</v>
      </c>
      <c r="Q69" s="32">
        <v>42.824263147525002</v>
      </c>
      <c r="R69" s="32">
        <v>37.645525994848001</v>
      </c>
      <c r="S69" s="32">
        <v>32.743724685930005</v>
      </c>
      <c r="T69" s="32">
        <v>28.136881851566002</v>
      </c>
      <c r="U69" s="32">
        <v>23.841893145308006</v>
      </c>
      <c r="V69" s="32">
        <v>19.874258151611002</v>
      </c>
      <c r="W69" s="32">
        <v>16.247829059997699</v>
      </c>
      <c r="X69" s="32">
        <v>12.974464524078101</v>
      </c>
      <c r="Y69" s="32">
        <v>10.063650791268699</v>
      </c>
      <c r="Z69" s="32">
        <v>7.5221158211264054</v>
      </c>
      <c r="AA69" s="32">
        <v>5.3533748649731052</v>
      </c>
      <c r="AB69" s="32">
        <v>3.557310851913897</v>
      </c>
      <c r="AC69" s="32">
        <v>2.1297006867715993</v>
      </c>
      <c r="AD69" s="32">
        <v>1.0617264425161039</v>
      </c>
      <c r="AE69" s="32">
        <v>0.33934910018139419</v>
      </c>
      <c r="AF69" s="32">
        <v>-5.7590111926799636E-2</v>
      </c>
      <c r="AG69" s="32">
        <v>-0.15706205391249739</v>
      </c>
      <c r="AH69">
        <f t="shared" si="3"/>
        <v>1475.0268918197914</v>
      </c>
      <c r="AI69" s="31">
        <f t="shared" si="4"/>
        <v>-162252958.10017708</v>
      </c>
    </row>
    <row r="70" spans="1:35" x14ac:dyDescent="0.35">
      <c r="A70" s="33"/>
      <c r="D70" s="32"/>
      <c r="E70" s="32"/>
      <c r="F70" s="32"/>
      <c r="G70" s="32"/>
      <c r="H70" s="32"/>
      <c r="I70" s="32"/>
      <c r="J70" s="32"/>
      <c r="K70" s="32"/>
      <c r="L70" s="32"/>
      <c r="M70" s="32"/>
      <c r="N70" s="32"/>
      <c r="O70" s="32"/>
      <c r="P70" s="32"/>
      <c r="Q70" s="32"/>
      <c r="R70" s="32"/>
      <c r="S70" s="32"/>
      <c r="T70" s="32"/>
      <c r="U70" s="32"/>
      <c r="V70" s="32"/>
      <c r="W70" s="32"/>
      <c r="X70" s="32"/>
      <c r="Y70" s="32"/>
      <c r="Z70" s="32"/>
      <c r="AA70" s="32"/>
      <c r="AB70" s="32"/>
      <c r="AC70" s="32"/>
      <c r="AD70" s="32"/>
      <c r="AE70" s="32"/>
      <c r="AF70" s="32"/>
      <c r="AG70" s="32"/>
      <c r="AH70" s="31">
        <f>AH69*30000*44/12</f>
        <v>162252958.10017708</v>
      </c>
    </row>
    <row r="71" spans="1:35" x14ac:dyDescent="0.35">
      <c r="E71" s="32"/>
      <c r="F71" s="32"/>
      <c r="G71" s="32"/>
      <c r="H71" s="32"/>
      <c r="I71" s="32"/>
      <c r="J71" s="32"/>
      <c r="K71" s="32"/>
      <c r="L71" s="32"/>
      <c r="M71" s="32"/>
      <c r="N71" s="32"/>
      <c r="O71" s="32"/>
      <c r="P71" s="32"/>
      <c r="Q71" s="32"/>
      <c r="R71" s="32"/>
      <c r="S71" s="32"/>
      <c r="T71" s="32"/>
      <c r="U71" s="32"/>
      <c r="V71" s="32"/>
      <c r="W71" s="32"/>
      <c r="X71" s="32"/>
      <c r="Y71" s="32"/>
      <c r="Z71" s="32"/>
      <c r="AA71" s="32"/>
      <c r="AB71" s="32"/>
      <c r="AC71" s="32"/>
      <c r="AD71" s="32"/>
      <c r="AE71" s="32"/>
      <c r="AF71" s="32"/>
      <c r="AG71" s="32"/>
    </row>
    <row r="72" spans="1:35" x14ac:dyDescent="0.35">
      <c r="F72" s="32"/>
      <c r="G72" s="32"/>
      <c r="H72" s="32"/>
      <c r="I72" s="32"/>
      <c r="J72" s="32"/>
      <c r="K72" s="32"/>
      <c r="L72" s="32"/>
      <c r="M72" s="32"/>
      <c r="N72" s="32"/>
      <c r="O72" s="32"/>
      <c r="P72" s="32"/>
      <c r="Q72" s="32"/>
      <c r="R72" s="32"/>
      <c r="S72" s="32"/>
      <c r="T72" s="32"/>
      <c r="U72" s="32"/>
      <c r="V72" s="32"/>
      <c r="W72" s="32"/>
      <c r="X72" s="32"/>
      <c r="Y72" s="32"/>
      <c r="Z72" s="32"/>
      <c r="AA72" s="32"/>
      <c r="AB72" s="32"/>
      <c r="AC72" s="32"/>
      <c r="AD72" s="32"/>
      <c r="AE72" s="32"/>
      <c r="AF72" s="32"/>
      <c r="AG72" s="32"/>
    </row>
    <row r="73" spans="1:35" x14ac:dyDescent="0.35">
      <c r="G73" s="32"/>
      <c r="H73" s="32"/>
      <c r="I73" s="32"/>
      <c r="J73" s="32"/>
      <c r="K73" s="32"/>
      <c r="L73" s="32"/>
      <c r="M73" s="32"/>
      <c r="N73" s="32"/>
      <c r="O73" s="32"/>
      <c r="P73" s="32"/>
      <c r="Q73" s="32"/>
      <c r="R73" s="32"/>
      <c r="S73" s="32"/>
      <c r="T73" s="32"/>
      <c r="U73" s="32"/>
      <c r="V73" s="32"/>
      <c r="W73" s="32"/>
      <c r="X73" s="32"/>
      <c r="Y73" s="32"/>
      <c r="Z73" s="32"/>
      <c r="AA73" s="32"/>
      <c r="AB73" s="32"/>
      <c r="AC73" s="32"/>
      <c r="AD73" s="32"/>
      <c r="AE73" s="32"/>
      <c r="AF73" s="32"/>
      <c r="AG73" s="32"/>
    </row>
    <row r="74" spans="1:35" x14ac:dyDescent="0.35">
      <c r="H74" s="32"/>
      <c r="I74" s="32"/>
      <c r="J74" s="32"/>
      <c r="K74" s="32"/>
      <c r="L74" s="32"/>
      <c r="M74" s="32"/>
      <c r="N74" s="32"/>
      <c r="O74" s="32"/>
      <c r="P74" s="32"/>
      <c r="Q74" s="32"/>
      <c r="R74" s="32"/>
      <c r="S74" s="32"/>
      <c r="T74" s="32"/>
      <c r="U74" s="32"/>
      <c r="V74" s="32"/>
      <c r="W74" s="32"/>
      <c r="X74" s="32"/>
      <c r="Y74" s="32"/>
      <c r="Z74" s="32"/>
      <c r="AA74" s="32"/>
      <c r="AB74" s="32"/>
      <c r="AC74" s="32"/>
      <c r="AD74" s="32"/>
      <c r="AE74" s="32"/>
      <c r="AF74" s="32"/>
      <c r="AG74" s="32"/>
    </row>
    <row r="75" spans="1:35" x14ac:dyDescent="0.35">
      <c r="I75" s="32"/>
      <c r="J75" s="32"/>
      <c r="K75" s="32"/>
      <c r="L75" s="32"/>
      <c r="M75" s="32"/>
      <c r="N75" s="32"/>
      <c r="O75" s="32"/>
      <c r="P75" s="32"/>
      <c r="Q75" s="32"/>
      <c r="R75" s="32"/>
      <c r="S75" s="32"/>
      <c r="T75" s="32"/>
      <c r="U75" s="32"/>
      <c r="V75" s="32"/>
      <c r="W75" s="32"/>
      <c r="X75" s="32"/>
      <c r="Y75" s="32"/>
      <c r="Z75" s="32"/>
      <c r="AA75" s="32"/>
      <c r="AB75" s="32"/>
      <c r="AC75" s="32"/>
      <c r="AD75" s="32"/>
      <c r="AE75" s="32"/>
      <c r="AF75" s="32"/>
      <c r="AG75" s="32"/>
    </row>
    <row r="76" spans="1:35" x14ac:dyDescent="0.35">
      <c r="J76" s="32"/>
      <c r="K76" s="32"/>
      <c r="L76" s="32"/>
      <c r="M76" s="32"/>
      <c r="N76" s="32"/>
      <c r="O76" s="32"/>
      <c r="P76" s="32"/>
      <c r="Q76" s="32"/>
      <c r="R76" s="32"/>
      <c r="S76" s="32"/>
      <c r="T76" s="32"/>
      <c r="U76" s="32"/>
      <c r="V76" s="32"/>
      <c r="W76" s="32"/>
      <c r="X76" s="32"/>
      <c r="Y76" s="32"/>
      <c r="Z76" s="32"/>
      <c r="AA76" s="32"/>
      <c r="AB76" s="32"/>
      <c r="AC76" s="32"/>
      <c r="AD76" s="32"/>
      <c r="AE76" s="32"/>
      <c r="AF76" s="32"/>
      <c r="AG76" s="32"/>
    </row>
    <row r="77" spans="1:35" x14ac:dyDescent="0.35">
      <c r="K77" s="32"/>
      <c r="L77" s="32"/>
      <c r="M77" s="32"/>
      <c r="N77" s="32"/>
      <c r="O77" s="32"/>
      <c r="P77" s="32"/>
      <c r="Q77" s="32"/>
      <c r="R77" s="32"/>
      <c r="S77" s="32"/>
      <c r="T77" s="32"/>
      <c r="U77" s="32"/>
      <c r="V77" s="32"/>
      <c r="W77" s="32"/>
      <c r="X77" s="32"/>
      <c r="Y77" s="32"/>
      <c r="Z77" s="32"/>
      <c r="AA77" s="32"/>
      <c r="AB77" s="32"/>
      <c r="AC77" s="32"/>
      <c r="AD77" s="32"/>
      <c r="AE77" s="32"/>
      <c r="AF77" s="32"/>
      <c r="AG77" s="32"/>
    </row>
    <row r="78" spans="1:35" x14ac:dyDescent="0.35">
      <c r="L78" s="32"/>
      <c r="M78" s="32"/>
      <c r="N78" s="32"/>
      <c r="O78" s="32"/>
      <c r="P78" s="32"/>
      <c r="Q78" s="32"/>
      <c r="R78" s="32"/>
      <c r="S78" s="32"/>
      <c r="T78" s="32"/>
      <c r="U78" s="32"/>
      <c r="V78" s="32"/>
      <c r="W78" s="32"/>
      <c r="X78" s="32"/>
      <c r="Y78" s="32"/>
      <c r="Z78" s="32"/>
      <c r="AA78" s="32"/>
      <c r="AB78" s="32"/>
      <c r="AC78" s="32"/>
      <c r="AD78" s="32"/>
      <c r="AE78" s="32"/>
      <c r="AF78" s="32"/>
      <c r="AG78" s="32"/>
    </row>
    <row r="79" spans="1:35" x14ac:dyDescent="0.35">
      <c r="M79" s="32"/>
      <c r="N79" s="32"/>
      <c r="O79" s="32"/>
      <c r="P79" s="32"/>
      <c r="Q79" s="32"/>
      <c r="R79" s="32"/>
      <c r="S79" s="32"/>
      <c r="T79" s="32"/>
      <c r="U79" s="32"/>
      <c r="V79" s="32"/>
      <c r="W79" s="32"/>
      <c r="X79" s="32"/>
      <c r="Y79" s="32"/>
      <c r="Z79" s="32"/>
      <c r="AA79" s="32"/>
      <c r="AB79" s="32"/>
      <c r="AC79" s="32"/>
      <c r="AD79" s="32"/>
      <c r="AE79" s="32"/>
      <c r="AF79" s="32"/>
      <c r="AG79" s="32"/>
    </row>
    <row r="80" spans="1:35" x14ac:dyDescent="0.35">
      <c r="N80" s="32"/>
      <c r="O80" s="32"/>
      <c r="P80" s="32"/>
      <c r="Q80" s="32"/>
      <c r="R80" s="32"/>
      <c r="S80" s="32"/>
      <c r="T80" s="32"/>
      <c r="U80" s="32"/>
      <c r="V80" s="32"/>
      <c r="W80" s="32"/>
      <c r="X80" s="32"/>
      <c r="Y80" s="32"/>
      <c r="Z80" s="32"/>
      <c r="AA80" s="32"/>
      <c r="AB80" s="32"/>
      <c r="AC80" s="32"/>
      <c r="AD80" s="32"/>
      <c r="AE80" s="32"/>
      <c r="AF80" s="32"/>
      <c r="AG80" s="32"/>
    </row>
    <row r="81" spans="15:33" x14ac:dyDescent="0.35">
      <c r="O81" s="32"/>
      <c r="P81" s="32"/>
      <c r="Q81" s="32"/>
      <c r="R81" s="32"/>
      <c r="S81" s="32"/>
      <c r="T81" s="32"/>
      <c r="U81" s="32"/>
      <c r="V81" s="32"/>
      <c r="W81" s="32"/>
      <c r="X81" s="32"/>
      <c r="Y81" s="32"/>
      <c r="Z81" s="32"/>
      <c r="AA81" s="32"/>
      <c r="AB81" s="32"/>
      <c r="AC81" s="32"/>
      <c r="AD81" s="32"/>
      <c r="AE81" s="32"/>
      <c r="AF81" s="32"/>
      <c r="AG81" s="32"/>
    </row>
    <row r="82" spans="15:33" x14ac:dyDescent="0.35">
      <c r="P82" s="32"/>
      <c r="Q82" s="32"/>
      <c r="R82" s="32"/>
      <c r="S82" s="32"/>
      <c r="T82" s="32"/>
      <c r="U82" s="32"/>
      <c r="V82" s="32"/>
      <c r="W82" s="32"/>
      <c r="X82" s="32"/>
      <c r="Y82" s="32"/>
      <c r="Z82" s="32"/>
      <c r="AA82" s="32"/>
      <c r="AB82" s="32"/>
      <c r="AC82" s="32"/>
      <c r="AD82" s="32"/>
      <c r="AE82" s="32"/>
      <c r="AF82" s="32"/>
      <c r="AG82" s="32"/>
    </row>
    <row r="83" spans="15:33" x14ac:dyDescent="0.35">
      <c r="Q83" s="32"/>
      <c r="R83" s="32"/>
      <c r="S83" s="32"/>
      <c r="T83" s="32"/>
      <c r="U83" s="32"/>
      <c r="V83" s="32"/>
      <c r="W83" s="32"/>
      <c r="X83" s="32"/>
      <c r="Y83" s="32"/>
      <c r="Z83" s="32"/>
      <c r="AA83" s="32"/>
      <c r="AB83" s="32"/>
      <c r="AC83" s="32"/>
      <c r="AD83" s="32"/>
      <c r="AE83" s="32"/>
      <c r="AF83" s="32"/>
      <c r="AG83" s="32"/>
    </row>
    <row r="84" spans="15:33" x14ac:dyDescent="0.35">
      <c r="R84" s="32"/>
      <c r="S84" s="32"/>
      <c r="T84" s="32"/>
      <c r="U84" s="32"/>
      <c r="V84" s="32"/>
      <c r="W84" s="32"/>
      <c r="X84" s="32"/>
      <c r="Y84" s="32"/>
      <c r="Z84" s="32"/>
      <c r="AA84" s="32"/>
      <c r="AB84" s="32"/>
      <c r="AC84" s="32"/>
      <c r="AD84" s="32"/>
      <c r="AE84" s="32"/>
      <c r="AF84" s="32"/>
      <c r="AG84" s="32"/>
    </row>
    <row r="85" spans="15:33" x14ac:dyDescent="0.35">
      <c r="S85" s="32"/>
      <c r="T85" s="32"/>
      <c r="U85" s="32"/>
      <c r="V85" s="32"/>
      <c r="W85" s="32"/>
      <c r="X85" s="32"/>
      <c r="Y85" s="32"/>
      <c r="Z85" s="32"/>
      <c r="AA85" s="32"/>
      <c r="AB85" s="32"/>
      <c r="AC85" s="32"/>
      <c r="AD85" s="32"/>
      <c r="AE85" s="32"/>
      <c r="AF85" s="32"/>
      <c r="AG85" s="32"/>
    </row>
    <row r="86" spans="15:33" x14ac:dyDescent="0.35">
      <c r="T86" s="32"/>
      <c r="U86" s="32"/>
      <c r="V86" s="32"/>
      <c r="W86" s="32"/>
      <c r="X86" s="32"/>
      <c r="Y86" s="32"/>
      <c r="Z86" s="32"/>
      <c r="AA86" s="32"/>
      <c r="AB86" s="32"/>
      <c r="AC86" s="32"/>
      <c r="AD86" s="32"/>
      <c r="AE86" s="32"/>
      <c r="AF86" s="32"/>
      <c r="AG86" s="32"/>
    </row>
    <row r="87" spans="15:33" x14ac:dyDescent="0.35">
      <c r="U87" s="32"/>
      <c r="V87" s="32"/>
      <c r="W87" s="32"/>
      <c r="X87" s="32"/>
      <c r="Y87" s="32"/>
      <c r="Z87" s="32"/>
      <c r="AA87" s="32"/>
      <c r="AB87" s="32"/>
      <c r="AC87" s="32"/>
      <c r="AD87" s="32"/>
      <c r="AE87" s="32"/>
      <c r="AF87" s="32"/>
      <c r="AG87" s="32"/>
    </row>
    <row r="88" spans="15:33" x14ac:dyDescent="0.35">
      <c r="V88" s="32"/>
      <c r="W88" s="32"/>
      <c r="X88" s="32"/>
      <c r="Y88" s="32"/>
      <c r="Z88" s="32"/>
      <c r="AA88" s="32"/>
      <c r="AB88" s="32"/>
      <c r="AC88" s="32"/>
      <c r="AD88" s="32"/>
      <c r="AE88" s="32"/>
      <c r="AF88" s="32"/>
      <c r="AG88" s="32"/>
    </row>
    <row r="89" spans="15:33" x14ac:dyDescent="0.35">
      <c r="W89" s="32"/>
      <c r="X89" s="32"/>
      <c r="Y89" s="32"/>
      <c r="Z89" s="32"/>
      <c r="AA89" s="32"/>
      <c r="AB89" s="32"/>
      <c r="AC89" s="32"/>
      <c r="AD89" s="32"/>
      <c r="AE89" s="32"/>
      <c r="AF89" s="32"/>
      <c r="AG89" s="32"/>
    </row>
    <row r="90" spans="15:33" x14ac:dyDescent="0.35">
      <c r="X90" s="32"/>
      <c r="Y90" s="32"/>
      <c r="Z90" s="32"/>
      <c r="AA90" s="32"/>
      <c r="AB90" s="32"/>
      <c r="AC90" s="32"/>
      <c r="AD90" s="32"/>
      <c r="AE90" s="32"/>
      <c r="AF90" s="32"/>
      <c r="AG90" s="32"/>
    </row>
    <row r="91" spans="15:33" x14ac:dyDescent="0.35">
      <c r="Y91" s="32"/>
      <c r="Z91" s="32"/>
      <c r="AA91" s="32"/>
      <c r="AB91" s="32"/>
      <c r="AC91" s="32"/>
      <c r="AD91" s="32"/>
      <c r="AE91" s="32"/>
      <c r="AF91" s="32"/>
      <c r="AG91" s="32"/>
    </row>
    <row r="92" spans="15:33" x14ac:dyDescent="0.35">
      <c r="Z92" s="32"/>
      <c r="AA92" s="32"/>
      <c r="AB92" s="32"/>
      <c r="AC92" s="32"/>
      <c r="AD92" s="32"/>
      <c r="AE92" s="32"/>
      <c r="AF92" s="32"/>
      <c r="AG92" s="32"/>
    </row>
    <row r="93" spans="15:33" x14ac:dyDescent="0.35">
      <c r="AA93" s="32"/>
      <c r="AB93" s="32"/>
      <c r="AC93" s="32"/>
      <c r="AD93" s="32"/>
      <c r="AE93" s="32"/>
      <c r="AF93" s="32"/>
      <c r="AG93" s="32"/>
    </row>
    <row r="94" spans="15:33" x14ac:dyDescent="0.35">
      <c r="AB94" s="32"/>
      <c r="AC94" s="32"/>
      <c r="AD94" s="32"/>
      <c r="AE94" s="32"/>
      <c r="AF94" s="32"/>
      <c r="AG94" s="32"/>
    </row>
    <row r="95" spans="15:33" x14ac:dyDescent="0.35">
      <c r="AC95" s="32"/>
      <c r="AD95" s="32"/>
      <c r="AE95" s="32"/>
      <c r="AF95" s="32"/>
      <c r="AG95" s="32"/>
    </row>
    <row r="96" spans="15:33" x14ac:dyDescent="0.35">
      <c r="AD96" s="32"/>
      <c r="AE96" s="32"/>
      <c r="AF96" s="32"/>
      <c r="AG96" s="32"/>
    </row>
    <row r="97" spans="31:33" x14ac:dyDescent="0.35">
      <c r="AE97" s="32"/>
      <c r="AF97" s="32"/>
      <c r="AG97" s="32"/>
    </row>
    <row r="98" spans="31:33" x14ac:dyDescent="0.35">
      <c r="AF98" s="32"/>
      <c r="AG98" s="32"/>
    </row>
    <row r="99" spans="31:33" x14ac:dyDescent="0.35">
      <c r="AG99" s="32"/>
    </row>
  </sheetData>
  <pageMargins left="0.7" right="0.7" top="0.75" bottom="0.75" header="0.3" footer="0.3"/>
  <legacy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D58E98866DFD245B9D0E18596F05661" ma:contentTypeVersion="14" ma:contentTypeDescription="Create a new document." ma:contentTypeScope="" ma:versionID="8be8a97e11e132c5b9185593464c2fdc">
  <xsd:schema xmlns:xsd="http://www.w3.org/2001/XMLSchema" xmlns:xs="http://www.w3.org/2001/XMLSchema" xmlns:p="http://schemas.microsoft.com/office/2006/metadata/properties" xmlns:ns3="d8bf8bef-0b82-4986-a401-43264cccf55c" xmlns:ns4="3da09709-1773-4314-a174-55395cd16391" targetNamespace="http://schemas.microsoft.com/office/2006/metadata/properties" ma:root="true" ma:fieldsID="56038264f2e8f231d7f9bb082756b113" ns3:_="" ns4:_="">
    <xsd:import namespace="d8bf8bef-0b82-4986-a401-43264cccf55c"/>
    <xsd:import namespace="3da09709-1773-4314-a174-55395cd16391"/>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AutoTags" minOccurs="0"/>
                <xsd:element ref="ns3:MediaServiceOCR" minOccurs="0"/>
                <xsd:element ref="ns3:MediaServiceDateTaken" minOccurs="0"/>
                <xsd:element ref="ns3:MediaServiceLocation" minOccurs="0"/>
                <xsd:element ref="ns3:MediaServiceGenerationTime" minOccurs="0"/>
                <xsd:element ref="ns3:MediaServiceEventHashCode" minOccurs="0"/>
                <xsd:element ref="ns3:MediaServiceAutoKeyPoints" minOccurs="0"/>
                <xsd:element ref="ns3:MediaServiceKeyPoints"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8bf8bef-0b82-4986-a401-43264cccf55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3" nillable="true" ma:displayName="MediaServiceAutoTags" ma:internalName="MediaServiceAutoTags" ma:readOnly="true">
      <xsd:simpleType>
        <xsd:restriction base="dms:Text"/>
      </xsd:simpleType>
    </xsd:element>
    <xsd:element name="MediaServiceOCR" ma:index="14" nillable="true" ma:displayName="MediaServiceOCR" ma:internalName="MediaServiceOCR"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MediaServiceLocation" ma:internalName="MediaServiceLocation"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element name="MediaLengthInSeconds" ma:index="21"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3da09709-1773-4314-a174-55395cd16391"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SharingHintHash" ma:index="12"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F4663F1-B5FC-4A8D-950A-BAC3F0D5CEA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8bf8bef-0b82-4986-a401-43264cccf55c"/>
    <ds:schemaRef ds:uri="3da09709-1773-4314-a174-55395cd1639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7E33D15-35CC-4E90-BF5E-1FF300E00800}">
  <ds:schemaRefs>
    <ds:schemaRef ds:uri="http://schemas.microsoft.com/office/2006/documentManagement/types"/>
    <ds:schemaRef ds:uri="http://purl.org/dc/terms/"/>
    <ds:schemaRef ds:uri="http://schemas.openxmlformats.org/package/2006/metadata/core-properties"/>
    <ds:schemaRef ds:uri="d8bf8bef-0b82-4986-a401-43264cccf55c"/>
    <ds:schemaRef ds:uri="http://purl.org/dc/dcmitype/"/>
    <ds:schemaRef ds:uri="http://schemas.microsoft.com/office/infopath/2007/PartnerControls"/>
    <ds:schemaRef ds:uri="http://purl.org/dc/elements/1.1/"/>
    <ds:schemaRef ds:uri="http://schemas.microsoft.com/office/2006/metadata/properties"/>
    <ds:schemaRef ds:uri="3da09709-1773-4314-a174-55395cd16391"/>
    <ds:schemaRef ds:uri="http://www.w3.org/XML/1998/namespace"/>
  </ds:schemaRefs>
</ds:datastoreItem>
</file>

<file path=customXml/itemProps3.xml><?xml version="1.0" encoding="utf-8"?>
<ds:datastoreItem xmlns:ds="http://schemas.openxmlformats.org/officeDocument/2006/customXml" ds:itemID="{1149734F-E617-46AE-B8B4-D41C590E46A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Description</vt:lpstr>
      <vt:lpstr>Year 2035 impact</vt:lpstr>
      <vt:lpstr>Cum. impacts (Scopes1-4)</vt:lpstr>
      <vt:lpstr>Cum. impacts (Scopes1-3)</vt:lpstr>
      <vt:lpstr>Afforestation</vt:lpstr>
    </vt:vector>
  </TitlesOfParts>
  <Company>Pryfysgol Bangor University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Eilidh Jane Forster</dc:creator>
  <cp:lastModifiedBy>Eilidh Jane Forster</cp:lastModifiedBy>
  <dcterms:created xsi:type="dcterms:W3CDTF">2022-06-08T08:26:58Z</dcterms:created>
  <dcterms:modified xsi:type="dcterms:W3CDTF">2023-02-17T12:14:24Z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0x010100BD58E98866DFD245B9D0E18596F05661</vt:lpwstr>
  </property>
</Properties>
</file>